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rchant" sheetId="1" r:id="rId4"/>
    <sheet state="visible" name="Transactions" sheetId="2" r:id="rId5"/>
    <sheet state="visible" name="PaidTransactions" sheetId="3" r:id="rId6"/>
    <sheet state="hidden" name="Check" sheetId="4" r:id="rId7"/>
    <sheet state="visible" name="Translation" sheetId="5" r:id="rId8"/>
    <sheet state="visible" name="Token" sheetId="6" r:id="rId9"/>
    <sheet state="hidden" name="1" sheetId="7" r:id="rId10"/>
    <sheet state="visible" name="2" sheetId="8" r:id="rId11"/>
    <sheet state="visible" name="3" sheetId="9" r:id="rId12"/>
    <sheet state="visible" name="4" sheetId="10" r:id="rId13"/>
    <sheet state="visible" name="5" sheetId="11" r:id="rId14"/>
    <sheet state="hidden" name="Copy of 1" sheetId="12" r:id="rId15"/>
    <sheet state="hidden" name="Copy of 1 1" sheetId="13" r:id="rId16"/>
  </sheets>
  <definedNames>
    <definedName hidden="1" localSheetId="2" name="_xlnm._FilterDatabase">PaidTransactions!$A$1:$F$164</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A8">
      <text>
        <t xml:space="preserve">DON'T MOVE THIS LINE</t>
      </text>
    </comment>
    <comment authorId="0" ref="A17">
      <text>
        <t xml:space="preserve">DON'T MOVE THIS LINE</t>
      </text>
    </comment>
  </commentList>
</comments>
</file>

<file path=xl/comments2.xml><?xml version="1.0" encoding="utf-8"?>
<comments xmlns:r="http://schemas.openxmlformats.org/officeDocument/2006/relationships" xmlns="http://schemas.openxmlformats.org/spreadsheetml/2006/main">
  <authors>
    <author/>
  </authors>
  <commentList>
    <comment authorId="0" ref="G1">
      <text>
        <t xml:space="preserve">Sheet name</t>
      </text>
    </comment>
    <comment authorId="0" ref="G2">
      <text>
        <t xml:space="preserve">Merchant crypto address</t>
      </text>
    </comment>
    <comment authorId="0" ref="G3">
      <text>
        <t xml:space="preserve">Start time (last withdraw)</t>
      </text>
    </comment>
    <comment authorId="0" ref="G4">
      <text>
        <t xml:space="preserve">End time (next withdraw)</t>
      </text>
    </comment>
    <comment authorId="0" ref="G5">
      <text>
        <t xml:space="preserve">Whether Solscan request manage blocktime</t>
      </text>
    </comment>
    <comment authorId="0" ref="G6">
      <text>
        <t xml:space="preserve">Solana exceptionnal hour drifting starting timestamp</t>
      </text>
    </comment>
    <comment authorId="0" ref="G7">
      <text>
        <t xml:space="preserve">/!\ UPDATE CELL, DON'T USE /!\</t>
      </text>
    </comment>
    <comment authorId="0" ref="G8">
      <text>
        <t xml:space="preserve">Indicates whether the Transactions sheet should be updated</t>
      </text>
    </comment>
    <comment authorId="0" ref="G9">
      <text>
        <t xml:space="preserve">Transaction search starting time</t>
      </text>
    </comment>
    <comment authorId="0" ref="G10">
      <text>
        <t xml:space="preserve">Transaction search starting time</t>
      </text>
    </comment>
    <comment authorId="0" ref="G11">
      <text>
        <t xml:space="preserve">Indicates whether to seach for transactions</t>
      </text>
    </comment>
  </commentList>
</comments>
</file>

<file path=xl/comments3.xml><?xml version="1.0" encoding="utf-8"?>
<comments xmlns:r="http://schemas.openxmlformats.org/officeDocument/2006/relationships" xmlns="http://schemas.openxmlformats.org/spreadsheetml/2006/main">
  <authors>
    <author/>
  </authors>
  <commentList>
    <comment authorId="0" ref="G1">
      <text>
        <t xml:space="preserve">Sheet name</t>
      </text>
    </comment>
    <comment authorId="0" ref="G2">
      <text>
        <t xml:space="preserve">Merchant crypto address</t>
      </text>
    </comment>
    <comment authorId="0" ref="G3">
      <text>
        <t xml:space="preserve">Start time (last withdraw)</t>
      </text>
    </comment>
    <comment authorId="0" ref="G4">
      <text>
        <t xml:space="preserve">End time (next withdraw)</t>
      </text>
    </comment>
    <comment authorId="0" ref="G5">
      <text>
        <t xml:space="preserve">Whether Solscan request manage blocktime</t>
      </text>
    </comment>
    <comment authorId="0" ref="G6">
      <text>
        <t xml:space="preserve">Solana exceptionnal hour drifting starting timestamp</t>
      </text>
    </comment>
    <comment authorId="0" ref="G7">
      <text>
        <t xml:space="preserve">/!\ UPDATE CELL, DON'T USE /!\</t>
      </text>
    </comment>
    <comment authorId="0" ref="G8">
      <text>
        <t xml:space="preserve">Indicates whether the Transactions sheet should be updated</t>
      </text>
    </comment>
    <comment authorId="0" ref="G9">
      <text>
        <t xml:space="preserve">Transaction search starting time</t>
      </text>
    </comment>
    <comment authorId="0" ref="G10">
      <text>
        <t xml:space="preserve">Transaction search starting time</t>
      </text>
    </comment>
    <comment authorId="0" ref="G11">
      <text>
        <t xml:space="preserve">Indicates whether to seach for transactions</t>
      </text>
    </comment>
  </commentList>
</comments>
</file>

<file path=xl/comments4.xml><?xml version="1.0" encoding="utf-8"?>
<comments xmlns:r="http://schemas.openxmlformats.org/officeDocument/2006/relationships" xmlns="http://schemas.openxmlformats.org/spreadsheetml/2006/main">
  <authors>
    <author/>
  </authors>
  <commentList>
    <comment authorId="0" ref="G1">
      <text>
        <t xml:space="preserve">Sheet name</t>
      </text>
    </comment>
    <comment authorId="0" ref="G2">
      <text>
        <t xml:space="preserve">Merchant crypto address</t>
      </text>
    </comment>
    <comment authorId="0" ref="G3">
      <text>
        <t xml:space="preserve">Start time (last withdraw)</t>
      </text>
    </comment>
    <comment authorId="0" ref="G4">
      <text>
        <t xml:space="preserve">End time (next withdraw)</t>
      </text>
    </comment>
    <comment authorId="0" ref="G5">
      <text>
        <t xml:space="preserve">Whether Solscan request manage blocktime</t>
      </text>
    </comment>
    <comment authorId="0" ref="G6">
      <text>
        <t xml:space="preserve">Solana exceptionnal hour drifting starting timestamp</t>
      </text>
    </comment>
    <comment authorId="0" ref="G7">
      <text>
        <t xml:space="preserve">/!\ UPDATE CELL, DON'T USE /!\</t>
      </text>
    </comment>
    <comment authorId="0" ref="G8">
      <text>
        <t xml:space="preserve">Indicates whether the Transactions sheet should be updated</t>
      </text>
    </comment>
    <comment authorId="0" ref="G9">
      <text>
        <t xml:space="preserve">Transaction search starting time</t>
      </text>
    </comment>
    <comment authorId="0" ref="G10">
      <text>
        <t xml:space="preserve">Transaction search starting time</t>
      </text>
    </comment>
    <comment authorId="0" ref="G11">
      <text>
        <t xml:space="preserve">Indicates whether to seach for transactions</t>
      </text>
    </comment>
  </commentList>
</comments>
</file>

<file path=xl/comments5.xml><?xml version="1.0" encoding="utf-8"?>
<comments xmlns:r="http://schemas.openxmlformats.org/officeDocument/2006/relationships" xmlns="http://schemas.openxmlformats.org/spreadsheetml/2006/main">
  <authors>
    <author/>
  </authors>
  <commentList>
    <comment authorId="0" ref="G1">
      <text>
        <t xml:space="preserve">Sheet name</t>
      </text>
    </comment>
    <comment authorId="0" ref="G2">
      <text>
        <t xml:space="preserve">Merchant crypto address</t>
      </text>
    </comment>
    <comment authorId="0" ref="G3">
      <text>
        <t xml:space="preserve">Start time (last withdraw)</t>
      </text>
    </comment>
    <comment authorId="0" ref="G4">
      <text>
        <t xml:space="preserve">End time (next withdraw)</t>
      </text>
    </comment>
    <comment authorId="0" ref="G5">
      <text>
        <t xml:space="preserve">Whether Solscan request manage blocktime</t>
      </text>
    </comment>
    <comment authorId="0" ref="G6">
      <text>
        <t xml:space="preserve">Solana exceptionnal hour drifting starting timestamp</t>
      </text>
    </comment>
    <comment authorId="0" ref="G7">
      <text>
        <t xml:space="preserve">/!\ UPDATE CELL, DON'T USE /!\</t>
      </text>
    </comment>
    <comment authorId="0" ref="G8">
      <text>
        <t xml:space="preserve">Indicates whether the Transactions sheet should be updated</t>
      </text>
    </comment>
    <comment authorId="0" ref="G9">
      <text>
        <t xml:space="preserve">Transaction search starting time</t>
      </text>
    </comment>
    <comment authorId="0" ref="G10">
      <text>
        <t xml:space="preserve">Transaction search starting time</t>
      </text>
    </comment>
    <comment authorId="0" ref="G11">
      <text>
        <t xml:space="preserve">Indicates whether to seach for transactions</t>
      </text>
    </comment>
  </commentList>
</comments>
</file>

<file path=xl/comments6.xml><?xml version="1.0" encoding="utf-8"?>
<comments xmlns:r="http://schemas.openxmlformats.org/officeDocument/2006/relationships" xmlns="http://schemas.openxmlformats.org/spreadsheetml/2006/main">
  <authors>
    <author/>
  </authors>
  <commentList>
    <comment authorId="0" ref="G1">
      <text>
        <t xml:space="preserve">Sheet name</t>
      </text>
    </comment>
    <comment authorId="0" ref="G2">
      <text>
        <t xml:space="preserve">Merchant crypto address</t>
      </text>
    </comment>
    <comment authorId="0" ref="G3">
      <text>
        <t xml:space="preserve">Start time (last withdraw)</t>
      </text>
    </comment>
    <comment authorId="0" ref="G4">
      <text>
        <t xml:space="preserve">End time (next withdraw)</t>
      </text>
    </comment>
    <comment authorId="0" ref="G5">
      <text>
        <t xml:space="preserve">Whether Solscan request manage blocktime</t>
      </text>
    </comment>
    <comment authorId="0" ref="G6">
      <text>
        <t xml:space="preserve">Solana exceptionnal hour drifting starting timestamp</t>
      </text>
    </comment>
    <comment authorId="0" ref="G7">
      <text>
        <t xml:space="preserve">/!\ UPDATE CELL, DON'T USE /!\</t>
      </text>
    </comment>
    <comment authorId="0" ref="G8">
      <text>
        <t xml:space="preserve">Indicates whether the Transactions sheet should be updated</t>
      </text>
    </comment>
    <comment authorId="0" ref="G9">
      <text>
        <t xml:space="preserve">Transaction search starting time</t>
      </text>
    </comment>
    <comment authorId="0" ref="G10">
      <text>
        <t xml:space="preserve">Transaction search starting time</t>
      </text>
    </comment>
    <comment authorId="0" ref="G11">
      <text>
        <t xml:space="preserve">Indicates whether to seach for transactions</t>
      </text>
    </comment>
  </commentList>
</comments>
</file>

<file path=xl/comments7.xml><?xml version="1.0" encoding="utf-8"?>
<comments xmlns:r="http://schemas.openxmlformats.org/officeDocument/2006/relationships" xmlns="http://schemas.openxmlformats.org/spreadsheetml/2006/main">
  <authors>
    <author/>
  </authors>
  <commentList>
    <comment authorId="0" ref="G1">
      <text>
        <t xml:space="preserve">Sheet name</t>
      </text>
    </comment>
    <comment authorId="0" ref="G2">
      <text>
        <t xml:space="preserve">Merchant crypto address</t>
      </text>
    </comment>
    <comment authorId="0" ref="G3">
      <text>
        <t xml:space="preserve">Start time (last withdraw)</t>
      </text>
    </comment>
    <comment authorId="0" ref="G4">
      <text>
        <t xml:space="preserve">End time (next withdraw)</t>
      </text>
    </comment>
    <comment authorId="0" ref="G5">
      <text>
        <t xml:space="preserve">Whether Solscan request manage blocktime</t>
      </text>
    </comment>
    <comment authorId="0" ref="G6">
      <text>
        <t xml:space="preserve">Solana exceptionnal hour drifting starting timestamp</t>
      </text>
    </comment>
    <comment authorId="0" ref="G7">
      <text>
        <t xml:space="preserve">/!\ UPDATE CELL, DON'T USE /!\</t>
      </text>
    </comment>
    <comment authorId="0" ref="G8">
      <text>
        <t xml:space="preserve">Indicates whether the Transactions sheet should be updated</t>
      </text>
    </comment>
    <comment authorId="0" ref="G9">
      <text>
        <t xml:space="preserve">Transaction search starting time</t>
      </text>
    </comment>
    <comment authorId="0" ref="G10">
      <text>
        <t xml:space="preserve">Transaction search starting time</t>
      </text>
    </comment>
    <comment authorId="0" ref="G11">
      <text>
        <t xml:space="preserve">Indicates whether to seach for transactions</t>
      </text>
    </comment>
  </commentList>
</comments>
</file>

<file path=xl/comments8.xml><?xml version="1.0" encoding="utf-8"?>
<comments xmlns:r="http://schemas.openxmlformats.org/officeDocument/2006/relationships" xmlns="http://schemas.openxmlformats.org/spreadsheetml/2006/main">
  <authors>
    <author/>
  </authors>
  <commentList>
    <comment authorId="0" ref="G1">
      <text>
        <t xml:space="preserve">Sheet name</t>
      </text>
    </comment>
    <comment authorId="0" ref="G2">
      <text>
        <t xml:space="preserve">Merchant crypto address</t>
      </text>
    </comment>
    <comment authorId="0" ref="G3">
      <text>
        <t xml:space="preserve">Start time (last withdraw)</t>
      </text>
    </comment>
    <comment authorId="0" ref="G4">
      <text>
        <t xml:space="preserve">End time (next withdraw)</t>
      </text>
    </comment>
    <comment authorId="0" ref="G5">
      <text>
        <t xml:space="preserve">Whether Solscan request manage blocktime</t>
      </text>
    </comment>
    <comment authorId="0" ref="G6">
      <text>
        <t xml:space="preserve">Solana exceptionnal hour drifting starting timestamp</t>
      </text>
    </comment>
    <comment authorId="0" ref="G7">
      <text>
        <t xml:space="preserve">/!\ UPDATE CELL, DON'T USE /!\</t>
      </text>
    </comment>
    <comment authorId="0" ref="G8">
      <text>
        <t xml:space="preserve">Indicates whether the Transactions sheet should be updated</t>
      </text>
    </comment>
    <comment authorId="0" ref="G9">
      <text>
        <t xml:space="preserve">Transaction search starting time</t>
      </text>
    </comment>
    <comment authorId="0" ref="G10">
      <text>
        <t xml:space="preserve">Transaction search starting time</t>
      </text>
    </comment>
    <comment authorId="0" ref="G11">
      <text>
        <t xml:space="preserve">Indicates whether to seach for transactions</t>
      </text>
    </comment>
  </commentList>
</comments>
</file>

<file path=xl/sharedStrings.xml><?xml version="1.0" encoding="utf-8"?>
<sst xmlns="http://schemas.openxmlformats.org/spreadsheetml/2006/main" count="359" uniqueCount="110">
  <si>
    <t>Not Paid</t>
  </si>
  <si>
    <t>Paid</t>
  </si>
  <si>
    <t>Last withdraw</t>
  </si>
  <si>
    <t>Next withdraw</t>
  </si>
  <si>
    <t>Date</t>
  </si>
  <si>
    <t>Amount</t>
  </si>
  <si>
    <t>Merchant</t>
  </si>
  <si>
    <t>Token</t>
  </si>
  <si>
    <t>Exchange</t>
  </si>
  <si>
    <t>Change rate</t>
  </si>
  <si>
    <t>€</t>
  </si>
  <si>
    <t>agEUR</t>
  </si>
  <si>
    <t>UST</t>
  </si>
  <si>
    <t>address</t>
  </si>
  <si>
    <t>company</t>
  </si>
  <si>
    <t>Customer</t>
  </si>
  <si>
    <t>Status</t>
  </si>
  <si>
    <t>Time</t>
  </si>
  <si>
    <t>Duration</t>
  </si>
  <si>
    <t>/blockTime</t>
  </si>
  <si>
    <t>/txHash</t>
  </si>
  <si>
    <t>/status</t>
  </si>
  <si>
    <t>/includeSPLTransfer</t>
  </si>
  <si>
    <t>/confirmations</t>
  </si>
  <si>
    <t>/tokenTransfers/destination_owner</t>
  </si>
  <si>
    <t>/tokenTransfers/amount</t>
  </si>
  <si>
    <t>/tokenTransfers/token/address</t>
  </si>
  <si>
    <t>/tokenTransfers/token/decimals</t>
  </si>
  <si>
    <t>GZLPJYkR3diD8c8vpgb7sXHEH9sG1R9sWa3yPwaL9Peb</t>
  </si>
  <si>
    <t>Le pain d'Annette</t>
  </si>
  <si>
    <t>88r4F8tmgzxyxSoQFz5cWwTMAqtM8xB8pABfL4ikcJyx</t>
  </si>
  <si>
    <t>Nature &amp; bulles</t>
  </si>
  <si>
    <t>HLpmKp6zYGSSibbqho6QAyURmJHorvdtha7iGumfXdWc</t>
  </si>
  <si>
    <t>Bloopsy Couture</t>
  </si>
  <si>
    <t>FZ2XhTrvYqcytTzRUT54GyYjtNXF2L3cQZ9qEaTKe8Hg</t>
  </si>
  <si>
    <t>Garage Nicolas</t>
  </si>
  <si>
    <t>English</t>
  </si>
  <si>
    <t>Français</t>
  </si>
  <si>
    <t>Deutsch</t>
  </si>
  <si>
    <t>Error: No transaction</t>
  </si>
  <si>
    <t>Erreur : Aucune transaction</t>
  </si>
  <si>
    <t>Fehler: Keine Transaktion</t>
  </si>
  <si>
    <t>Error: Invalid transaction</t>
  </si>
  <si>
    <t>Erreur : Transaction invalide</t>
  </si>
  <si>
    <t>Fehler: Ungültige Transaktion</t>
  </si>
  <si>
    <t>Error: Wrong merchant</t>
  </si>
  <si>
    <t>Erreur : Marchant différent</t>
  </si>
  <si>
    <t>Fehler: Falscher Händler</t>
  </si>
  <si>
    <t>Error: Wrong token</t>
  </si>
  <si>
    <t>Erreur : Crypto monnaie différente</t>
  </si>
  <si>
    <t>Fehler: Falsches Token</t>
  </si>
  <si>
    <t>Warning: Old transaction</t>
  </si>
  <si>
    <t>Attention : Ancienne transaction</t>
  </si>
  <si>
    <t>Warnung: alte Transaktion</t>
  </si>
  <si>
    <t>Processing...</t>
  </si>
  <si>
    <t>En cours ...</t>
  </si>
  <si>
    <t>Wird bearbeitet...</t>
  </si>
  <si>
    <t>How to</t>
  </si>
  <si>
    <t>Comment faire</t>
  </si>
  <si>
    <t>Wie man</t>
  </si>
  <si>
    <t>In your Solana wallet: &lt;li&gt;Choose &lt;i&gt;"agEUR"&lt;/i&gt; as the payment currency&lt;/li&gt;&lt;li&gt;Enter the amount to pay&lt;/li&gt;&lt;li&gt;Paste the merchant's address from your clipboard&lt;/li&gt;&lt;li&gt;Send payment to merchant&lt;/li&gt;</t>
  </si>
  <si>
    <t>Dans votre porte-monnaie Solana&lt;li&gt;Choisissez &lt;i&gt;"agEUR"&lt;/i&gt; comme monnaie de paiment&lt;/li&gt;&lt;li&gt;Entrez la somme à payer&lt;/li&gt;&lt;li&gt;Collez l'adresse du commerçant présente dans votre presse-papier&lt;/li&gt;&lt;li&gt;Envoyez le paiement au marchand&lt;/li&gt;</t>
  </si>
  <si>
    <t>In Ihrer Solana-Brieftasche: &lt;li&gt;Wählen Sie &lt;i&gt;"agEUR"&lt;/i&gt; als Zahlungswährung aus&lt;/li&gt;&lt;li&gt;Geben Sie den zu zahlenden Betrag ein&lt;/li&gt;&lt;li&gt;Fügen Sie die Adresse des Händlers in Ihre Zwischenablage ein&lt;/li&gt;&lt;li&gt;Senden Sie die Zahlung an Händler&lt;/li&gt;</t>
  </si>
  <si>
    <t>Copy the address of your Solana wallet from your wallet (this will be automatically taken into account to verify the payment)</t>
  </si>
  <si>
    <t>Copiez l'adresse de votre porte-monnaie Solana depuis votre porte-monnaie (elle sera ainsi automatiquement prise en compte pour vérifier le paiement)</t>
  </si>
  <si>
    <t>Sobald die Zahlung gesendet wurde, kopieren Sie die Adresse Ihrer Solana-Brieftasche aus Ihrer Brieftasche (diese wird automatisch berücksichtigt, um die Zahlung zu überprüfen)</t>
  </si>
  <si>
    <t>Open</t>
  </si>
  <si>
    <t>Ouvrir</t>
  </si>
  <si>
    <t>Offen</t>
  </si>
  <si>
    <t>Verify payment</t>
  </si>
  <si>
    <t>Vérifier le paiement</t>
  </si>
  <si>
    <t>Scheckzahlung</t>
  </si>
  <si>
    <t>Retry</t>
  </si>
  <si>
    <t>Réessayer</t>
  </si>
  <si>
    <t>Wiederholen</t>
  </si>
  <si>
    <t>Help</t>
  </si>
  <si>
    <t>Aide</t>
  </si>
  <si>
    <t>Hilfe</t>
  </si>
  <si>
    <t>($ ago)</t>
  </si>
  <si>
    <t>(il y a $)</t>
  </si>
  <si>
    <t>(vor $)</t>
  </si>
  <si>
    <t>You did not copy your Solana address!</t>
  </si>
  <si>
    <t>Vous n'avez pas copié votre adresse Solana !</t>
  </si>
  <si>
    <t>Sie haben Ihre Solana-Adresse nicht kopiert!</t>
  </si>
  <si>
    <t>Abort</t>
  </si>
  <si>
    <t>Abandonner</t>
  </si>
  <si>
    <t>Abbrechen</t>
  </si>
  <si>
    <t>Error: Your payment could not be verified. You can try again or pay another way. In the event that your payment has been made, we will issue a refund shortly.</t>
  </si>
  <si>
    <t>Erreur : Votre paiement n'a pas pu être vérifié. Vous pouvez essayer de nouveau ou bien payer par un autre moyen. Dans le cas où votre paiement aurait été effectué, nous allons procédé à un remboursement d'ici peu.</t>
  </si>
  <si>
    <t>Fehler: Ihre Zahlung konnte nicht verifiziert werden. Sie können es erneut versuchen oder auf andere Weise bezahlen. Für den Fall, dass Ihre Zahlung erfolgt ist, werden wir in Kürze eine Rückerstattung vornehmen.</t>
  </si>
  <si>
    <t>Unknown error</t>
  </si>
  <si>
    <t>Erreur inconnue</t>
  </si>
  <si>
    <t>Unbekannter Fehler</t>
  </si>
  <si>
    <t>Unknown step</t>
  </si>
  <si>
    <t>Etape inconnue</t>
  </si>
  <si>
    <t>Unbekannter Schritt</t>
  </si>
  <si>
    <t>Invalid / Empty payment status</t>
  </si>
  <si>
    <t>Status de paiement invalide / vide</t>
  </si>
  <si>
    <t>Ungültiger / leerer Zahlungsstatus</t>
  </si>
  <si>
    <t>Success</t>
  </si>
  <si>
    <t>Validé</t>
  </si>
  <si>
    <t>Erfolg</t>
  </si>
  <si>
    <t>,</t>
  </si>
  <si>
    <t xml:space="preserve"> </t>
  </si>
  <si>
    <t>.</t>
  </si>
  <si>
    <t>/total</t>
  </si>
  <si>
    <t>/data/changeAmount</t>
  </si>
  <si>
    <t>/data/decimals</t>
  </si>
  <si>
    <t>/data/symbol</t>
  </si>
  <si>
    <t>/data/blockTime</t>
  </si>
</sst>
</file>

<file path=xl/styles.xml><?xml version="1.0" encoding="utf-8"?>
<styleSheet xmlns="http://schemas.openxmlformats.org/spreadsheetml/2006/main" xmlns:x14ac="http://schemas.microsoft.com/office/spreadsheetml/2009/9/ac" xmlns:mc="http://schemas.openxmlformats.org/markup-compatibility/2006">
  <numFmts count="8">
    <numFmt numFmtId="164" formatCode="#,##0.00##\ [$€-1]"/>
    <numFmt numFmtId="165" formatCode="dd&quot;/&quot;mm&quot;/&quot;yyyy"/>
    <numFmt numFmtId="166" formatCode="#,##0.00[$ €]"/>
    <numFmt numFmtId="167" formatCode="dd&quot;/&quot;mm&quot;/&quot;yyyy&quot; &quot;hh&quot;:&quot;mm&quot;:&quot;ss"/>
    <numFmt numFmtId="168" formatCode="0.000"/>
    <numFmt numFmtId="169" formatCode="0.00000"/>
    <numFmt numFmtId="170" formatCode="#,##0.00\ [$€-1]"/>
    <numFmt numFmtId="171" formatCode="M/d/yyyy"/>
  </numFmts>
  <fonts count="7">
    <font>
      <sz val="10.0"/>
      <color rgb="FF000000"/>
      <name val="Arial"/>
      <scheme val="minor"/>
    </font>
    <font>
      <b/>
      <color theme="1"/>
      <name val="Arial"/>
      <scheme val="minor"/>
    </font>
    <font>
      <color theme="1"/>
      <name val="Arial"/>
      <scheme val="minor"/>
    </font>
    <font>
      <color theme="1"/>
      <name val="Arial"/>
    </font>
    <font>
      <b/>
      <color rgb="FF000000"/>
      <name val="Arial"/>
    </font>
    <font>
      <b/>
      <i/>
      <color theme="1"/>
      <name val="Arial"/>
      <scheme val="minor"/>
    </font>
    <font>
      <b/>
      <i/>
      <color theme="1"/>
      <name val="Arial"/>
    </font>
  </fonts>
  <fills count="7">
    <fill>
      <patternFill patternType="none"/>
    </fill>
    <fill>
      <patternFill patternType="lightGray"/>
    </fill>
    <fill>
      <patternFill patternType="solid">
        <fgColor rgb="FFA4C2F4"/>
        <bgColor rgb="FFA4C2F4"/>
      </patternFill>
    </fill>
    <fill>
      <patternFill patternType="solid">
        <fgColor rgb="FFB6D7A8"/>
        <bgColor rgb="FFB6D7A8"/>
      </patternFill>
    </fill>
    <fill>
      <patternFill patternType="solid">
        <fgColor theme="0"/>
        <bgColor theme="0"/>
      </patternFill>
    </fill>
    <fill>
      <patternFill patternType="solid">
        <fgColor rgb="FFFF9900"/>
        <bgColor rgb="FFFF9900"/>
      </patternFill>
    </fill>
    <fill>
      <patternFill patternType="solid">
        <fgColor rgb="FFFFFF00"/>
        <bgColor rgb="FFFFFF00"/>
      </patternFill>
    </fill>
  </fills>
  <borders count="3">
    <border/>
    <border>
      <left style="thin">
        <color rgb="FF000000"/>
      </left>
    </border>
    <border>
      <bottom style="thin">
        <color rgb="FF000000"/>
      </bottom>
    </border>
  </borders>
  <cellStyleXfs count="1">
    <xf borderId="0" fillId="0" fontId="0" numFmtId="0" applyAlignment="1" applyFont="1"/>
  </cellStyleXfs>
  <cellXfs count="43">
    <xf borderId="0" fillId="0" fontId="0" numFmtId="0" xfId="0" applyAlignment="1" applyFont="1">
      <alignment readingOrder="0" shrinkToFit="0" vertical="bottom" wrapText="0"/>
    </xf>
    <xf borderId="0" fillId="2" fontId="1" numFmtId="0" xfId="0" applyAlignment="1" applyFill="1" applyFont="1">
      <alignment horizontal="center" readingOrder="0"/>
    </xf>
    <xf borderId="0" fillId="2" fontId="1" numFmtId="164" xfId="0" applyAlignment="1" applyFont="1" applyNumberFormat="1">
      <alignment horizontal="center" readingOrder="0"/>
    </xf>
    <xf borderId="1" fillId="3" fontId="1" numFmtId="0" xfId="0" applyAlignment="1" applyBorder="1" applyFill="1" applyFont="1">
      <alignment horizontal="center" readingOrder="0"/>
    </xf>
    <xf borderId="0" fillId="3" fontId="1" numFmtId="0" xfId="0" applyAlignment="1" applyFont="1">
      <alignment horizontal="center" readingOrder="0"/>
    </xf>
    <xf borderId="0" fillId="3" fontId="1" numFmtId="165" xfId="0" applyAlignment="1" applyFont="1" applyNumberFormat="1">
      <alignment horizontal="center" readingOrder="0"/>
    </xf>
    <xf borderId="0" fillId="0" fontId="2" numFmtId="0" xfId="0" applyFont="1"/>
    <xf borderId="0" fillId="0" fontId="2" numFmtId="164" xfId="0" applyAlignment="1" applyFont="1" applyNumberFormat="1">
      <alignment readingOrder="0"/>
    </xf>
    <xf borderId="1" fillId="0" fontId="2" numFmtId="166" xfId="0" applyAlignment="1" applyBorder="1" applyFont="1" applyNumberFormat="1">
      <alignment readingOrder="0"/>
    </xf>
    <xf borderId="0" fillId="0" fontId="2" numFmtId="166" xfId="0" applyAlignment="1" applyFont="1" applyNumberFormat="1">
      <alignment readingOrder="0"/>
    </xf>
    <xf borderId="0" fillId="0" fontId="2" numFmtId="167" xfId="0" applyAlignment="1" applyFont="1" applyNumberFormat="1">
      <alignment readingOrder="0"/>
    </xf>
    <xf borderId="0" fillId="2" fontId="1" numFmtId="168" xfId="0" applyAlignment="1" applyFont="1" applyNumberFormat="1">
      <alignment horizontal="center" readingOrder="0"/>
    </xf>
    <xf borderId="0" fillId="0" fontId="3" numFmtId="167" xfId="0" applyAlignment="1" applyFont="1" applyNumberFormat="1">
      <alignment horizontal="right" readingOrder="0" vertical="bottom"/>
    </xf>
    <xf borderId="0" fillId="0" fontId="2" numFmtId="0" xfId="0" applyAlignment="1" applyFont="1">
      <alignment readingOrder="0"/>
    </xf>
    <xf borderId="0" fillId="0" fontId="2" numFmtId="0" xfId="0" applyAlignment="1" applyFont="1">
      <alignment readingOrder="0"/>
    </xf>
    <xf borderId="0" fillId="0" fontId="2" numFmtId="169" xfId="0" applyAlignment="1" applyFont="1" applyNumberFormat="1">
      <alignment readingOrder="0"/>
    </xf>
    <xf borderId="0" fillId="4" fontId="3" numFmtId="167" xfId="0" applyAlignment="1" applyFill="1" applyFont="1" applyNumberFormat="1">
      <alignment horizontal="right" readingOrder="0" vertical="bottom"/>
    </xf>
    <xf borderId="0" fillId="4" fontId="2" numFmtId="164" xfId="0" applyAlignment="1" applyFont="1" applyNumberFormat="1">
      <alignment readingOrder="0"/>
    </xf>
    <xf borderId="0" fillId="4" fontId="2" numFmtId="0" xfId="0" applyAlignment="1" applyFont="1">
      <alignment readingOrder="0"/>
    </xf>
    <xf borderId="0" fillId="4" fontId="2" numFmtId="0" xfId="0" applyAlignment="1" applyFont="1">
      <alignment readingOrder="0"/>
    </xf>
    <xf borderId="0" fillId="4" fontId="2" numFmtId="169" xfId="0" applyAlignment="1" applyFont="1" applyNumberFormat="1">
      <alignment readingOrder="0"/>
    </xf>
    <xf borderId="0" fillId="5" fontId="4" numFmtId="0" xfId="0" applyAlignment="1" applyFill="1" applyFont="1">
      <alignment horizontal="center" readingOrder="0"/>
    </xf>
    <xf borderId="0" fillId="5" fontId="1" numFmtId="0" xfId="0" applyAlignment="1" applyFont="1">
      <alignment horizontal="center" readingOrder="0"/>
    </xf>
    <xf borderId="0" fillId="5" fontId="1" numFmtId="0" xfId="0" applyAlignment="1" applyFont="1">
      <alignment horizontal="center"/>
    </xf>
    <xf borderId="1" fillId="6" fontId="1" numFmtId="0" xfId="0" applyAlignment="1" applyBorder="1" applyFill="1" applyFont="1">
      <alignment horizontal="center"/>
    </xf>
    <xf borderId="0" fillId="6" fontId="1" numFmtId="0" xfId="0" applyAlignment="1" applyFont="1">
      <alignment horizontal="center"/>
    </xf>
    <xf borderId="1" fillId="0" fontId="2" numFmtId="0" xfId="0" applyBorder="1" applyFont="1"/>
    <xf borderId="0" fillId="0" fontId="2" numFmtId="164" xfId="0" applyFont="1" applyNumberFormat="1"/>
    <xf borderId="0" fillId="0" fontId="2" numFmtId="167" xfId="0" applyFont="1" applyNumberFormat="1"/>
    <xf borderId="0" fillId="0" fontId="2" numFmtId="46" xfId="0" applyFont="1" applyNumberFormat="1"/>
    <xf borderId="0" fillId="2" fontId="5" numFmtId="0" xfId="0" applyAlignment="1" applyFont="1">
      <alignment horizontal="center" readingOrder="0" shrinkToFit="0" wrapText="1"/>
    </xf>
    <xf borderId="0" fillId="2" fontId="6" numFmtId="0" xfId="0" applyAlignment="1" applyFont="1">
      <alignment horizontal="center" readingOrder="0" shrinkToFit="0" vertical="top" wrapText="1"/>
    </xf>
    <xf borderId="0" fillId="0" fontId="2" numFmtId="0" xfId="0" applyAlignment="1" applyFont="1">
      <alignment readingOrder="0" shrinkToFit="0" wrapText="1"/>
    </xf>
    <xf borderId="2" fillId="0" fontId="2" numFmtId="0" xfId="0" applyAlignment="1" applyBorder="1" applyFont="1">
      <alignment readingOrder="0" shrinkToFit="0" wrapText="1"/>
    </xf>
    <xf borderId="0" fillId="6" fontId="2" numFmtId="0" xfId="0" applyAlignment="1" applyFont="1">
      <alignment readingOrder="0" shrinkToFit="0" wrapText="1"/>
    </xf>
    <xf borderId="0" fillId="0" fontId="3" numFmtId="170" xfId="0" applyAlignment="1" applyFont="1" applyNumberFormat="1">
      <alignment horizontal="center" shrinkToFit="0" vertical="top" wrapText="1"/>
    </xf>
    <xf borderId="0" fillId="0" fontId="3" numFmtId="0" xfId="0" applyAlignment="1" applyFont="1">
      <alignment horizontal="center" readingOrder="0" shrinkToFit="0" vertical="top" wrapText="1"/>
    </xf>
    <xf borderId="0" fillId="2" fontId="1" numFmtId="171" xfId="0" applyAlignment="1" applyFont="1" applyNumberFormat="1">
      <alignment horizontal="center" readingOrder="0"/>
    </xf>
    <xf borderId="0" fillId="0" fontId="2" numFmtId="170" xfId="0" applyFont="1" applyNumberFormat="1"/>
    <xf borderId="0" fillId="0" fontId="2" numFmtId="167" xfId="0" applyAlignment="1" applyFont="1" applyNumberFormat="1">
      <alignment readingOrder="0"/>
    </xf>
    <xf borderId="0" fillId="0" fontId="2" numFmtId="165" xfId="0" applyAlignment="1" applyFont="1" applyNumberFormat="1">
      <alignment readingOrder="0"/>
    </xf>
    <xf borderId="0" fillId="0" fontId="2" numFmtId="19" xfId="0" applyAlignment="1" applyFont="1" applyNumberFormat="1">
      <alignment readingOrder="0"/>
    </xf>
    <xf borderId="0" fillId="0" fontId="2" numFmtId="21" xfId="0" applyAlignment="1" applyFont="1" applyNumberForma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6" Type="http://schemas.openxmlformats.org/officeDocument/2006/relationships/worksheet" Target="worksheets/sheet13.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drawing" Target="../drawings/drawing10.xml"/><Relationship Id="rId3" Type="http://schemas.openxmlformats.org/officeDocument/2006/relationships/vmlDrawing" Target="../drawings/vmlDrawing5.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drawing" Target="../drawings/drawing11.xml"/><Relationship Id="rId3" Type="http://schemas.openxmlformats.org/officeDocument/2006/relationships/vmlDrawing" Target="../drawings/vmlDrawing6.vml"/></Relationships>
</file>

<file path=xl/worksheets/_rels/sheet12.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drawing" Target="../drawings/drawing12.xml"/><Relationship Id="rId3" Type="http://schemas.openxmlformats.org/officeDocument/2006/relationships/vmlDrawing" Target="../drawings/vmlDrawing7.vml"/></Relationships>
</file>

<file path=xl/worksheets/_rels/sheet13.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drawing" Target="../drawings/drawing13.xml"/><Relationship Id="rId3" Type="http://schemas.openxmlformats.org/officeDocument/2006/relationships/vmlDrawing" Target="../drawings/vmlDrawing8.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5.xml"/><Relationship Id="rId3"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7.xml"/><Relationship Id="rId3" Type="http://schemas.openxmlformats.org/officeDocument/2006/relationships/vmlDrawing" Target="../drawings/vmlDrawing2.vml"/></Relationships>
</file>

<file path=xl/worksheets/_rels/sheet8.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8.xml"/><Relationship Id="rId3" Type="http://schemas.openxmlformats.org/officeDocument/2006/relationships/vmlDrawing" Target="../drawings/vmlDrawing3.vml"/></Relationships>
</file>

<file path=xl/worksheets/_rels/sheet9.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9.xml"/><Relationship Id="rId3"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5.25"/>
    <col customWidth="1" min="2" max="2" width="17.38"/>
    <col customWidth="1" min="3" max="3" width="13.5"/>
    <col customWidth="1" min="4" max="4" width="8.38"/>
    <col customWidth="1" min="5" max="5" width="11.63"/>
    <col customWidth="1" min="6" max="6" width="13.88"/>
    <col customWidth="1" min="7" max="8" width="9.88"/>
    <col customWidth="1" min="9" max="10" width="10.13"/>
    <col customWidth="1" min="11" max="12" width="15.75"/>
    <col customWidth="1" min="13" max="13" width="21.75"/>
  </cols>
  <sheetData>
    <row r="1">
      <c r="A1" s="1" t="str">
        <f>IFERROR(__xludf.DUMMYFUNCTION("IMPORTRANGE(""https://docs.google.com/spreadsheets/d/1_3xkbHqUd8_WE7W39l9YM097EKIFRe_ZVYNR6he5J80/edit#gid=838843478"",""Merchant!A:H"")"),"index")</f>
        <v>index</v>
      </c>
      <c r="B1" s="1" t="str">
        <f>IFERROR(__xludf.DUMMYFUNCTION("""COMPUTED_VALUE"""),"address")</f>
        <v>address</v>
      </c>
      <c r="C1" s="1" t="str">
        <f>IFERROR(__xludf.DUMMYFUNCTION("""COMPUTED_VALUE"""),"company")</f>
        <v>company</v>
      </c>
      <c r="D1" s="2" t="str">
        <f>IFERROR(__xludf.DUMMYFUNCTION("""COMPUTED_VALUE"""),"currency")</f>
        <v>currency</v>
      </c>
      <c r="E1" s="1" t="str">
        <f>IFERROR(__xludf.DUMMYFUNCTION("""COMPUTED_VALUE"""),"maxValue")</f>
        <v>maxValue</v>
      </c>
      <c r="F1" s="1" t="str">
        <f>IFERROR(__xludf.DUMMYFUNCTION("""COMPUTED_VALUE"""),"location")</f>
        <v>location</v>
      </c>
      <c r="G1" s="1" t="str">
        <f>IFERROR(__xludf.DUMMYFUNCTION("""COMPUTED_VALUE"""),"Fiat Withdraw")</f>
        <v>Fiat Withdraw</v>
      </c>
      <c r="H1" s="1" t="str">
        <f>IFERROR(__xludf.DUMMYFUNCTION("""COMPUTED_VALUE"""),"Withdraw Period")</f>
        <v>Withdraw Period</v>
      </c>
      <c r="I1" s="3" t="s">
        <v>0</v>
      </c>
      <c r="J1" s="4" t="s">
        <v>1</v>
      </c>
      <c r="K1" s="5" t="s">
        <v>2</v>
      </c>
      <c r="L1" s="4" t="s">
        <v>3</v>
      </c>
      <c r="M1" s="4" t="str">
        <f>IFERROR(__xludf.DUMMYFUNCTION("IMPORTRANGE(""https://docs.google.com/spreadsheets/d/1_3xkbHqUd8_WE7W39l9YM097EKIFRe_ZVYNR6he5J80/edit#gid=838843478"",""Merchant!J:J"")"),"Email")</f>
        <v>Email</v>
      </c>
    </row>
    <row r="2">
      <c r="A2" s="6">
        <f>IFERROR(__xludf.DUMMYFUNCTION("""COMPUTED_VALUE"""),2.0)</f>
        <v>2</v>
      </c>
      <c r="B2" s="6" t="str">
        <f>IFERROR(__xludf.DUMMYFUNCTION("""COMPUTED_VALUE"""),"GZLPJYkR3diD8c8vpgb7sXHEH9sG1R9sWa3yPwaL9Peb")</f>
        <v>GZLPJYkR3diD8c8vpgb7sXHEH9sG1R9sWa3yPwaL9Peb</v>
      </c>
      <c r="C2" s="6" t="str">
        <f>IFERROR(__xludf.DUMMYFUNCTION("""COMPUTED_VALUE"""),"Le pain d'Annette")</f>
        <v>Le pain d'Annette</v>
      </c>
      <c r="D2" s="7" t="str">
        <f>IFERROR(__xludf.DUMMYFUNCTION("""COMPUTED_VALUE"""),"EUR")</f>
        <v>EUR</v>
      </c>
      <c r="E2" s="6">
        <f>IFERROR(__xludf.DUMMYFUNCTION("""COMPUTED_VALUE"""),300.0)</f>
        <v>300</v>
      </c>
      <c r="F2" s="6" t="str">
        <f>IFERROR(__xludf.DUMMYFUNCTION("""COMPUTED_VALUE"""),"ST-NIC")</f>
        <v>ST-NIC</v>
      </c>
      <c r="G2" s="6" t="b">
        <f>IFERROR(__xludf.DUMMYFUNCTION("""COMPUTED_VALUE"""),TRUE)</f>
        <v>1</v>
      </c>
      <c r="H2" s="6" t="str">
        <f>IFERROR(__xludf.DUMMYFUNCTION("""COMPUTED_VALUE"""),"Weekly")</f>
        <v>Weekly</v>
      </c>
      <c r="I2" s="8">
        <f>IF($A2&lt;&gt;"",SUMIFS(Transactions!$B:$B,Transactions!$C:$C,$A2),)</f>
        <v>0</v>
      </c>
      <c r="J2" s="9">
        <f>IF($A2&lt;&gt;"",SUMIFS(PaidTransactions!$B:$B,PaidTransactions!$C:$C,$A2),)</f>
        <v>1000.91</v>
      </c>
      <c r="K2" s="10">
        <v>44927.8792866088</v>
      </c>
      <c r="L2" s="10">
        <f t="shared" ref="L2:L5" si="1">IF($A2&lt;&gt;"",SWITCH($H2,"Monthly",DATE(YEAR(TODAY()),MONTH(TODAY())+1,1),"Weekly",TODAY()+7-WEEKDAY(TODAY(),2),"Daily",TODAY()) + TIME(21,0,0),)</f>
        <v>44934.875</v>
      </c>
      <c r="M2" s="10" t="str">
        <f>IFERROR(__xludf.DUMMYFUNCTION("""COMPUTED_VALUE"""),"lepaindannette@free.fr")</f>
        <v>lepaindannette@free.fr</v>
      </c>
    </row>
    <row r="3">
      <c r="A3" s="6">
        <f>IFERROR(__xludf.DUMMYFUNCTION("""COMPUTED_VALUE"""),3.0)</f>
        <v>3</v>
      </c>
      <c r="B3" s="6" t="str">
        <f>IFERROR(__xludf.DUMMYFUNCTION("""COMPUTED_VALUE"""),"88r4F8tmgzxyxSoQFz5cWwTMAqtM8xB8pABfL4ikcJyx")</f>
        <v>88r4F8tmgzxyxSoQFz5cWwTMAqtM8xB8pABfL4ikcJyx</v>
      </c>
      <c r="C3" s="6" t="str">
        <f>IFERROR(__xludf.DUMMYFUNCTION("""COMPUTED_VALUE"""),"Nature &amp; bulles")</f>
        <v>Nature &amp; bulles</v>
      </c>
      <c r="D3" s="7" t="str">
        <f>IFERROR(__xludf.DUMMYFUNCTION("""COMPUTED_VALUE"""),"EUR")</f>
        <v>EUR</v>
      </c>
      <c r="E3" s="6">
        <f>IFERROR(__xludf.DUMMYFUNCTION("""COMPUTED_VALUE"""),300.0)</f>
        <v>300</v>
      </c>
      <c r="F3" s="6" t="str">
        <f>IFERROR(__xludf.DUMMYFUNCTION("""COMPUTED_VALUE"""),"ST-NIC")</f>
        <v>ST-NIC</v>
      </c>
      <c r="G3" s="6" t="b">
        <f>IFERROR(__xludf.DUMMYFUNCTION("""COMPUTED_VALUE"""),TRUE)</f>
        <v>1</v>
      </c>
      <c r="H3" s="6" t="str">
        <f>IFERROR(__xludf.DUMMYFUNCTION("""COMPUTED_VALUE"""),"Weekly")</f>
        <v>Weekly</v>
      </c>
      <c r="I3" s="8">
        <f>IF($A3&lt;&gt;"",SUMIFS(Transactions!$B:$B,Transactions!$C:$C,$A3),)</f>
        <v>0</v>
      </c>
      <c r="J3" s="9">
        <f>IF($A3&lt;&gt;"",SUMIFS(PaidTransactions!$B:$B,PaidTransactions!$C:$C,$A3),)</f>
        <v>267</v>
      </c>
      <c r="K3" s="10">
        <v>44927.8792866088</v>
      </c>
      <c r="L3" s="10">
        <f t="shared" si="1"/>
        <v>44934.875</v>
      </c>
      <c r="M3" s="10" t="str">
        <f>IFERROR(__xludf.DUMMYFUNCTION("""COMPUTED_VALUE"""),"contact@natureetbulles.com")</f>
        <v>contact@natureetbulles.com</v>
      </c>
    </row>
    <row r="4">
      <c r="A4" s="6">
        <f>IFERROR(__xludf.DUMMYFUNCTION("""COMPUTED_VALUE"""),4.0)</f>
        <v>4</v>
      </c>
      <c r="B4" s="6" t="str">
        <f>IFERROR(__xludf.DUMMYFUNCTION("""COMPUTED_VALUE"""),"HLpmKp6zYGSSibbqho6QAyURmJHorvdtha7iGumfXdWc")</f>
        <v>HLpmKp6zYGSSibbqho6QAyURmJHorvdtha7iGumfXdWc</v>
      </c>
      <c r="C4" s="6" t="str">
        <f>IFERROR(__xludf.DUMMYFUNCTION("""COMPUTED_VALUE"""),"Bloopsy Couture")</f>
        <v>Bloopsy Couture</v>
      </c>
      <c r="D4" s="7" t="str">
        <f>IFERROR(__xludf.DUMMYFUNCTION("""COMPUTED_VALUE"""),"EUR")</f>
        <v>EUR</v>
      </c>
      <c r="E4" s="6">
        <f>IFERROR(__xludf.DUMMYFUNCTION("""COMPUTED_VALUE"""),300.0)</f>
        <v>300</v>
      </c>
      <c r="F4" s="6" t="str">
        <f>IFERROR(__xludf.DUMMYFUNCTION("""COMPUTED_VALUE"""),"ST-NIC")</f>
        <v>ST-NIC</v>
      </c>
      <c r="G4" s="6" t="b">
        <f>IFERROR(__xludf.DUMMYFUNCTION("""COMPUTED_VALUE"""),FALSE)</f>
        <v>0</v>
      </c>
      <c r="H4" s="6" t="str">
        <f>IFERROR(__xludf.DUMMYFUNCTION("""COMPUTED_VALUE"""),"Daily")</f>
        <v>Daily</v>
      </c>
      <c r="I4" s="8">
        <f>IF($A4&lt;&gt;"",SUMIFS(Transactions!$B:$B,Transactions!$C:$C,$A4),)</f>
        <v>0</v>
      </c>
      <c r="J4" s="9">
        <f>IF($A4&lt;&gt;"",SUMIFS(PaidTransactions!$B:$B,PaidTransactions!$C:$C,$A4),)</f>
        <v>14234.91798</v>
      </c>
      <c r="K4" s="10">
        <v>44927.8792866088</v>
      </c>
      <c r="L4" s="10">
        <f t="shared" si="1"/>
        <v>44933.875</v>
      </c>
      <c r="M4" s="10" t="str">
        <f>IFERROR(__xludf.DUMMYFUNCTION("""COMPUTED_VALUE"""),"isadeloenzien@gmail.com")</f>
        <v>isadeloenzien@gmail.com</v>
      </c>
    </row>
    <row r="5">
      <c r="A5" s="6">
        <f>IFERROR(__xludf.DUMMYFUNCTION("""COMPUTED_VALUE"""),5.0)</f>
        <v>5</v>
      </c>
      <c r="B5" s="6" t="str">
        <f>IFERROR(__xludf.DUMMYFUNCTION("""COMPUTED_VALUE"""),"FZ2XhTrvYqcytTzRUT54GyYjtNXF2L3cQZ9qEaTKe8Hg")</f>
        <v>FZ2XhTrvYqcytTzRUT54GyYjtNXF2L3cQZ9qEaTKe8Hg</v>
      </c>
      <c r="C5" s="6" t="str">
        <f>IFERROR(__xludf.DUMMYFUNCTION("""COMPUTED_VALUE"""),"Garage Nicolas")</f>
        <v>Garage Nicolas</v>
      </c>
      <c r="D5" s="7" t="str">
        <f>IFERROR(__xludf.DUMMYFUNCTION("""COMPUTED_VALUE"""),"EUR")</f>
        <v>EUR</v>
      </c>
      <c r="E5" s="6">
        <f>IFERROR(__xludf.DUMMYFUNCTION("""COMPUTED_VALUE"""),3000.0)</f>
        <v>3000</v>
      </c>
      <c r="F5" s="6" t="str">
        <f>IFERROR(__xludf.DUMMYFUNCTION("""COMPUTED_VALUE"""),"ST-NIC")</f>
        <v>ST-NIC</v>
      </c>
      <c r="G5" s="6" t="b">
        <f>IFERROR(__xludf.DUMMYFUNCTION("""COMPUTED_VALUE"""),TRUE)</f>
        <v>1</v>
      </c>
      <c r="H5" s="6" t="str">
        <f>IFERROR(__xludf.DUMMYFUNCTION("""COMPUTED_VALUE"""),"Weekly")</f>
        <v>Weekly</v>
      </c>
      <c r="I5" s="8">
        <f>IF($A5&lt;&gt;"",SUMIFS(Transactions!$B:$B,Transactions!$C:$C,$A5),)</f>
        <v>0</v>
      </c>
      <c r="J5" s="9">
        <f>IF($A5&lt;&gt;"",SUMIFS(PaidTransactions!$B:$B,PaidTransactions!$C:$C,$A5),)</f>
        <v>598.34</v>
      </c>
      <c r="K5" s="10">
        <v>44927.8792866088</v>
      </c>
      <c r="L5" s="10">
        <f t="shared" si="1"/>
        <v>44934.875</v>
      </c>
      <c r="M5" s="10" t="str">
        <f>IFERROR(__xludf.DUMMYFUNCTION("""COMPUTED_VALUE"""),"garagenicolas29@gmail.com")</f>
        <v>garagenicolas29@gmail.com</v>
      </c>
    </row>
    <row r="6">
      <c r="D6" s="7"/>
      <c r="I6" s="8" t="str">
        <f>IF($A6&lt;&gt;"",SUMIFS(Transactions!$B:$B,Transactions!$C:$C,$A6),)</f>
        <v/>
      </c>
      <c r="J6" s="9" t="str">
        <f>IF($A6&lt;&gt;"",SUMIFS(PaidTransactions!$B:$B,PaidTransactions!$C:$C,$A6),)</f>
        <v/>
      </c>
      <c r="K6" s="10"/>
      <c r="L6" s="10" t="str">
        <f t="shared" ref="L6:L99" si="2">IF($A6&lt;&gt;"",SWITCH($F6,"Monthly",DATE(YEAR(TODAY()),MONTH(TODAY())+1,1),"Weekly",TODAY()+7-WEEKDAY(TODAY(),2),"Daily",TODAY()) + TIME(21,0,0),)</f>
        <v/>
      </c>
      <c r="M6" s="10"/>
    </row>
    <row r="7">
      <c r="D7" s="7"/>
      <c r="I7" s="8" t="str">
        <f>IF($A7&lt;&gt;"",SUMIFS(Transactions!$B:$B,Transactions!$C:$C,$A7),)</f>
        <v/>
      </c>
      <c r="J7" s="9" t="str">
        <f>IF($A7&lt;&gt;"",SUMIFS(PaidTransactions!$B:$B,PaidTransactions!$C:$C,$A7),)</f>
        <v/>
      </c>
      <c r="K7" s="10"/>
      <c r="L7" s="10" t="str">
        <f t="shared" si="2"/>
        <v/>
      </c>
      <c r="M7" s="10"/>
    </row>
    <row r="8">
      <c r="D8" s="7"/>
      <c r="I8" s="8" t="str">
        <f>IF($A8&lt;&gt;"",SUMIFS(Transactions!$B:$B,Transactions!$C:$C,$A8),)</f>
        <v/>
      </c>
      <c r="J8" s="9" t="str">
        <f>IF($A8&lt;&gt;"",SUMIFS(PaidTransactions!$B:$B,PaidTransactions!$C:$C,$A8),)</f>
        <v/>
      </c>
      <c r="K8" s="10"/>
      <c r="L8" s="10" t="str">
        <f t="shared" si="2"/>
        <v/>
      </c>
      <c r="M8" s="10"/>
    </row>
    <row r="9">
      <c r="D9" s="7"/>
      <c r="I9" s="8" t="str">
        <f>IF($A9&lt;&gt;"",SUMIFS(Transactions!$B:$B,Transactions!$C:$C,$A9),)</f>
        <v/>
      </c>
      <c r="J9" s="9" t="str">
        <f>IF($A9&lt;&gt;"",SUMIFS(PaidTransactions!$B:$B,PaidTransactions!$C:$C,$A9),)</f>
        <v/>
      </c>
      <c r="K9" s="10"/>
      <c r="L9" s="10" t="str">
        <f t="shared" si="2"/>
        <v/>
      </c>
      <c r="M9" s="10"/>
    </row>
    <row r="10">
      <c r="D10" s="7"/>
      <c r="I10" s="8" t="str">
        <f>IF($A10&lt;&gt;"",SUMIFS(Transactions!$B:$B,Transactions!$C:$C,$A10),)</f>
        <v/>
      </c>
      <c r="J10" s="9" t="str">
        <f>IF($A10&lt;&gt;"",SUMIFS(PaidTransactions!$B:$B,PaidTransactions!$C:$C,$A10),)</f>
        <v/>
      </c>
      <c r="K10" s="10"/>
      <c r="L10" s="10" t="str">
        <f t="shared" si="2"/>
        <v/>
      </c>
      <c r="M10" s="10"/>
    </row>
    <row r="11">
      <c r="D11" s="7"/>
      <c r="I11" s="8" t="str">
        <f>IF($A11&lt;&gt;"",SUMIFS(Transactions!$B:$B,Transactions!$C:$C,$A11),)</f>
        <v/>
      </c>
      <c r="J11" s="9" t="str">
        <f>IF($A11&lt;&gt;"",SUMIFS(PaidTransactions!$B:$B,PaidTransactions!$C:$C,$A11),)</f>
        <v/>
      </c>
      <c r="K11" s="10"/>
      <c r="L11" s="10" t="str">
        <f t="shared" si="2"/>
        <v/>
      </c>
      <c r="M11" s="10"/>
    </row>
    <row r="12">
      <c r="D12" s="7"/>
      <c r="I12" s="8" t="str">
        <f>IF($A12&lt;&gt;"",SUMIFS(Transactions!$B:$B,Transactions!$C:$C,$A12),)</f>
        <v/>
      </c>
      <c r="J12" s="9" t="str">
        <f>IF($A12&lt;&gt;"",SUMIFS(PaidTransactions!$B:$B,PaidTransactions!$C:$C,$A12),)</f>
        <v/>
      </c>
      <c r="K12" s="10"/>
      <c r="L12" s="10" t="str">
        <f t="shared" si="2"/>
        <v/>
      </c>
      <c r="M12" s="10"/>
    </row>
    <row r="13">
      <c r="D13" s="7"/>
      <c r="I13" s="8" t="str">
        <f>IF($A13&lt;&gt;"",SUMIFS(Transactions!$B:$B,Transactions!$C:$C,$A13),)</f>
        <v/>
      </c>
      <c r="J13" s="9" t="str">
        <f>IF($A13&lt;&gt;"",SUMIFS(PaidTransactions!$B:$B,PaidTransactions!$C:$C,$A13),)</f>
        <v/>
      </c>
      <c r="K13" s="10"/>
      <c r="L13" s="10" t="str">
        <f t="shared" si="2"/>
        <v/>
      </c>
      <c r="M13" s="10"/>
    </row>
    <row r="14">
      <c r="D14" s="7"/>
      <c r="I14" s="8" t="str">
        <f>IF($A14&lt;&gt;"",SUMIFS(Transactions!$B:$B,Transactions!$C:$C,$A14),)</f>
        <v/>
      </c>
      <c r="J14" s="9" t="str">
        <f>IF($A14&lt;&gt;"",SUMIFS(PaidTransactions!$B:$B,PaidTransactions!$C:$C,$A14),)</f>
        <v/>
      </c>
      <c r="K14" s="10"/>
      <c r="L14" s="10" t="str">
        <f t="shared" si="2"/>
        <v/>
      </c>
      <c r="M14" s="10"/>
    </row>
    <row r="15">
      <c r="D15" s="7"/>
      <c r="I15" s="8" t="str">
        <f>IF($A15&lt;&gt;"",SUMIFS(Transactions!$B:$B,Transactions!$C:$C,$A15),)</f>
        <v/>
      </c>
      <c r="J15" s="9" t="str">
        <f>IF($A15&lt;&gt;"",SUMIFS(PaidTransactions!$B:$B,PaidTransactions!$C:$C,$A15),)</f>
        <v/>
      </c>
      <c r="K15" s="10"/>
      <c r="L15" s="10" t="str">
        <f t="shared" si="2"/>
        <v/>
      </c>
      <c r="M15" s="10"/>
    </row>
    <row r="16">
      <c r="D16" s="7"/>
      <c r="I16" s="8" t="str">
        <f>IF($A16&lt;&gt;"",SUMIFS(Transactions!$B:$B,Transactions!$C:$C,$A16),)</f>
        <v/>
      </c>
      <c r="J16" s="9" t="str">
        <f>IF($A16&lt;&gt;"",SUMIFS(PaidTransactions!$B:$B,PaidTransactions!$C:$C,$A16),)</f>
        <v/>
      </c>
      <c r="K16" s="10"/>
      <c r="L16" s="10" t="str">
        <f t="shared" si="2"/>
        <v/>
      </c>
      <c r="M16" s="10"/>
    </row>
    <row r="17">
      <c r="D17" s="7"/>
      <c r="I17" s="8" t="str">
        <f>IF($A17&lt;&gt;"",SUMIFS(Transactions!$B:$B,Transactions!$C:$C,$A17),)</f>
        <v/>
      </c>
      <c r="J17" s="9" t="str">
        <f>IF($A17&lt;&gt;"",SUMIFS(PaidTransactions!$B:$B,PaidTransactions!$C:$C,$A17),)</f>
        <v/>
      </c>
      <c r="K17" s="10"/>
      <c r="L17" s="10" t="str">
        <f t="shared" si="2"/>
        <v/>
      </c>
      <c r="M17" s="10"/>
    </row>
    <row r="18">
      <c r="D18" s="7"/>
      <c r="I18" s="8" t="str">
        <f>IF($A18&lt;&gt;"",SUMIFS(Transactions!$B:$B,Transactions!$C:$C,$A18),)</f>
        <v/>
      </c>
      <c r="J18" s="9" t="str">
        <f>IF($A18&lt;&gt;"",SUMIFS(PaidTransactions!$B:$B,PaidTransactions!$C:$C,$A18),)</f>
        <v/>
      </c>
      <c r="K18" s="10"/>
      <c r="L18" s="10" t="str">
        <f t="shared" si="2"/>
        <v/>
      </c>
      <c r="M18" s="10"/>
    </row>
    <row r="19">
      <c r="D19" s="7"/>
      <c r="I19" s="8" t="str">
        <f>IF($A19&lt;&gt;"",SUMIFS(Transactions!$B:$B,Transactions!$C:$C,$A19),)</f>
        <v/>
      </c>
      <c r="J19" s="9" t="str">
        <f>IF($A19&lt;&gt;"",SUMIFS(PaidTransactions!$B:$B,PaidTransactions!$C:$C,$A19),)</f>
        <v/>
      </c>
      <c r="K19" s="10"/>
      <c r="L19" s="10" t="str">
        <f t="shared" si="2"/>
        <v/>
      </c>
      <c r="M19" s="10"/>
    </row>
    <row r="20">
      <c r="D20" s="7"/>
      <c r="I20" s="8" t="str">
        <f>IF($A20&lt;&gt;"",SUMIFS(Transactions!$B:$B,Transactions!$C:$C,$A20),)</f>
        <v/>
      </c>
      <c r="J20" s="9" t="str">
        <f>IF($A20&lt;&gt;"",SUMIFS(PaidTransactions!$B:$B,PaidTransactions!$C:$C,$A20),)</f>
        <v/>
      </c>
      <c r="K20" s="10"/>
      <c r="L20" s="10" t="str">
        <f t="shared" si="2"/>
        <v/>
      </c>
      <c r="M20" s="10"/>
    </row>
    <row r="21">
      <c r="D21" s="7"/>
      <c r="I21" s="8" t="str">
        <f>IF($A21&lt;&gt;"",SUMIFS(Transactions!$B:$B,Transactions!$C:$C,$A21),)</f>
        <v/>
      </c>
      <c r="J21" s="9" t="str">
        <f>IF($A21&lt;&gt;"",SUMIFS(PaidTransactions!$B:$B,PaidTransactions!$C:$C,$A21),)</f>
        <v/>
      </c>
      <c r="K21" s="10"/>
      <c r="L21" s="10" t="str">
        <f t="shared" si="2"/>
        <v/>
      </c>
      <c r="M21" s="10"/>
    </row>
    <row r="22">
      <c r="D22" s="7"/>
      <c r="I22" s="8" t="str">
        <f>IF($A22&lt;&gt;"",SUMIFS(Transactions!$B:$B,Transactions!$C:$C,$A22),)</f>
        <v/>
      </c>
      <c r="J22" s="9" t="str">
        <f>IF($A22&lt;&gt;"",SUMIFS(PaidTransactions!$B:$B,PaidTransactions!$C:$C,$A22),)</f>
        <v/>
      </c>
      <c r="K22" s="10"/>
      <c r="L22" s="10" t="str">
        <f t="shared" si="2"/>
        <v/>
      </c>
      <c r="M22" s="10"/>
    </row>
    <row r="23">
      <c r="D23" s="7"/>
      <c r="I23" s="8" t="str">
        <f>IF($A23&lt;&gt;"",SUMIFS(Transactions!$B:$B,Transactions!$C:$C,$A23),)</f>
        <v/>
      </c>
      <c r="J23" s="9" t="str">
        <f>IF($A23&lt;&gt;"",SUMIFS(PaidTransactions!$B:$B,PaidTransactions!$C:$C,$A23),)</f>
        <v/>
      </c>
      <c r="K23" s="10"/>
      <c r="L23" s="10" t="str">
        <f t="shared" si="2"/>
        <v/>
      </c>
      <c r="M23" s="10"/>
    </row>
    <row r="24">
      <c r="D24" s="7"/>
      <c r="I24" s="8" t="str">
        <f>IF($A24&lt;&gt;"",SUMIFS(Transactions!$B:$B,Transactions!$C:$C,$A24),)</f>
        <v/>
      </c>
      <c r="J24" s="9" t="str">
        <f>IF($A24&lt;&gt;"",SUMIFS(PaidTransactions!$B:$B,PaidTransactions!$C:$C,$A24),)</f>
        <v/>
      </c>
      <c r="K24" s="10"/>
      <c r="L24" s="10" t="str">
        <f t="shared" si="2"/>
        <v/>
      </c>
      <c r="M24" s="10"/>
    </row>
    <row r="25">
      <c r="D25" s="7"/>
      <c r="I25" s="8" t="str">
        <f>IF($A25&lt;&gt;"",SUMIFS(Transactions!$B:$B,Transactions!$C:$C,$A25),)</f>
        <v/>
      </c>
      <c r="J25" s="9" t="str">
        <f>IF($A25&lt;&gt;"",SUMIFS(PaidTransactions!$B:$B,PaidTransactions!$C:$C,$A25),)</f>
        <v/>
      </c>
      <c r="K25" s="10"/>
      <c r="L25" s="10" t="str">
        <f t="shared" si="2"/>
        <v/>
      </c>
      <c r="M25" s="10"/>
    </row>
    <row r="26">
      <c r="D26" s="7"/>
      <c r="I26" s="8" t="str">
        <f>IF($A26&lt;&gt;"",SUMIFS(Transactions!$B:$B,Transactions!$C:$C,$A26),)</f>
        <v/>
      </c>
      <c r="J26" s="9" t="str">
        <f>IF($A26&lt;&gt;"",SUMIFS(PaidTransactions!$B:$B,PaidTransactions!$C:$C,$A26),)</f>
        <v/>
      </c>
      <c r="K26" s="10"/>
      <c r="L26" s="10" t="str">
        <f t="shared" si="2"/>
        <v/>
      </c>
      <c r="M26" s="10"/>
    </row>
    <row r="27">
      <c r="D27" s="7"/>
      <c r="I27" s="8" t="str">
        <f>IF($A27&lt;&gt;"",SUMIFS(Transactions!$B:$B,Transactions!$C:$C,$A27),)</f>
        <v/>
      </c>
      <c r="J27" s="9" t="str">
        <f>IF($A27&lt;&gt;"",SUMIFS(PaidTransactions!$B:$B,PaidTransactions!$C:$C,$A27),)</f>
        <v/>
      </c>
      <c r="K27" s="10"/>
      <c r="L27" s="10" t="str">
        <f t="shared" si="2"/>
        <v/>
      </c>
      <c r="M27" s="10"/>
    </row>
    <row r="28">
      <c r="D28" s="7"/>
      <c r="I28" s="8" t="str">
        <f>IF($A28&lt;&gt;"",SUMIFS(Transactions!$B:$B,Transactions!$C:$C,$A28),)</f>
        <v/>
      </c>
      <c r="J28" s="9" t="str">
        <f>IF($A28&lt;&gt;"",SUMIFS(PaidTransactions!$B:$B,PaidTransactions!$C:$C,$A28),)</f>
        <v/>
      </c>
      <c r="K28" s="10"/>
      <c r="L28" s="10" t="str">
        <f t="shared" si="2"/>
        <v/>
      </c>
      <c r="M28" s="10"/>
    </row>
    <row r="29">
      <c r="D29" s="7"/>
      <c r="I29" s="8" t="str">
        <f>IF($A29&lt;&gt;"",SUMIFS(Transactions!$B:$B,Transactions!$C:$C,$A29),)</f>
        <v/>
      </c>
      <c r="J29" s="9" t="str">
        <f>IF($A29&lt;&gt;"",SUMIFS(PaidTransactions!$B:$B,PaidTransactions!$C:$C,$A29),)</f>
        <v/>
      </c>
      <c r="K29" s="10"/>
      <c r="L29" s="10" t="str">
        <f t="shared" si="2"/>
        <v/>
      </c>
      <c r="M29" s="10"/>
    </row>
    <row r="30">
      <c r="D30" s="7"/>
      <c r="I30" s="8" t="str">
        <f>IF($A30&lt;&gt;"",SUMIFS(Transactions!$B:$B,Transactions!$C:$C,$A30),)</f>
        <v/>
      </c>
      <c r="J30" s="9" t="str">
        <f>IF($A30&lt;&gt;"",SUMIFS(PaidTransactions!$B:$B,PaidTransactions!$C:$C,$A30),)</f>
        <v/>
      </c>
      <c r="K30" s="10"/>
      <c r="L30" s="10" t="str">
        <f t="shared" si="2"/>
        <v/>
      </c>
      <c r="M30" s="10"/>
    </row>
    <row r="31">
      <c r="D31" s="7"/>
      <c r="I31" s="8" t="str">
        <f>IF($A31&lt;&gt;"",SUMIFS(Transactions!$B:$B,Transactions!$C:$C,$A31),)</f>
        <v/>
      </c>
      <c r="J31" s="9" t="str">
        <f>IF($A31&lt;&gt;"",SUMIFS(PaidTransactions!$B:$B,PaidTransactions!$C:$C,$A31),)</f>
        <v/>
      </c>
      <c r="K31" s="10"/>
      <c r="L31" s="10" t="str">
        <f t="shared" si="2"/>
        <v/>
      </c>
      <c r="M31" s="10"/>
    </row>
    <row r="32">
      <c r="D32" s="7"/>
      <c r="I32" s="8" t="str">
        <f>IF($A32&lt;&gt;"",SUMIFS(Transactions!$B:$B,Transactions!$C:$C,$A32),)</f>
        <v/>
      </c>
      <c r="J32" s="9" t="str">
        <f>IF($A32&lt;&gt;"",SUMIFS(PaidTransactions!$B:$B,PaidTransactions!$C:$C,$A32),)</f>
        <v/>
      </c>
      <c r="K32" s="10"/>
      <c r="L32" s="10" t="str">
        <f t="shared" si="2"/>
        <v/>
      </c>
      <c r="M32" s="10"/>
    </row>
    <row r="33">
      <c r="D33" s="7"/>
      <c r="I33" s="8" t="str">
        <f>IF($A33&lt;&gt;"",SUMIFS(Transactions!$B:$B,Transactions!$C:$C,$A33),)</f>
        <v/>
      </c>
      <c r="J33" s="9" t="str">
        <f>IF($A33&lt;&gt;"",SUMIFS(PaidTransactions!$B:$B,PaidTransactions!$C:$C,$A33),)</f>
        <v/>
      </c>
      <c r="K33" s="10"/>
      <c r="L33" s="10" t="str">
        <f t="shared" si="2"/>
        <v/>
      </c>
      <c r="M33" s="10"/>
    </row>
    <row r="34">
      <c r="D34" s="7"/>
      <c r="I34" s="8" t="str">
        <f>IF($A34&lt;&gt;"",SUMIFS(Transactions!$B:$B,Transactions!$C:$C,$A34),)</f>
        <v/>
      </c>
      <c r="J34" s="9" t="str">
        <f>IF($A34&lt;&gt;"",SUMIFS(PaidTransactions!$B:$B,PaidTransactions!$C:$C,$A34),)</f>
        <v/>
      </c>
      <c r="K34" s="10"/>
      <c r="L34" s="10" t="str">
        <f t="shared" si="2"/>
        <v/>
      </c>
      <c r="M34" s="10"/>
    </row>
    <row r="35">
      <c r="D35" s="7"/>
      <c r="I35" s="8" t="str">
        <f>IF($A35&lt;&gt;"",SUMIFS(Transactions!$B:$B,Transactions!$C:$C,$A35),)</f>
        <v/>
      </c>
      <c r="J35" s="9" t="str">
        <f>IF($A35&lt;&gt;"",SUMIFS(PaidTransactions!$B:$B,PaidTransactions!$C:$C,$A35),)</f>
        <v/>
      </c>
      <c r="K35" s="10"/>
      <c r="L35" s="10" t="str">
        <f t="shared" si="2"/>
        <v/>
      </c>
      <c r="M35" s="10"/>
    </row>
    <row r="36">
      <c r="D36" s="7"/>
      <c r="I36" s="8" t="str">
        <f>IF($A36&lt;&gt;"",SUMIFS(Transactions!$B:$B,Transactions!$C:$C,$A36),)</f>
        <v/>
      </c>
      <c r="J36" s="9" t="str">
        <f>IF($A36&lt;&gt;"",SUMIFS(PaidTransactions!$B:$B,PaidTransactions!$C:$C,$A36),)</f>
        <v/>
      </c>
      <c r="K36" s="10"/>
      <c r="L36" s="10" t="str">
        <f t="shared" si="2"/>
        <v/>
      </c>
      <c r="M36" s="10"/>
    </row>
    <row r="37">
      <c r="D37" s="7"/>
      <c r="I37" s="8" t="str">
        <f>IF($A37&lt;&gt;"",SUMIFS(Transactions!$B:$B,Transactions!$C:$C,$A37),)</f>
        <v/>
      </c>
      <c r="J37" s="9" t="str">
        <f>IF($A37&lt;&gt;"",SUMIFS(PaidTransactions!$B:$B,PaidTransactions!$C:$C,$A37),)</f>
        <v/>
      </c>
      <c r="K37" s="10"/>
      <c r="L37" s="10" t="str">
        <f t="shared" si="2"/>
        <v/>
      </c>
      <c r="M37" s="10"/>
    </row>
    <row r="38">
      <c r="D38" s="7"/>
      <c r="I38" s="8" t="str">
        <f>IF($A38&lt;&gt;"",SUMIFS(Transactions!$B:$B,Transactions!$C:$C,$A38),)</f>
        <v/>
      </c>
      <c r="J38" s="9" t="str">
        <f>IF($A38&lt;&gt;"",SUMIFS(PaidTransactions!$B:$B,PaidTransactions!$C:$C,$A38),)</f>
        <v/>
      </c>
      <c r="K38" s="10"/>
      <c r="L38" s="10" t="str">
        <f t="shared" si="2"/>
        <v/>
      </c>
      <c r="M38" s="10"/>
    </row>
    <row r="39">
      <c r="D39" s="7"/>
      <c r="I39" s="8" t="str">
        <f>IF($A39&lt;&gt;"",SUMIFS(Transactions!$B:$B,Transactions!$C:$C,$A39),)</f>
        <v/>
      </c>
      <c r="J39" s="9" t="str">
        <f>IF($A39&lt;&gt;"",SUMIFS(PaidTransactions!$B:$B,PaidTransactions!$C:$C,$A39),)</f>
        <v/>
      </c>
      <c r="K39" s="10"/>
      <c r="L39" s="10" t="str">
        <f t="shared" si="2"/>
        <v/>
      </c>
      <c r="M39" s="10"/>
    </row>
    <row r="40">
      <c r="D40" s="7"/>
      <c r="I40" s="8" t="str">
        <f>IF($A40&lt;&gt;"",SUMIFS(Transactions!$B:$B,Transactions!$C:$C,$A40),)</f>
        <v/>
      </c>
      <c r="J40" s="9" t="str">
        <f>IF($A40&lt;&gt;"",SUMIFS(PaidTransactions!$B:$B,PaidTransactions!$C:$C,$A40),)</f>
        <v/>
      </c>
      <c r="K40" s="10"/>
      <c r="L40" s="10" t="str">
        <f t="shared" si="2"/>
        <v/>
      </c>
      <c r="M40" s="10"/>
    </row>
    <row r="41">
      <c r="D41" s="7"/>
      <c r="I41" s="8" t="str">
        <f>IF($A41&lt;&gt;"",SUMIFS(Transactions!$B:$B,Transactions!$C:$C,$A41),)</f>
        <v/>
      </c>
      <c r="J41" s="9" t="str">
        <f>IF($A41&lt;&gt;"",SUMIFS(PaidTransactions!$B:$B,PaidTransactions!$C:$C,$A41),)</f>
        <v/>
      </c>
      <c r="K41" s="10"/>
      <c r="L41" s="10" t="str">
        <f t="shared" si="2"/>
        <v/>
      </c>
      <c r="M41" s="10"/>
    </row>
    <row r="42">
      <c r="D42" s="7"/>
      <c r="I42" s="8" t="str">
        <f>IF($A42&lt;&gt;"",SUMIFS(Transactions!$B:$B,Transactions!$C:$C,$A42),)</f>
        <v/>
      </c>
      <c r="J42" s="9" t="str">
        <f>IF($A42&lt;&gt;"",SUMIFS(PaidTransactions!$B:$B,PaidTransactions!$C:$C,$A42),)</f>
        <v/>
      </c>
      <c r="K42" s="10"/>
      <c r="L42" s="10" t="str">
        <f t="shared" si="2"/>
        <v/>
      </c>
      <c r="M42" s="10"/>
    </row>
    <row r="43">
      <c r="D43" s="7"/>
      <c r="I43" s="8" t="str">
        <f>IF($A43&lt;&gt;"",SUMIFS(Transactions!$B:$B,Transactions!$C:$C,$A43),)</f>
        <v/>
      </c>
      <c r="J43" s="9" t="str">
        <f>IF($A43&lt;&gt;"",SUMIFS(PaidTransactions!$B:$B,PaidTransactions!$C:$C,$A43),)</f>
        <v/>
      </c>
      <c r="K43" s="10"/>
      <c r="L43" s="10" t="str">
        <f t="shared" si="2"/>
        <v/>
      </c>
      <c r="M43" s="10"/>
    </row>
    <row r="44">
      <c r="D44" s="7"/>
      <c r="I44" s="8" t="str">
        <f>IF($A44&lt;&gt;"",SUMIFS(Transactions!$B:$B,Transactions!$C:$C,$A44),)</f>
        <v/>
      </c>
      <c r="J44" s="9" t="str">
        <f>IF($A44&lt;&gt;"",SUMIFS(PaidTransactions!$B:$B,PaidTransactions!$C:$C,$A44),)</f>
        <v/>
      </c>
      <c r="K44" s="10"/>
      <c r="L44" s="10" t="str">
        <f t="shared" si="2"/>
        <v/>
      </c>
      <c r="M44" s="10"/>
    </row>
    <row r="45">
      <c r="D45" s="7"/>
      <c r="I45" s="8" t="str">
        <f>IF($A45&lt;&gt;"",SUMIFS(Transactions!$B:$B,Transactions!$C:$C,$A45),)</f>
        <v/>
      </c>
      <c r="J45" s="9" t="str">
        <f>IF($A45&lt;&gt;"",SUMIFS(PaidTransactions!$B:$B,PaidTransactions!$C:$C,$A45),)</f>
        <v/>
      </c>
      <c r="K45" s="10"/>
      <c r="L45" s="10" t="str">
        <f t="shared" si="2"/>
        <v/>
      </c>
      <c r="M45" s="10"/>
    </row>
    <row r="46">
      <c r="D46" s="7"/>
      <c r="I46" s="8" t="str">
        <f>IF($A46&lt;&gt;"",SUMIFS(Transactions!$B:$B,Transactions!$C:$C,$A46),)</f>
        <v/>
      </c>
      <c r="J46" s="9" t="str">
        <f>IF($A46&lt;&gt;"",SUMIFS(PaidTransactions!$B:$B,PaidTransactions!$C:$C,$A46),)</f>
        <v/>
      </c>
      <c r="K46" s="10"/>
      <c r="L46" s="10" t="str">
        <f t="shared" si="2"/>
        <v/>
      </c>
      <c r="M46" s="10"/>
    </row>
    <row r="47">
      <c r="D47" s="7"/>
      <c r="I47" s="8" t="str">
        <f>IF($A47&lt;&gt;"",SUMIFS(Transactions!$B:$B,Transactions!$C:$C,$A47),)</f>
        <v/>
      </c>
      <c r="J47" s="9" t="str">
        <f>IF($A47&lt;&gt;"",SUMIFS(PaidTransactions!$B:$B,PaidTransactions!$C:$C,$A47),)</f>
        <v/>
      </c>
      <c r="K47" s="10"/>
      <c r="L47" s="10" t="str">
        <f t="shared" si="2"/>
        <v/>
      </c>
      <c r="M47" s="10"/>
    </row>
    <row r="48">
      <c r="D48" s="7"/>
      <c r="I48" s="8" t="str">
        <f>IF($A48&lt;&gt;"",SUMIFS(Transactions!$B:$B,Transactions!$C:$C,$A48),)</f>
        <v/>
      </c>
      <c r="J48" s="9" t="str">
        <f>IF($A48&lt;&gt;"",SUMIFS(PaidTransactions!$B:$B,PaidTransactions!$C:$C,$A48),)</f>
        <v/>
      </c>
      <c r="K48" s="10"/>
      <c r="L48" s="10" t="str">
        <f t="shared" si="2"/>
        <v/>
      </c>
      <c r="M48" s="10"/>
    </row>
    <row r="49">
      <c r="D49" s="7"/>
      <c r="I49" s="8" t="str">
        <f>IF($A49&lt;&gt;"",SUMIFS(Transactions!$B:$B,Transactions!$C:$C,$A49),)</f>
        <v/>
      </c>
      <c r="J49" s="9" t="str">
        <f>IF($A49&lt;&gt;"",SUMIFS(PaidTransactions!$B:$B,PaidTransactions!$C:$C,$A49),)</f>
        <v/>
      </c>
      <c r="K49" s="10"/>
      <c r="L49" s="10" t="str">
        <f t="shared" si="2"/>
        <v/>
      </c>
      <c r="M49" s="10"/>
    </row>
    <row r="50">
      <c r="D50" s="7"/>
      <c r="I50" s="8" t="str">
        <f>IF($A50&lt;&gt;"",SUMIFS(Transactions!$B:$B,Transactions!$C:$C,$A50),)</f>
        <v/>
      </c>
      <c r="J50" s="9" t="str">
        <f>IF($A50&lt;&gt;"",SUMIFS(PaidTransactions!$B:$B,PaidTransactions!$C:$C,$A50),)</f>
        <v/>
      </c>
      <c r="K50" s="10"/>
      <c r="L50" s="10" t="str">
        <f t="shared" si="2"/>
        <v/>
      </c>
      <c r="M50" s="10"/>
    </row>
    <row r="51">
      <c r="D51" s="7"/>
      <c r="I51" s="8" t="str">
        <f>IF($A51&lt;&gt;"",SUMIFS(Transactions!$B:$B,Transactions!$C:$C,$A51),)</f>
        <v/>
      </c>
      <c r="J51" s="9" t="str">
        <f>IF($A51&lt;&gt;"",SUMIFS(PaidTransactions!$B:$B,PaidTransactions!$C:$C,$A51),)</f>
        <v/>
      </c>
      <c r="K51" s="10"/>
      <c r="L51" s="10" t="str">
        <f t="shared" si="2"/>
        <v/>
      </c>
      <c r="M51" s="10"/>
    </row>
    <row r="52">
      <c r="D52" s="7"/>
      <c r="I52" s="8" t="str">
        <f>IF($A52&lt;&gt;"",SUMIFS(Transactions!$B:$B,Transactions!$C:$C,$A52),)</f>
        <v/>
      </c>
      <c r="J52" s="9" t="str">
        <f>IF($A52&lt;&gt;"",SUMIFS(PaidTransactions!$B:$B,PaidTransactions!$C:$C,$A52),)</f>
        <v/>
      </c>
      <c r="K52" s="10"/>
      <c r="L52" s="10" t="str">
        <f t="shared" si="2"/>
        <v/>
      </c>
      <c r="M52" s="10"/>
    </row>
    <row r="53">
      <c r="D53" s="7"/>
      <c r="I53" s="8" t="str">
        <f>IF($A53&lt;&gt;"",SUMIFS(Transactions!$B:$B,Transactions!$C:$C,$A53),)</f>
        <v/>
      </c>
      <c r="J53" s="9" t="str">
        <f>IF($A53&lt;&gt;"",SUMIFS(PaidTransactions!$B:$B,PaidTransactions!$C:$C,$A53),)</f>
        <v/>
      </c>
      <c r="K53" s="10"/>
      <c r="L53" s="10" t="str">
        <f t="shared" si="2"/>
        <v/>
      </c>
      <c r="M53" s="10"/>
    </row>
    <row r="54">
      <c r="D54" s="7"/>
      <c r="I54" s="8" t="str">
        <f>IF($A54&lt;&gt;"",SUMIFS(Transactions!$B:$B,Transactions!$C:$C,$A54),)</f>
        <v/>
      </c>
      <c r="J54" s="9" t="str">
        <f>IF($A54&lt;&gt;"",SUMIFS(PaidTransactions!$B:$B,PaidTransactions!$C:$C,$A54),)</f>
        <v/>
      </c>
      <c r="K54" s="10"/>
      <c r="L54" s="10" t="str">
        <f t="shared" si="2"/>
        <v/>
      </c>
      <c r="M54" s="10"/>
    </row>
    <row r="55">
      <c r="D55" s="7"/>
      <c r="I55" s="8" t="str">
        <f>IF($A55&lt;&gt;"",SUMIFS(Transactions!$B:$B,Transactions!$C:$C,$A55),)</f>
        <v/>
      </c>
      <c r="J55" s="9" t="str">
        <f>IF($A55&lt;&gt;"",SUMIFS(PaidTransactions!$B:$B,PaidTransactions!$C:$C,$A55),)</f>
        <v/>
      </c>
      <c r="K55" s="10"/>
      <c r="L55" s="10" t="str">
        <f t="shared" si="2"/>
        <v/>
      </c>
      <c r="M55" s="10"/>
    </row>
    <row r="56">
      <c r="D56" s="7"/>
      <c r="I56" s="8" t="str">
        <f>IF($A56&lt;&gt;"",SUMIFS(Transactions!$B:$B,Transactions!$C:$C,$A56),)</f>
        <v/>
      </c>
      <c r="J56" s="9" t="str">
        <f>IF($A56&lt;&gt;"",SUMIFS(PaidTransactions!$B:$B,PaidTransactions!$C:$C,$A56),)</f>
        <v/>
      </c>
      <c r="K56" s="10"/>
      <c r="L56" s="10" t="str">
        <f t="shared" si="2"/>
        <v/>
      </c>
      <c r="M56" s="10"/>
    </row>
    <row r="57">
      <c r="D57" s="7"/>
      <c r="I57" s="8" t="str">
        <f>IF($A57&lt;&gt;"",SUMIFS(Transactions!$B:$B,Transactions!$C:$C,$A57),)</f>
        <v/>
      </c>
      <c r="J57" s="9" t="str">
        <f>IF($A57&lt;&gt;"",SUMIFS(PaidTransactions!$B:$B,PaidTransactions!$C:$C,$A57),)</f>
        <v/>
      </c>
      <c r="K57" s="10"/>
      <c r="L57" s="10" t="str">
        <f t="shared" si="2"/>
        <v/>
      </c>
      <c r="M57" s="10"/>
    </row>
    <row r="58">
      <c r="D58" s="7"/>
      <c r="I58" s="8" t="str">
        <f>IF($A58&lt;&gt;"",SUMIFS(Transactions!$B:$B,Transactions!$C:$C,$A58),)</f>
        <v/>
      </c>
      <c r="J58" s="9" t="str">
        <f>IF($A58&lt;&gt;"",SUMIFS(PaidTransactions!$B:$B,PaidTransactions!$C:$C,$A58),)</f>
        <v/>
      </c>
      <c r="K58" s="10"/>
      <c r="L58" s="10" t="str">
        <f t="shared" si="2"/>
        <v/>
      </c>
      <c r="M58" s="10"/>
    </row>
    <row r="59">
      <c r="D59" s="7"/>
      <c r="I59" s="8" t="str">
        <f>IF($A59&lt;&gt;"",SUMIFS(Transactions!$B:$B,Transactions!$C:$C,$A59),)</f>
        <v/>
      </c>
      <c r="J59" s="9" t="str">
        <f>IF($A59&lt;&gt;"",SUMIFS(PaidTransactions!$B:$B,PaidTransactions!$C:$C,$A59),)</f>
        <v/>
      </c>
      <c r="K59" s="10"/>
      <c r="L59" s="10" t="str">
        <f t="shared" si="2"/>
        <v/>
      </c>
      <c r="M59" s="10"/>
    </row>
    <row r="60">
      <c r="D60" s="7"/>
      <c r="I60" s="8" t="str">
        <f>IF($A60&lt;&gt;"",SUMIFS(Transactions!$B:$B,Transactions!$C:$C,$A60),)</f>
        <v/>
      </c>
      <c r="J60" s="9" t="str">
        <f>IF($A60&lt;&gt;"",SUMIFS(PaidTransactions!$B:$B,PaidTransactions!$C:$C,$A60),)</f>
        <v/>
      </c>
      <c r="K60" s="10"/>
      <c r="L60" s="10" t="str">
        <f t="shared" si="2"/>
        <v/>
      </c>
      <c r="M60" s="10"/>
    </row>
    <row r="61">
      <c r="D61" s="7"/>
      <c r="I61" s="8" t="str">
        <f>IF($A61&lt;&gt;"",SUMIFS(Transactions!$B:$B,Transactions!$C:$C,$A61),)</f>
        <v/>
      </c>
      <c r="J61" s="9" t="str">
        <f>IF($A61&lt;&gt;"",SUMIFS(PaidTransactions!$B:$B,PaidTransactions!$C:$C,$A61),)</f>
        <v/>
      </c>
      <c r="K61" s="10"/>
      <c r="L61" s="10" t="str">
        <f t="shared" si="2"/>
        <v/>
      </c>
      <c r="M61" s="10"/>
    </row>
    <row r="62">
      <c r="D62" s="7"/>
      <c r="I62" s="8" t="str">
        <f>IF($A62&lt;&gt;"",SUMIFS(Transactions!$B:$B,Transactions!$C:$C,$A62),)</f>
        <v/>
      </c>
      <c r="J62" s="9" t="str">
        <f>IF($A62&lt;&gt;"",SUMIFS(PaidTransactions!$B:$B,PaidTransactions!$C:$C,$A62),)</f>
        <v/>
      </c>
      <c r="K62" s="10"/>
      <c r="L62" s="10" t="str">
        <f t="shared" si="2"/>
        <v/>
      </c>
      <c r="M62" s="10"/>
    </row>
    <row r="63">
      <c r="D63" s="7"/>
      <c r="I63" s="8" t="str">
        <f>IF($A63&lt;&gt;"",SUMIFS(Transactions!$B:$B,Transactions!$C:$C,$A63),)</f>
        <v/>
      </c>
      <c r="J63" s="9" t="str">
        <f>IF($A63&lt;&gt;"",SUMIFS(PaidTransactions!$B:$B,PaidTransactions!$C:$C,$A63),)</f>
        <v/>
      </c>
      <c r="K63" s="10"/>
      <c r="L63" s="10" t="str">
        <f t="shared" si="2"/>
        <v/>
      </c>
      <c r="M63" s="10"/>
    </row>
    <row r="64">
      <c r="D64" s="7"/>
      <c r="I64" s="8" t="str">
        <f>IF($A64&lt;&gt;"",SUMIFS(Transactions!$B:$B,Transactions!$C:$C,$A64),)</f>
        <v/>
      </c>
      <c r="J64" s="9" t="str">
        <f>IF($A64&lt;&gt;"",SUMIFS(PaidTransactions!$B:$B,PaidTransactions!$C:$C,$A64),)</f>
        <v/>
      </c>
      <c r="K64" s="10"/>
      <c r="L64" s="10" t="str">
        <f t="shared" si="2"/>
        <v/>
      </c>
      <c r="M64" s="10"/>
    </row>
    <row r="65">
      <c r="D65" s="7"/>
      <c r="I65" s="8" t="str">
        <f>IF($A65&lt;&gt;"",SUMIFS(Transactions!$B:$B,Transactions!$C:$C,$A65),)</f>
        <v/>
      </c>
      <c r="J65" s="9" t="str">
        <f>IF($A65&lt;&gt;"",SUMIFS(PaidTransactions!$B:$B,PaidTransactions!$C:$C,$A65),)</f>
        <v/>
      </c>
      <c r="K65" s="10"/>
      <c r="L65" s="10" t="str">
        <f t="shared" si="2"/>
        <v/>
      </c>
      <c r="M65" s="10"/>
    </row>
    <row r="66">
      <c r="D66" s="7"/>
      <c r="I66" s="8" t="str">
        <f>IF($A66&lt;&gt;"",SUMIFS(Transactions!$B:$B,Transactions!$C:$C,$A66),)</f>
        <v/>
      </c>
      <c r="J66" s="9" t="str">
        <f>IF($A66&lt;&gt;"",SUMIFS(PaidTransactions!$B:$B,PaidTransactions!$C:$C,$A66),)</f>
        <v/>
      </c>
      <c r="K66" s="10"/>
      <c r="L66" s="10" t="str">
        <f t="shared" si="2"/>
        <v/>
      </c>
      <c r="M66" s="10"/>
    </row>
    <row r="67">
      <c r="D67" s="7"/>
      <c r="I67" s="8" t="str">
        <f>IF($A67&lt;&gt;"",SUMIFS(Transactions!$B:$B,Transactions!$C:$C,$A67),)</f>
        <v/>
      </c>
      <c r="J67" s="9" t="str">
        <f>IF($A67&lt;&gt;"",SUMIFS(PaidTransactions!$B:$B,PaidTransactions!$C:$C,$A67),)</f>
        <v/>
      </c>
      <c r="K67" s="10"/>
      <c r="L67" s="10" t="str">
        <f t="shared" si="2"/>
        <v/>
      </c>
      <c r="M67" s="10"/>
    </row>
    <row r="68">
      <c r="D68" s="7"/>
      <c r="I68" s="8" t="str">
        <f>IF($A68&lt;&gt;"",SUMIFS(Transactions!$B:$B,Transactions!$C:$C,$A68),)</f>
        <v/>
      </c>
      <c r="J68" s="9" t="str">
        <f>IF($A68&lt;&gt;"",SUMIFS(PaidTransactions!$B:$B,PaidTransactions!$C:$C,$A68),)</f>
        <v/>
      </c>
      <c r="K68" s="10"/>
      <c r="L68" s="10" t="str">
        <f t="shared" si="2"/>
        <v/>
      </c>
      <c r="M68" s="10"/>
    </row>
    <row r="69">
      <c r="D69" s="7"/>
      <c r="I69" s="8" t="str">
        <f>IF($A69&lt;&gt;"",SUMIFS(Transactions!$B:$B,Transactions!$C:$C,$A69),)</f>
        <v/>
      </c>
      <c r="J69" s="9" t="str">
        <f>IF($A69&lt;&gt;"",SUMIFS(PaidTransactions!$B:$B,PaidTransactions!$C:$C,$A69),)</f>
        <v/>
      </c>
      <c r="K69" s="10"/>
      <c r="L69" s="10" t="str">
        <f t="shared" si="2"/>
        <v/>
      </c>
      <c r="M69" s="10"/>
    </row>
    <row r="70">
      <c r="D70" s="7"/>
      <c r="I70" s="8" t="str">
        <f>IF($A70&lt;&gt;"",SUMIFS(Transactions!$B:$B,Transactions!$C:$C,$A70),)</f>
        <v/>
      </c>
      <c r="J70" s="9" t="str">
        <f>IF($A70&lt;&gt;"",SUMIFS(PaidTransactions!$B:$B,PaidTransactions!$C:$C,$A70),)</f>
        <v/>
      </c>
      <c r="K70" s="10"/>
      <c r="L70" s="10" t="str">
        <f t="shared" si="2"/>
        <v/>
      </c>
      <c r="M70" s="10"/>
    </row>
    <row r="71">
      <c r="D71" s="7"/>
      <c r="I71" s="8" t="str">
        <f>IF($A71&lt;&gt;"",SUMIFS(Transactions!$B:$B,Transactions!$C:$C,$A71),)</f>
        <v/>
      </c>
      <c r="J71" s="9" t="str">
        <f>IF($A71&lt;&gt;"",SUMIFS(PaidTransactions!$B:$B,PaidTransactions!$C:$C,$A71),)</f>
        <v/>
      </c>
      <c r="K71" s="10"/>
      <c r="L71" s="10" t="str">
        <f t="shared" si="2"/>
        <v/>
      </c>
      <c r="M71" s="10"/>
    </row>
    <row r="72">
      <c r="D72" s="7"/>
      <c r="I72" s="8" t="str">
        <f>IF($A72&lt;&gt;"",SUMIFS(Transactions!$B:$B,Transactions!$C:$C,$A72),)</f>
        <v/>
      </c>
      <c r="J72" s="9" t="str">
        <f>IF($A72&lt;&gt;"",SUMIFS(PaidTransactions!$B:$B,PaidTransactions!$C:$C,$A72),)</f>
        <v/>
      </c>
      <c r="K72" s="10"/>
      <c r="L72" s="10" t="str">
        <f t="shared" si="2"/>
        <v/>
      </c>
      <c r="M72" s="10"/>
    </row>
    <row r="73">
      <c r="D73" s="7"/>
      <c r="I73" s="8" t="str">
        <f>IF($A73&lt;&gt;"",SUMIFS(Transactions!$B:$B,Transactions!$C:$C,$A73),)</f>
        <v/>
      </c>
      <c r="J73" s="9" t="str">
        <f>IF($A73&lt;&gt;"",SUMIFS(PaidTransactions!$B:$B,PaidTransactions!$C:$C,$A73),)</f>
        <v/>
      </c>
      <c r="K73" s="10"/>
      <c r="L73" s="10" t="str">
        <f t="shared" si="2"/>
        <v/>
      </c>
      <c r="M73" s="10"/>
    </row>
    <row r="74">
      <c r="D74" s="7"/>
      <c r="I74" s="8" t="str">
        <f>IF($A74&lt;&gt;"",SUMIFS(Transactions!$B:$B,Transactions!$C:$C,$A74),)</f>
        <v/>
      </c>
      <c r="J74" s="9" t="str">
        <f>IF($A74&lt;&gt;"",SUMIFS(PaidTransactions!$B:$B,PaidTransactions!$C:$C,$A74),)</f>
        <v/>
      </c>
      <c r="K74" s="10"/>
      <c r="L74" s="10" t="str">
        <f t="shared" si="2"/>
        <v/>
      </c>
      <c r="M74" s="10"/>
    </row>
    <row r="75">
      <c r="D75" s="7"/>
      <c r="I75" s="8" t="str">
        <f>IF($A75&lt;&gt;"",SUMIFS(Transactions!$B:$B,Transactions!$C:$C,$A75),)</f>
        <v/>
      </c>
      <c r="J75" s="9" t="str">
        <f>IF($A75&lt;&gt;"",SUMIFS(PaidTransactions!$B:$B,PaidTransactions!$C:$C,$A75),)</f>
        <v/>
      </c>
      <c r="K75" s="10"/>
      <c r="L75" s="10" t="str">
        <f t="shared" si="2"/>
        <v/>
      </c>
      <c r="M75" s="10"/>
    </row>
    <row r="76">
      <c r="D76" s="7"/>
      <c r="I76" s="8" t="str">
        <f>IF($A76&lt;&gt;"",SUMIFS(Transactions!$B:$B,Transactions!$C:$C,$A76),)</f>
        <v/>
      </c>
      <c r="J76" s="9" t="str">
        <f>IF($A76&lt;&gt;"",SUMIFS(PaidTransactions!$B:$B,PaidTransactions!$C:$C,$A76),)</f>
        <v/>
      </c>
      <c r="K76" s="10"/>
      <c r="L76" s="10" t="str">
        <f t="shared" si="2"/>
        <v/>
      </c>
      <c r="M76" s="10"/>
    </row>
    <row r="77">
      <c r="D77" s="7"/>
      <c r="I77" s="8" t="str">
        <f>IF($A77&lt;&gt;"",SUMIFS(Transactions!$B:$B,Transactions!$C:$C,$A77),)</f>
        <v/>
      </c>
      <c r="J77" s="9" t="str">
        <f>IF($A77&lt;&gt;"",SUMIFS(PaidTransactions!$B:$B,PaidTransactions!$C:$C,$A77),)</f>
        <v/>
      </c>
      <c r="K77" s="10"/>
      <c r="L77" s="10" t="str">
        <f t="shared" si="2"/>
        <v/>
      </c>
      <c r="M77" s="10"/>
    </row>
    <row r="78">
      <c r="D78" s="7"/>
      <c r="I78" s="8" t="str">
        <f>IF($A78&lt;&gt;"",SUMIFS(Transactions!$B:$B,Transactions!$C:$C,$A78),)</f>
        <v/>
      </c>
      <c r="J78" s="9" t="str">
        <f>IF($A78&lt;&gt;"",SUMIFS(PaidTransactions!$B:$B,PaidTransactions!$C:$C,$A78),)</f>
        <v/>
      </c>
      <c r="K78" s="10"/>
      <c r="L78" s="10" t="str">
        <f t="shared" si="2"/>
        <v/>
      </c>
      <c r="M78" s="10"/>
    </row>
    <row r="79">
      <c r="D79" s="7"/>
      <c r="I79" s="8" t="str">
        <f>IF($A79&lt;&gt;"",SUMIFS(Transactions!$B:$B,Transactions!$C:$C,$A79),)</f>
        <v/>
      </c>
      <c r="J79" s="9" t="str">
        <f>IF($A79&lt;&gt;"",SUMIFS(PaidTransactions!$B:$B,PaidTransactions!$C:$C,$A79),)</f>
        <v/>
      </c>
      <c r="K79" s="10"/>
      <c r="L79" s="10" t="str">
        <f t="shared" si="2"/>
        <v/>
      </c>
      <c r="M79" s="10"/>
    </row>
    <row r="80">
      <c r="D80" s="7"/>
      <c r="I80" s="8" t="str">
        <f>IF($A80&lt;&gt;"",SUMIFS(Transactions!$B:$B,Transactions!$C:$C,$A80),)</f>
        <v/>
      </c>
      <c r="J80" s="9" t="str">
        <f>IF($A80&lt;&gt;"",SUMIFS(PaidTransactions!$B:$B,PaidTransactions!$C:$C,$A80),)</f>
        <v/>
      </c>
      <c r="K80" s="10"/>
      <c r="L80" s="10" t="str">
        <f t="shared" si="2"/>
        <v/>
      </c>
      <c r="M80" s="10"/>
    </row>
    <row r="81">
      <c r="D81" s="7"/>
      <c r="I81" s="8" t="str">
        <f>IF($A81&lt;&gt;"",SUMIFS(Transactions!$B:$B,Transactions!$C:$C,$A81),)</f>
        <v/>
      </c>
      <c r="J81" s="9" t="str">
        <f>IF($A81&lt;&gt;"",SUMIFS(PaidTransactions!$B:$B,PaidTransactions!$C:$C,$A81),)</f>
        <v/>
      </c>
      <c r="K81" s="10"/>
      <c r="L81" s="10" t="str">
        <f t="shared" si="2"/>
        <v/>
      </c>
      <c r="M81" s="10"/>
    </row>
    <row r="82">
      <c r="D82" s="7"/>
      <c r="I82" s="8" t="str">
        <f>IF($A82&lt;&gt;"",SUMIFS(Transactions!$B:$B,Transactions!$C:$C,$A82),)</f>
        <v/>
      </c>
      <c r="J82" s="9" t="str">
        <f>IF($A82&lt;&gt;"",SUMIFS(PaidTransactions!$B:$B,PaidTransactions!$C:$C,$A82),)</f>
        <v/>
      </c>
      <c r="K82" s="10"/>
      <c r="L82" s="10" t="str">
        <f t="shared" si="2"/>
        <v/>
      </c>
      <c r="M82" s="10"/>
    </row>
    <row r="83">
      <c r="D83" s="7"/>
      <c r="I83" s="8" t="str">
        <f>IF($A83&lt;&gt;"",SUMIFS(Transactions!$B:$B,Transactions!$C:$C,$A83),)</f>
        <v/>
      </c>
      <c r="J83" s="9" t="str">
        <f>IF($A83&lt;&gt;"",SUMIFS(PaidTransactions!$B:$B,PaidTransactions!$C:$C,$A83),)</f>
        <v/>
      </c>
      <c r="K83" s="10"/>
      <c r="L83" s="10" t="str">
        <f t="shared" si="2"/>
        <v/>
      </c>
      <c r="M83" s="10"/>
    </row>
    <row r="84">
      <c r="D84" s="7"/>
      <c r="I84" s="8" t="str">
        <f>IF($A84&lt;&gt;"",SUMIFS(Transactions!$B:$B,Transactions!$C:$C,$A84),)</f>
        <v/>
      </c>
      <c r="J84" s="9" t="str">
        <f>IF($A84&lt;&gt;"",SUMIFS(PaidTransactions!$B:$B,PaidTransactions!$C:$C,$A84),)</f>
        <v/>
      </c>
      <c r="K84" s="10"/>
      <c r="L84" s="10" t="str">
        <f t="shared" si="2"/>
        <v/>
      </c>
      <c r="M84" s="10"/>
    </row>
    <row r="85">
      <c r="D85" s="7"/>
      <c r="I85" s="8" t="str">
        <f>IF($A85&lt;&gt;"",SUMIFS(Transactions!$B:$B,Transactions!$C:$C,$A85),)</f>
        <v/>
      </c>
      <c r="J85" s="9" t="str">
        <f>IF($A85&lt;&gt;"",SUMIFS(PaidTransactions!$B:$B,PaidTransactions!$C:$C,$A85),)</f>
        <v/>
      </c>
      <c r="K85" s="10"/>
      <c r="L85" s="10" t="str">
        <f t="shared" si="2"/>
        <v/>
      </c>
      <c r="M85" s="10"/>
    </row>
    <row r="86">
      <c r="D86" s="7"/>
      <c r="I86" s="8" t="str">
        <f>IF($A86&lt;&gt;"",SUMIFS(Transactions!$B:$B,Transactions!$C:$C,$A86),)</f>
        <v/>
      </c>
      <c r="J86" s="9" t="str">
        <f>IF($A86&lt;&gt;"",SUMIFS(PaidTransactions!$B:$B,PaidTransactions!$C:$C,$A86),)</f>
        <v/>
      </c>
      <c r="K86" s="10"/>
      <c r="L86" s="10" t="str">
        <f t="shared" si="2"/>
        <v/>
      </c>
      <c r="M86" s="10"/>
    </row>
    <row r="87">
      <c r="D87" s="7"/>
      <c r="I87" s="8" t="str">
        <f>IF($A87&lt;&gt;"",SUMIFS(Transactions!$B:$B,Transactions!$C:$C,$A87),)</f>
        <v/>
      </c>
      <c r="J87" s="9" t="str">
        <f>IF($A87&lt;&gt;"",SUMIFS(PaidTransactions!$B:$B,PaidTransactions!$C:$C,$A87),)</f>
        <v/>
      </c>
      <c r="K87" s="10"/>
      <c r="L87" s="10" t="str">
        <f t="shared" si="2"/>
        <v/>
      </c>
      <c r="M87" s="10"/>
    </row>
    <row r="88">
      <c r="D88" s="7"/>
      <c r="I88" s="8" t="str">
        <f>IF($A88&lt;&gt;"",SUMIFS(Transactions!$B:$B,Transactions!$C:$C,$A88),)</f>
        <v/>
      </c>
      <c r="J88" s="9" t="str">
        <f>IF($A88&lt;&gt;"",SUMIFS(PaidTransactions!$B:$B,PaidTransactions!$C:$C,$A88),)</f>
        <v/>
      </c>
      <c r="K88" s="10"/>
      <c r="L88" s="10" t="str">
        <f t="shared" si="2"/>
        <v/>
      </c>
      <c r="M88" s="10"/>
    </row>
    <row r="89">
      <c r="D89" s="7"/>
      <c r="I89" s="8" t="str">
        <f>IF($A89&lt;&gt;"",SUMIFS(Transactions!$B:$B,Transactions!$C:$C,$A89),)</f>
        <v/>
      </c>
      <c r="J89" s="9" t="str">
        <f>IF($A89&lt;&gt;"",SUMIFS(PaidTransactions!$B:$B,PaidTransactions!$C:$C,$A89),)</f>
        <v/>
      </c>
      <c r="K89" s="10"/>
      <c r="L89" s="10" t="str">
        <f t="shared" si="2"/>
        <v/>
      </c>
      <c r="M89" s="10"/>
    </row>
    <row r="90">
      <c r="D90" s="7"/>
      <c r="I90" s="8" t="str">
        <f>IF($A90&lt;&gt;"",SUMIFS(Transactions!$B:$B,Transactions!$C:$C,$A90),)</f>
        <v/>
      </c>
      <c r="J90" s="9" t="str">
        <f>IF($A90&lt;&gt;"",SUMIFS(PaidTransactions!$B:$B,PaidTransactions!$C:$C,$A90),)</f>
        <v/>
      </c>
      <c r="K90" s="10"/>
      <c r="L90" s="10" t="str">
        <f t="shared" si="2"/>
        <v/>
      </c>
      <c r="M90" s="10"/>
    </row>
    <row r="91">
      <c r="D91" s="7"/>
      <c r="I91" s="8" t="str">
        <f>IF($A91&lt;&gt;"",SUMIFS(Transactions!$B:$B,Transactions!$C:$C,$A91),)</f>
        <v/>
      </c>
      <c r="J91" s="9" t="str">
        <f>IF($A91&lt;&gt;"",SUMIFS(PaidTransactions!$B:$B,PaidTransactions!$C:$C,$A91),)</f>
        <v/>
      </c>
      <c r="K91" s="10"/>
      <c r="L91" s="10" t="str">
        <f t="shared" si="2"/>
        <v/>
      </c>
      <c r="M91" s="10"/>
    </row>
    <row r="92">
      <c r="D92" s="7"/>
      <c r="I92" s="8" t="str">
        <f>IF($A92&lt;&gt;"",SUMIFS(Transactions!$B:$B,Transactions!$C:$C,$A92),)</f>
        <v/>
      </c>
      <c r="J92" s="9" t="str">
        <f>IF($A92&lt;&gt;"",SUMIFS(PaidTransactions!$B:$B,PaidTransactions!$C:$C,$A92),)</f>
        <v/>
      </c>
      <c r="K92" s="10"/>
      <c r="L92" s="10" t="str">
        <f t="shared" si="2"/>
        <v/>
      </c>
      <c r="M92" s="10"/>
    </row>
    <row r="93">
      <c r="D93" s="7"/>
      <c r="I93" s="8" t="str">
        <f>IF($A93&lt;&gt;"",SUMIFS(Transactions!$B:$B,Transactions!$C:$C,$A93),)</f>
        <v/>
      </c>
      <c r="J93" s="9" t="str">
        <f>IF($A93&lt;&gt;"",SUMIFS(PaidTransactions!$B:$B,PaidTransactions!$C:$C,$A93),)</f>
        <v/>
      </c>
      <c r="K93" s="10"/>
      <c r="L93" s="10" t="str">
        <f t="shared" si="2"/>
        <v/>
      </c>
      <c r="M93" s="10"/>
    </row>
    <row r="94">
      <c r="D94" s="7"/>
      <c r="I94" s="8" t="str">
        <f>IF($A94&lt;&gt;"",SUMIFS(Transactions!$B:$B,Transactions!$C:$C,$A94),)</f>
        <v/>
      </c>
      <c r="J94" s="9" t="str">
        <f>IF($A94&lt;&gt;"",SUMIFS(PaidTransactions!$B:$B,PaidTransactions!$C:$C,$A94),)</f>
        <v/>
      </c>
      <c r="K94" s="10"/>
      <c r="L94" s="10" t="str">
        <f t="shared" si="2"/>
        <v/>
      </c>
      <c r="M94" s="10"/>
    </row>
    <row r="95">
      <c r="D95" s="7"/>
      <c r="I95" s="8" t="str">
        <f>IF($A95&lt;&gt;"",SUMIFS(Transactions!$B:$B,Transactions!$C:$C,$A95),)</f>
        <v/>
      </c>
      <c r="J95" s="9" t="str">
        <f>IF($A95&lt;&gt;"",SUMIFS(PaidTransactions!$B:$B,PaidTransactions!$C:$C,$A95),)</f>
        <v/>
      </c>
      <c r="K95" s="10"/>
      <c r="L95" s="10" t="str">
        <f t="shared" si="2"/>
        <v/>
      </c>
      <c r="M95" s="10"/>
    </row>
    <row r="96">
      <c r="D96" s="7"/>
      <c r="I96" s="8" t="str">
        <f>IF($A96&lt;&gt;"",SUMIFS(Transactions!$B:$B,Transactions!$C:$C,$A96),)</f>
        <v/>
      </c>
      <c r="J96" s="9" t="str">
        <f>IF($A96&lt;&gt;"",SUMIFS(PaidTransactions!$B:$B,PaidTransactions!$C:$C,$A96),)</f>
        <v/>
      </c>
      <c r="K96" s="10"/>
      <c r="L96" s="10" t="str">
        <f t="shared" si="2"/>
        <v/>
      </c>
      <c r="M96" s="10"/>
    </row>
    <row r="97">
      <c r="D97" s="7"/>
      <c r="I97" s="8" t="str">
        <f>IF($A97&lt;&gt;"",SUMIFS(Transactions!$B:$B,Transactions!$C:$C,$A97),)</f>
        <v/>
      </c>
      <c r="J97" s="9" t="str">
        <f>IF($A97&lt;&gt;"",SUMIFS(PaidTransactions!$B:$B,PaidTransactions!$C:$C,$A97),)</f>
        <v/>
      </c>
      <c r="K97" s="10"/>
      <c r="L97" s="10" t="str">
        <f t="shared" si="2"/>
        <v/>
      </c>
      <c r="M97" s="10"/>
    </row>
    <row r="98">
      <c r="D98" s="7"/>
      <c r="I98" s="8" t="str">
        <f>IF($A98&lt;&gt;"",SUMIFS(Transactions!$B:$B,Transactions!$C:$C,$A98),)</f>
        <v/>
      </c>
      <c r="J98" s="9" t="str">
        <f>IF($A98&lt;&gt;"",SUMIFS(PaidTransactions!$B:$B,PaidTransactions!$C:$C,$A98),)</f>
        <v/>
      </c>
      <c r="K98" s="10"/>
      <c r="L98" s="10" t="str">
        <f t="shared" si="2"/>
        <v/>
      </c>
      <c r="M98" s="10"/>
    </row>
    <row r="99">
      <c r="D99" s="7"/>
      <c r="I99" s="8" t="str">
        <f>IF($A99&lt;&gt;"",SUMIFS(Transactions!$B:$B,Transactions!$C:$C,$A99),)</f>
        <v/>
      </c>
      <c r="J99" s="9" t="str">
        <f>IF($A99&lt;&gt;"",SUMIFS(PaidTransactions!$B:$B,PaidTransactions!$C:$C,$A99),)</f>
        <v/>
      </c>
      <c r="K99" s="10"/>
      <c r="L99" s="10" t="str">
        <f t="shared" si="2"/>
        <v/>
      </c>
      <c r="M99" s="10"/>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75"/>
    <col customWidth="1" min="7" max="7" width="12.63"/>
  </cols>
  <sheetData>
    <row r="1">
      <c r="A1" s="1" t="s">
        <v>4</v>
      </c>
      <c r="B1" s="1" t="s">
        <v>5</v>
      </c>
      <c r="C1" s="1" t="s">
        <v>6</v>
      </c>
      <c r="D1" s="1" t="s">
        <v>7</v>
      </c>
      <c r="E1" s="1" t="s">
        <v>8</v>
      </c>
      <c r="F1" s="11" t="s">
        <v>9</v>
      </c>
      <c r="G1" s="14">
        <v>4.0</v>
      </c>
      <c r="H1" s="14" t="s">
        <v>105</v>
      </c>
      <c r="I1" s="6" t="s">
        <v>106</v>
      </c>
      <c r="J1" s="6" t="s">
        <v>107</v>
      </c>
      <c r="K1" s="6" t="s">
        <v>108</v>
      </c>
      <c r="L1" s="6" t="s">
        <v>109</v>
      </c>
    </row>
    <row r="2">
      <c r="A2" s="39" t="str">
        <f>IF(AND($L2*1&gt;=$G$3,$L2*1&lt;=$G$4,$I2*$J2&gt;0,OR($I2&lt;&gt;$I3,$L2-$L3&gt;25),IF(ABS($I2)&gt;10,$I2/POW(10,$J2),$J2/POW(10,$I2))*MAXIFS(Token!$C:$C,Token!$A:$A,$K2)&gt;0.01),$L2/86400+DATE(1970,1,1)+$G$6,)</f>
        <v/>
      </c>
      <c r="B2" s="27" t="str">
        <f t="shared" ref="B2:B1000" si="1">IF($A2&lt;&gt;"",$E2*$F2,)</f>
        <v/>
      </c>
      <c r="C2" s="14" t="str">
        <f>IF($A2&lt;&gt;"",MINIFS(Merchant!$A:$A,Merchant!$B:$B,$G$2),)</f>
        <v/>
      </c>
      <c r="D2" s="14" t="str">
        <f t="shared" ref="D2:D1000" si="2">IF($A2&lt;&gt;"",$K2,)</f>
        <v/>
      </c>
      <c r="E2" s="14" t="str">
        <f t="shared" ref="E2:E1000" si="3">IF($A2&lt;&gt;"",IF(ABS($I2)&gt;10,$I2/POW(10,$J2),$J2/POW(10,$I2)),)</f>
        <v/>
      </c>
      <c r="F2" s="7" t="str">
        <f>IF($A2&lt;&gt;"",MAXIFS(Token!$C:$C,Token!$A:$A,$D2),)</f>
        <v/>
      </c>
      <c r="G2" s="14" t="str">
        <f>VLOOKUP($G1,Merchant!$A:$B,2)</f>
        <v>HLpmKp6zYGSSibbqho6QAyURmJHorvdtha7iGumfXdWc</v>
      </c>
      <c r="H2" s="6" t="str">
        <f>IFERROR(__xludf.DUMMYFUNCTION("IF(AND($G$11,$G$1&gt;1,INDEX(I:I,ROW()-1)&lt;&gt;""""),ImportJSON(""https://public-api.solscan.io/account/splTransfers?account=""&amp;$G$2&amp;IF($G$5,""&amp;fromTime=""&amp;TO_TEXT($G$3)&amp;""&amp;toTime=""&amp;TO_TEXT($G$4),)&amp;""&amp;offset=""&amp;ROW()-2&amp;""&amp;limit=50""&amp;$G$7,TEXTJOIN("","",1,$H$1:$"&amp;"L$1),""noHeaders""),)"),"4")</f>
        <v>4</v>
      </c>
      <c r="I2" s="6" t="str">
        <f>IFERROR(__xludf.DUMMYFUNCTION("""COMPUTED_VALUE"""),"-250000000000")</f>
        <v>-250000000000</v>
      </c>
      <c r="J2" s="6" t="str">
        <f>IFERROR(__xludf.DUMMYFUNCTION("""COMPUTED_VALUE"""),"9")</f>
        <v>9</v>
      </c>
      <c r="K2" s="6" t="str">
        <f>IFERROR(__xludf.DUMMYFUNCTION("""COMPUTED_VALUE"""),"€")</f>
        <v>€</v>
      </c>
      <c r="L2" s="6" t="str">
        <f>IFERROR(__xludf.DUMMYFUNCTION("""COMPUTED_VALUE"""),"1668691352")</f>
        <v>1668691352</v>
      </c>
    </row>
    <row r="3">
      <c r="A3" s="39">
        <f>IF(AND($L3*1&gt;=$G$3,$L3*1&lt;=$G$4,$I3*$J3&gt;0,OR($I3&lt;&gt;$I4,$L3-$L4&gt;25),IF(ABS($I3)&gt;10,$I3/POW(10,$J3),$J3/POW(10,$I3))*MAXIFS(Token!$C:$C,Token!$A:$A,$K3)&gt;0.01),$L3/86400+DATE(1970,1,1)+$G$6,)</f>
        <v>44882.18961</v>
      </c>
      <c r="B3" s="27">
        <f t="shared" si="1"/>
        <v>225</v>
      </c>
      <c r="C3" s="14">
        <f>IF($A3&lt;&gt;"",MINIFS(Merchant!$A:$A,Merchant!$B:$B,$G$2),)</f>
        <v>4</v>
      </c>
      <c r="D3" s="14" t="str">
        <f t="shared" si="2"/>
        <v>€</v>
      </c>
      <c r="E3" s="14">
        <f t="shared" si="3"/>
        <v>225</v>
      </c>
      <c r="F3" s="7">
        <f>IF($A3&lt;&gt;"",MAXIFS(Token!$C:$C,Token!$A:$A,$D3),)</f>
        <v>1</v>
      </c>
      <c r="G3" s="6">
        <f>IFERROR((VLOOKUP($G$1,Merchant!$A:$M,10)-DATE(1970,1,1)-IF($G$6&lt;&gt;"",$G$6,0))*86400,0)</f>
        <v>-979271886.2</v>
      </c>
      <c r="H3" s="6" t="str">
        <f>IFERROR(__xludf.DUMMYFUNCTION("""COMPUTED_VALUE"""),"4")</f>
        <v>4</v>
      </c>
      <c r="I3" s="6" t="str">
        <f>IFERROR(__xludf.DUMMYFUNCTION("""COMPUTED_VALUE"""),"225000000000")</f>
        <v>225000000000</v>
      </c>
      <c r="J3" s="6" t="str">
        <f>IFERROR(__xludf.DUMMYFUNCTION("""COMPUTED_VALUE"""),"9")</f>
        <v>9</v>
      </c>
      <c r="K3" s="6" t="str">
        <f>IFERROR(__xludf.DUMMYFUNCTION("""COMPUTED_VALUE"""),"€")</f>
        <v>€</v>
      </c>
      <c r="L3" s="6" t="str">
        <f>IFERROR(__xludf.DUMMYFUNCTION("""COMPUTED_VALUE"""),"1668652382")</f>
        <v>1668652382</v>
      </c>
    </row>
    <row r="4">
      <c r="A4" s="39">
        <f>IF(AND($L4*1&gt;=$G$3,$L4*1&lt;=$G$4,$I4*$J4&gt;0,OR($I4&lt;&gt;$I5,$L4-$L5&gt;25),IF(ABS($I4)&gt;10,$I4/POW(10,$J4),$J4/POW(10,$I4))*MAXIFS(Token!$C:$C,Token!$A:$A,$K4)&gt;0.01),$L4/86400+DATE(1970,1,1)+$G$6,)</f>
        <v>44882.18894</v>
      </c>
      <c r="B4" s="27">
        <f t="shared" si="1"/>
        <v>25</v>
      </c>
      <c r="C4" s="14">
        <f>IF($A4&lt;&gt;"",MINIFS(Merchant!$A:$A,Merchant!$B:$B,$G$2),)</f>
        <v>4</v>
      </c>
      <c r="D4" s="14" t="str">
        <f t="shared" si="2"/>
        <v>€</v>
      </c>
      <c r="E4" s="14">
        <f t="shared" si="3"/>
        <v>25</v>
      </c>
      <c r="F4" s="7">
        <f>IF($A4&lt;&gt;"",MAXIFS(Token!$C:$C,Token!$A:$A,$D4),)</f>
        <v>1</v>
      </c>
      <c r="G4" s="6">
        <f>IFERROR((MAX(VLOOKUP($G$1,Merchant!$A:$M,10),VLOOKUP($G$1,Merchant!$A:$M,11))-DATE(1970,1,1)-IF($G$6&lt;&gt;"",$G$6,0))*86400,0)</f>
        <v>1672599970</v>
      </c>
      <c r="H4" s="6" t="str">
        <f>IFERROR(__xludf.DUMMYFUNCTION("""COMPUTED_VALUE"""),"4")</f>
        <v>4</v>
      </c>
      <c r="I4" s="6" t="str">
        <f>IFERROR(__xludf.DUMMYFUNCTION("""COMPUTED_VALUE"""),"25000000000")</f>
        <v>25000000000</v>
      </c>
      <c r="J4" s="6" t="str">
        <f>IFERROR(__xludf.DUMMYFUNCTION("""COMPUTED_VALUE"""),"9")</f>
        <v>9</v>
      </c>
      <c r="K4" s="6" t="str">
        <f>IFERROR(__xludf.DUMMYFUNCTION("""COMPUTED_VALUE"""),"€")</f>
        <v>€</v>
      </c>
      <c r="L4" s="6" t="str">
        <f>IFERROR(__xludf.DUMMYFUNCTION("""COMPUTED_VALUE"""),"1668652324")</f>
        <v>1668652324</v>
      </c>
    </row>
    <row r="5">
      <c r="A5" s="39" t="str">
        <f>IF(AND($L5*1&gt;=$G$3,$L5*1&lt;=$G$4,$I5*$J5&gt;0,OR($I5&lt;&gt;$I6,$L5-$L6&gt;25),IF(ABS($I5)&gt;10,$I5/POW(10,$J5),$J5/POW(10,$I5))*MAXIFS(Token!$C:$C,Token!$A:$A,$K5)&gt;0.01),$L5/86400+DATE(1970,1,1)+$G$6,)</f>
        <v/>
      </c>
      <c r="B5" s="27" t="str">
        <f t="shared" si="1"/>
        <v/>
      </c>
      <c r="C5" s="14" t="str">
        <f>IF($A5&lt;&gt;"",MINIFS(Merchant!$A:$A,Merchant!$B:$B,$G$2),)</f>
        <v/>
      </c>
      <c r="D5" s="14" t="str">
        <f t="shared" si="2"/>
        <v/>
      </c>
      <c r="E5" s="14" t="str">
        <f t="shared" si="3"/>
        <v/>
      </c>
      <c r="F5" s="7" t="str">
        <f>IF($A5&lt;&gt;"",MAXIFS(Token!$C:$C,Token!$A:$A,$D5),)</f>
        <v/>
      </c>
      <c r="G5" s="40" t="b">
        <f>FALSE</f>
        <v>0</v>
      </c>
      <c r="H5" s="6" t="str">
        <f>IFERROR(__xludf.DUMMYFUNCTION("""COMPUTED_VALUE"""),"4")</f>
        <v>4</v>
      </c>
      <c r="I5" s="6" t="str">
        <f>IFERROR(__xludf.DUMMYFUNCTION("""COMPUTED_VALUE"""),"0")</f>
        <v>0</v>
      </c>
      <c r="J5" s="6" t="str">
        <f>IFERROR(__xludf.DUMMYFUNCTION("""COMPUTED_VALUE"""),"8")</f>
        <v>8</v>
      </c>
      <c r="K5" s="6" t="str">
        <f>IFERROR(__xludf.DUMMYFUNCTION("""COMPUTED_VALUE"""),"agEUR")</f>
        <v>agEUR</v>
      </c>
      <c r="L5" s="6" t="str">
        <f>IFERROR(__xludf.DUMMYFUNCTION("""COMPUTED_VALUE"""),"1666552805")</f>
        <v>1666552805</v>
      </c>
    </row>
    <row r="6">
      <c r="A6" s="39" t="str">
        <f>IF(AND($L6*1&gt;=$G$3,$L6*1&lt;=$G$4,$I6*$J6&gt;0,OR($I6&lt;&gt;$I7,$L6-$L7&gt;25),IF(ABS($I6)&gt;10,$I6/POW(10,$J6),$J6/POW(10,$I6))*MAXIFS(Token!$C:$C,Token!$A:$A,$K6)&gt;0.01),$L6/86400+DATE(1970,1,1)+$G$6,)</f>
        <v/>
      </c>
      <c r="B6" s="27" t="str">
        <f t="shared" si="1"/>
        <v/>
      </c>
      <c r="C6" s="14" t="str">
        <f>IF($A6&lt;&gt;"",MINIFS(Merchant!$A:$A,Merchant!$B:$B,$G$2),)</f>
        <v/>
      </c>
      <c r="D6" s="14" t="str">
        <f t="shared" si="2"/>
        <v/>
      </c>
      <c r="E6" s="14" t="str">
        <f t="shared" si="3"/>
        <v/>
      </c>
      <c r="F6" s="7" t="str">
        <f>IF($A6&lt;&gt;"",MAXIFS(Token!$C:$C,Token!$A:$A,$D6),)</f>
        <v/>
      </c>
      <c r="G6" s="41">
        <f>TIME(2,0,0)</f>
        <v>0.08333333333</v>
      </c>
    </row>
    <row r="7">
      <c r="A7" s="39" t="str">
        <f>IF(AND($L7*1&gt;=$G$3,$L7*1&lt;=$G$4,$I7*$J7&gt;0,OR($I7&lt;&gt;$I8,$L7-$L8&gt;25),IF(ABS($I7)&gt;10,$I7/POW(10,$J7),$J7/POW(10,$I7))*MAXIFS(Token!$C:$C,Token!$A:$A,$K7)&gt;0.01),$L7/86400+DATE(1970,1,1)+$G$6,)</f>
        <v/>
      </c>
      <c r="B7" s="27" t="str">
        <f t="shared" si="1"/>
        <v/>
      </c>
      <c r="C7" s="14" t="str">
        <f>IF($A7&lt;&gt;"",MINIFS(Merchant!$A:$A,Merchant!$B:$B,$G$2),)</f>
        <v/>
      </c>
      <c r="D7" s="14" t="str">
        <f t="shared" si="2"/>
        <v/>
      </c>
      <c r="E7" s="14" t="str">
        <f t="shared" si="3"/>
        <v/>
      </c>
      <c r="F7" s="7" t="str">
        <f>IF($A7&lt;&gt;"",MAXIFS(Token!$C:$C,Token!$A:$A,$D7),)</f>
        <v/>
      </c>
      <c r="G7" s="14" t="s">
        <v>103</v>
      </c>
    </row>
    <row r="8">
      <c r="A8" s="39" t="str">
        <f>IF(AND($L8*1&gt;=$G$3,$L8*1&lt;=$G$4,$I8*$J8&gt;0,OR($I8&lt;&gt;$I9,$L8-$L9&gt;25),IF(ABS($I8)&gt;10,$I8/POW(10,$J8),$J8/POW(10,$I8))*MAXIFS(Token!$C:$C,Token!$A:$A,$K8)&gt;0.01),$L8/86400+DATE(1970,1,1)+$G$6,)</f>
        <v/>
      </c>
      <c r="B8" s="27" t="str">
        <f t="shared" si="1"/>
        <v/>
      </c>
      <c r="C8" s="14" t="str">
        <f>IF($A8&lt;&gt;"",MINIFS(Merchant!$A:$A,Merchant!$B:$B,$G$2),)</f>
        <v/>
      </c>
      <c r="D8" s="14" t="str">
        <f t="shared" si="2"/>
        <v/>
      </c>
      <c r="E8" s="14" t="str">
        <f t="shared" si="3"/>
        <v/>
      </c>
      <c r="F8" s="7" t="str">
        <f>IF($A8&lt;&gt;"",MAXIFS(Token!$C:$C,Token!$A:$A,$D8),)</f>
        <v/>
      </c>
      <c r="G8" s="6" t="b">
        <f>COUNTIF(OFFSET($A:$A,1,0),"&lt;&gt;")&lt;&gt;COUNTIF(Transactions!$C:$C,$G$1)</f>
        <v>1</v>
      </c>
    </row>
    <row r="9">
      <c r="A9" s="39" t="str">
        <f>IF(AND($L9*1&gt;=$G$3,$L9*1&lt;=$G$4,$I9*$J9&gt;0,OR($I9&lt;&gt;$I10,$L9-$L10&gt;25),IF(ABS($I9)&gt;10,$I9/POW(10,$J9),$J9/POW(10,$I9))*MAXIFS(Token!$C:$C,Token!$A:$A,$K9)&gt;0.01),$L9/86400+DATE(1970,1,1)+$G$6,)</f>
        <v/>
      </c>
      <c r="B9" s="27" t="str">
        <f t="shared" si="1"/>
        <v/>
      </c>
      <c r="C9" s="14" t="str">
        <f>IF($A9&lt;&gt;"",MINIFS(Merchant!$A:$A,Merchant!$B:$B,$G$2),)</f>
        <v/>
      </c>
      <c r="D9" s="14" t="str">
        <f t="shared" si="2"/>
        <v/>
      </c>
      <c r="E9" s="14" t="str">
        <f t="shared" si="3"/>
        <v/>
      </c>
      <c r="F9" s="7" t="str">
        <f>IF($A9&lt;&gt;"",MAXIFS(Token!$C:$C,Token!$A:$A,$D9),)</f>
        <v/>
      </c>
      <c r="G9" s="42">
        <f>TODAY()+TIME(7,0,0)</f>
        <v>44933.29167</v>
      </c>
    </row>
    <row r="10">
      <c r="A10" s="39" t="str">
        <f>IF(AND($L10*1&gt;=$G$3,$L10*1&lt;=$G$4,$I10*$J10&gt;0,OR($I10&lt;&gt;$I11,$L10-$L11&gt;25),IF(ABS($I10)&gt;10,$I10/POW(10,$J10),$J10/POW(10,$I10))*MAXIFS(Token!$C:$C,Token!$A:$A,$K10)&gt;0.01),$L10/86400+DATE(1970,1,1)+$G$6,)</f>
        <v/>
      </c>
      <c r="B10" s="27" t="str">
        <f t="shared" si="1"/>
        <v/>
      </c>
      <c r="C10" s="14" t="str">
        <f>IF($A10&lt;&gt;"",MINIFS(Merchant!$A:$A,Merchant!$B:$B,$G$2),)</f>
        <v/>
      </c>
      <c r="D10" s="14" t="str">
        <f t="shared" si="2"/>
        <v/>
      </c>
      <c r="E10" s="14" t="str">
        <f t="shared" si="3"/>
        <v/>
      </c>
      <c r="F10" s="7" t="str">
        <f>IF($A10&lt;&gt;"",MAXIFS(Token!$C:$C,Token!$A:$A,$D10),)</f>
        <v/>
      </c>
      <c r="G10" s="42">
        <f>TODAY()+TIME(22,0,0)</f>
        <v>44933.91667</v>
      </c>
    </row>
    <row r="11">
      <c r="A11" s="39" t="str">
        <f>IF(AND($L11*1&gt;=$G$3,$L11*1&lt;=$G$4,$I11*$J11&gt;0,OR($I11&lt;&gt;$I12,$L11-$L12&gt;25),IF(ABS($I11)&gt;10,$I11/POW(10,$J11),$J11/POW(10,$I11))*MAXIFS(Token!$C:$C,Token!$A:$A,$K11)&gt;0.01),$L11/86400+DATE(1970,1,1)+$G$6,)</f>
        <v/>
      </c>
      <c r="B11" s="27" t="str">
        <f t="shared" si="1"/>
        <v/>
      </c>
      <c r="C11" s="14" t="str">
        <f>IF($A11&lt;&gt;"",MINIFS(Merchant!$A:$A,Merchant!$B:$B,$G$2),)</f>
        <v/>
      </c>
      <c r="D11" s="14" t="str">
        <f t="shared" si="2"/>
        <v/>
      </c>
      <c r="E11" s="14" t="str">
        <f t="shared" si="3"/>
        <v/>
      </c>
      <c r="F11" s="7" t="str">
        <f>IF($A11&lt;&gt;"",MAXIFS(Token!$C:$C,Token!$A:$A,$D11),)</f>
        <v/>
      </c>
      <c r="G11" s="6" t="b">
        <f>OR(TRUE,AND(NOW()&gt;$G$9,NOW()&lt;=$G$10))</f>
        <v>1</v>
      </c>
    </row>
    <row r="12">
      <c r="A12" s="39" t="str">
        <f>IF(AND($L12*1&gt;=$G$3,$L12*1&lt;=$G$4,$I12*$J12&gt;0,OR($I12&lt;&gt;$I13,$L12-$L13&gt;25),IF(ABS($I12)&gt;10,$I12/POW(10,$J12),$J12/POW(10,$I12))*MAXIFS(Token!$C:$C,Token!$A:$A,$K12)&gt;0.01),$L12/86400+DATE(1970,1,1)+$G$6,)</f>
        <v/>
      </c>
      <c r="B12" s="27" t="str">
        <f t="shared" si="1"/>
        <v/>
      </c>
      <c r="C12" s="14" t="str">
        <f>IF($A12&lt;&gt;"",MINIFS(Merchant!$A:$A,Merchant!$B:$B,$G$2),)</f>
        <v/>
      </c>
      <c r="D12" s="14" t="str">
        <f t="shared" si="2"/>
        <v/>
      </c>
      <c r="E12" s="14" t="str">
        <f t="shared" si="3"/>
        <v/>
      </c>
      <c r="F12" s="7" t="str">
        <f>IF($A12&lt;&gt;"",MAXIFS(Token!$C:$C,Token!$A:$A,$D12),)</f>
        <v/>
      </c>
    </row>
    <row r="13">
      <c r="A13" s="39" t="str">
        <f>IF(AND($L13*1&gt;=$G$3,$L13*1&lt;=$G$4,$I13*$J13&gt;0,OR($I13&lt;&gt;$I14,$L13-$L14&gt;25),IF(ABS($I13)&gt;10,$I13/POW(10,$J13),$J13/POW(10,$I13))*MAXIFS(Token!$C:$C,Token!$A:$A,$K13)&gt;0.01),$L13/86400+DATE(1970,1,1)+$G$6,)</f>
        <v/>
      </c>
      <c r="B13" s="27" t="str">
        <f t="shared" si="1"/>
        <v/>
      </c>
      <c r="C13" s="14" t="str">
        <f>IF($A13&lt;&gt;"",MINIFS(Merchant!$A:$A,Merchant!$B:$B,$G$2),)</f>
        <v/>
      </c>
      <c r="D13" s="14" t="str">
        <f t="shared" si="2"/>
        <v/>
      </c>
      <c r="E13" s="14" t="str">
        <f t="shared" si="3"/>
        <v/>
      </c>
      <c r="F13" s="7" t="str">
        <f>IF($A13&lt;&gt;"",MAXIFS(Token!$C:$C,Token!$A:$A,$D13),)</f>
        <v/>
      </c>
    </row>
    <row r="14">
      <c r="A14" s="39" t="str">
        <f>IF(AND($L14*1&gt;=$G$3,$L14*1&lt;=$G$4,$I14*$J14&gt;0,OR($I14&lt;&gt;$I15,$L14-$L15&gt;25),IF(ABS($I14)&gt;10,$I14/POW(10,$J14),$J14/POW(10,$I14))*MAXIFS(Token!$C:$C,Token!$A:$A,$K14)&gt;0.01),$L14/86400+DATE(1970,1,1)+$G$6,)</f>
        <v/>
      </c>
      <c r="B14" s="27" t="str">
        <f t="shared" si="1"/>
        <v/>
      </c>
      <c r="C14" s="14" t="str">
        <f>IF($A14&lt;&gt;"",MINIFS(Merchant!$A:$A,Merchant!$B:$B,$G$2),)</f>
        <v/>
      </c>
      <c r="D14" s="14" t="str">
        <f t="shared" si="2"/>
        <v/>
      </c>
      <c r="E14" s="14" t="str">
        <f t="shared" si="3"/>
        <v/>
      </c>
      <c r="F14" s="7" t="str">
        <f>IF($A14&lt;&gt;"",MAXIFS(Token!$C:$C,Token!$A:$A,$D14),)</f>
        <v/>
      </c>
    </row>
    <row r="15">
      <c r="A15" s="39" t="str">
        <f>IF(AND($L15*1&gt;=$G$3,$L15*1&lt;=$G$4,$I15*$J15&gt;0,OR($I15&lt;&gt;$I16,$L15-$L16&gt;25),IF(ABS($I15)&gt;10,$I15/POW(10,$J15),$J15/POW(10,$I15))*MAXIFS(Token!$C:$C,Token!$A:$A,$K15)&gt;0.01),$L15/86400+DATE(1970,1,1)+$G$6,)</f>
        <v/>
      </c>
      <c r="B15" s="27" t="str">
        <f t="shared" si="1"/>
        <v/>
      </c>
      <c r="C15" s="14" t="str">
        <f>IF($A15&lt;&gt;"",MINIFS(Merchant!$A:$A,Merchant!$B:$B,$G$2),)</f>
        <v/>
      </c>
      <c r="D15" s="14" t="str">
        <f t="shared" si="2"/>
        <v/>
      </c>
      <c r="E15" s="14" t="str">
        <f t="shared" si="3"/>
        <v/>
      </c>
      <c r="F15" s="7" t="str">
        <f>IF($A15&lt;&gt;"",MAXIFS(Token!$C:$C,Token!$A:$A,$D15),)</f>
        <v/>
      </c>
      <c r="G15" s="39"/>
    </row>
    <row r="16">
      <c r="A16" s="39" t="str">
        <f>IF(AND($L16*1&gt;=$G$3,$L16*1&lt;=$G$4,$I16*$J16&gt;0,OR($I16&lt;&gt;$I17,$L16-$L17&gt;25),IF(ABS($I16)&gt;10,$I16/POW(10,$J16),$J16/POW(10,$I16))*MAXIFS(Token!$C:$C,Token!$A:$A,$K16)&gt;0.01),$L16/86400+DATE(1970,1,1)+$G$6,)</f>
        <v/>
      </c>
      <c r="B16" s="27" t="str">
        <f t="shared" si="1"/>
        <v/>
      </c>
      <c r="C16" s="14" t="str">
        <f>IF($A16&lt;&gt;"",MINIFS(Merchant!$A:$A,Merchant!$B:$B,$G$2),)</f>
        <v/>
      </c>
      <c r="D16" s="14" t="str">
        <f t="shared" si="2"/>
        <v/>
      </c>
      <c r="E16" s="14" t="str">
        <f t="shared" si="3"/>
        <v/>
      </c>
      <c r="F16" s="7" t="str">
        <f>IF($A16&lt;&gt;"",MAXIFS(Token!$C:$C,Token!$A:$A,$D16),)</f>
        <v/>
      </c>
    </row>
    <row r="17">
      <c r="A17" s="39" t="str">
        <f>IF(AND($L17*1&gt;=$G$3,$L17*1&lt;=$G$4,$I17*$J17&gt;0,OR($I17&lt;&gt;$I18,$L17-$L18&gt;25),IF(ABS($I17)&gt;10,$I17/POW(10,$J17),$J17/POW(10,$I17))*MAXIFS(Token!$C:$C,Token!$A:$A,$K17)&gt;0.01),$L17/86400+DATE(1970,1,1)+$G$6,)</f>
        <v/>
      </c>
      <c r="B17" s="27" t="str">
        <f t="shared" si="1"/>
        <v/>
      </c>
      <c r="C17" s="14" t="str">
        <f>IF($A17&lt;&gt;"",MINIFS(Merchant!$A:$A,Merchant!$B:$B,$G$2),)</f>
        <v/>
      </c>
      <c r="D17" s="14" t="str">
        <f t="shared" si="2"/>
        <v/>
      </c>
      <c r="E17" s="14" t="str">
        <f t="shared" si="3"/>
        <v/>
      </c>
      <c r="F17" s="7" t="str">
        <f>IF($A17&lt;&gt;"",MAXIFS(Token!$C:$C,Token!$A:$A,$D17),)</f>
        <v/>
      </c>
    </row>
    <row r="18">
      <c r="A18" s="39" t="str">
        <f>IF(AND($L18*1&gt;=$G$3,$L18*1&lt;=$G$4,$I18*$J18&gt;0,OR($I18&lt;&gt;$I19,$L18-$L19&gt;25),IF(ABS($I18)&gt;10,$I18/POW(10,$J18),$J18/POW(10,$I18))*MAXIFS(Token!$C:$C,Token!$A:$A,$K18)&gt;0.01),$L18/86400+DATE(1970,1,1)+$G$6,)</f>
        <v/>
      </c>
      <c r="B18" s="27" t="str">
        <f t="shared" si="1"/>
        <v/>
      </c>
      <c r="C18" s="14" t="str">
        <f>IF($A18&lt;&gt;"",MINIFS(Merchant!$A:$A,Merchant!$B:$B,$G$2),)</f>
        <v/>
      </c>
      <c r="D18" s="14" t="str">
        <f t="shared" si="2"/>
        <v/>
      </c>
      <c r="E18" s="14" t="str">
        <f t="shared" si="3"/>
        <v/>
      </c>
      <c r="F18" s="7" t="str">
        <f>IF($A18&lt;&gt;"",MAXIFS(Token!$C:$C,Token!$A:$A,$D18),)</f>
        <v/>
      </c>
    </row>
    <row r="19">
      <c r="A19" s="39" t="str">
        <f>IF(AND($L19*1&gt;=$G$3,$L19*1&lt;=$G$4,$I19*$J19&gt;0,OR($I19&lt;&gt;$I20,$L19-$L20&gt;25),IF(ABS($I19)&gt;10,$I19/POW(10,$J19),$J19/POW(10,$I19))*MAXIFS(Token!$C:$C,Token!$A:$A,$K19)&gt;0.01),$L19/86400+DATE(1970,1,1)+$G$6,)</f>
        <v/>
      </c>
      <c r="B19" s="27" t="str">
        <f t="shared" si="1"/>
        <v/>
      </c>
      <c r="C19" s="14" t="str">
        <f>IF($A19&lt;&gt;"",MINIFS(Merchant!$A:$A,Merchant!$B:$B,$G$2),)</f>
        <v/>
      </c>
      <c r="D19" s="14" t="str">
        <f t="shared" si="2"/>
        <v/>
      </c>
      <c r="E19" s="14" t="str">
        <f t="shared" si="3"/>
        <v/>
      </c>
      <c r="F19" s="7" t="str">
        <f>IF($A19&lt;&gt;"",MAXIFS(Token!$C:$C,Token!$A:$A,$D19),)</f>
        <v/>
      </c>
    </row>
    <row r="20">
      <c r="A20" s="39" t="str">
        <f>IF(AND($L20*1&gt;=$G$3,$L20*1&lt;=$G$4,$I20*$J20&gt;0,OR($I20&lt;&gt;$I21,$L20-$L21&gt;25),IF(ABS($I20)&gt;10,$I20/POW(10,$J20),$J20/POW(10,$I20))*MAXIFS(Token!$C:$C,Token!$A:$A,$K20)&gt;0.01),$L20/86400+DATE(1970,1,1)+$G$6,)</f>
        <v/>
      </c>
      <c r="B20" s="27" t="str">
        <f t="shared" si="1"/>
        <v/>
      </c>
      <c r="C20" s="14" t="str">
        <f>IF($A20&lt;&gt;"",MINIFS(Merchant!$A:$A,Merchant!$B:$B,$G$2),)</f>
        <v/>
      </c>
      <c r="D20" s="14" t="str">
        <f t="shared" si="2"/>
        <v/>
      </c>
      <c r="E20" s="14" t="str">
        <f t="shared" si="3"/>
        <v/>
      </c>
      <c r="F20" s="7" t="str">
        <f>IF($A20&lt;&gt;"",MAXIFS(Token!$C:$C,Token!$A:$A,$D20),)</f>
        <v/>
      </c>
    </row>
    <row r="21">
      <c r="A21" s="39" t="str">
        <f>IF(AND($L21*1&gt;=$G$3,$L21*1&lt;=$G$4,$I21*$J21&gt;0,OR($I21&lt;&gt;$I22,$L21-$L22&gt;25),IF(ABS($I21)&gt;10,$I21/POW(10,$J21),$J21/POW(10,$I21))*MAXIFS(Token!$C:$C,Token!$A:$A,$K21)&gt;0.01),$L21/86400+DATE(1970,1,1)+$G$6,)</f>
        <v/>
      </c>
      <c r="B21" s="27" t="str">
        <f t="shared" si="1"/>
        <v/>
      </c>
      <c r="C21" s="14" t="str">
        <f>IF($A21&lt;&gt;"",MINIFS(Merchant!$A:$A,Merchant!$B:$B,$G$2),)</f>
        <v/>
      </c>
      <c r="D21" s="14" t="str">
        <f t="shared" si="2"/>
        <v/>
      </c>
      <c r="E21" s="14" t="str">
        <f t="shared" si="3"/>
        <v/>
      </c>
      <c r="F21" s="7" t="str">
        <f>IF($A21&lt;&gt;"",MAXIFS(Token!$C:$C,Token!$A:$A,$D21),)</f>
        <v/>
      </c>
    </row>
    <row r="22">
      <c r="A22" s="39" t="str">
        <f>IF(AND($L22*1&gt;=$G$3,$L22*1&lt;=$G$4,$I22*$J22&gt;0,OR($I22&lt;&gt;$I23,$L22-$L23&gt;25),IF(ABS($I22)&gt;10,$I22/POW(10,$J22),$J22/POW(10,$I22))*MAXIFS(Token!$C:$C,Token!$A:$A,$K22)&gt;0.01),$L22/86400+DATE(1970,1,1)+$G$6,)</f>
        <v/>
      </c>
      <c r="B22" s="27" t="str">
        <f t="shared" si="1"/>
        <v/>
      </c>
      <c r="C22" s="14" t="str">
        <f>IF($A22&lt;&gt;"",MINIFS(Merchant!$A:$A,Merchant!$B:$B,$G$2),)</f>
        <v/>
      </c>
      <c r="D22" s="14" t="str">
        <f t="shared" si="2"/>
        <v/>
      </c>
      <c r="E22" s="14" t="str">
        <f t="shared" si="3"/>
        <v/>
      </c>
      <c r="F22" s="7" t="str">
        <f>IF($A22&lt;&gt;"",MAXIFS(Token!$C:$C,Token!$A:$A,$D22),)</f>
        <v/>
      </c>
    </row>
    <row r="23">
      <c r="A23" s="39" t="str">
        <f>IF(AND($L23*1&gt;=$G$3,$L23*1&lt;=$G$4,$I23*$J23&gt;0,OR($I23&lt;&gt;$I24,$L23-$L24&gt;25),IF(ABS($I23)&gt;10,$I23/POW(10,$J23),$J23/POW(10,$I23))*MAXIFS(Token!$C:$C,Token!$A:$A,$K23)&gt;0.01),$L23/86400+DATE(1970,1,1)+$G$6,)</f>
        <v/>
      </c>
      <c r="B23" s="27" t="str">
        <f t="shared" si="1"/>
        <v/>
      </c>
      <c r="C23" s="14" t="str">
        <f>IF($A23&lt;&gt;"",MINIFS(Merchant!$A:$A,Merchant!$B:$B,$G$2),)</f>
        <v/>
      </c>
      <c r="D23" s="14" t="str">
        <f t="shared" si="2"/>
        <v/>
      </c>
      <c r="E23" s="14" t="str">
        <f t="shared" si="3"/>
        <v/>
      </c>
      <c r="F23" s="7" t="str">
        <f>IF($A23&lt;&gt;"",MAXIFS(Token!$C:$C,Token!$A:$A,$D23),)</f>
        <v/>
      </c>
    </row>
    <row r="24">
      <c r="A24" s="39" t="str">
        <f>IF(AND($L24*1&gt;=$G$3,$L24*1&lt;=$G$4,$I24*$J24&gt;0,OR($I24&lt;&gt;$I25,$L24-$L25&gt;25),IF(ABS($I24)&gt;10,$I24/POW(10,$J24),$J24/POW(10,$I24))*MAXIFS(Token!$C:$C,Token!$A:$A,$K24)&gt;0.01),$L24/86400+DATE(1970,1,1)+$G$6,)</f>
        <v/>
      </c>
      <c r="B24" s="27" t="str">
        <f t="shared" si="1"/>
        <v/>
      </c>
      <c r="C24" s="14" t="str">
        <f>IF($A24&lt;&gt;"",MINIFS(Merchant!$A:$A,Merchant!$B:$B,$G$2),)</f>
        <v/>
      </c>
      <c r="D24" s="14" t="str">
        <f t="shared" si="2"/>
        <v/>
      </c>
      <c r="E24" s="14" t="str">
        <f t="shared" si="3"/>
        <v/>
      </c>
      <c r="F24" s="7" t="str">
        <f>IF($A24&lt;&gt;"",MAXIFS(Token!$C:$C,Token!$A:$A,$D24),)</f>
        <v/>
      </c>
    </row>
    <row r="25">
      <c r="A25" s="39" t="str">
        <f>IF(AND($L25*1&gt;=$G$3,$L25*1&lt;=$G$4,$I25*$J25&gt;0,OR($I25&lt;&gt;$I26,$L25-$L26&gt;25),IF(ABS($I25)&gt;10,$I25/POW(10,$J25),$J25/POW(10,$I25))*MAXIFS(Token!$C:$C,Token!$A:$A,$K25)&gt;0.01),$L25/86400+DATE(1970,1,1)+$G$6,)</f>
        <v/>
      </c>
      <c r="B25" s="27" t="str">
        <f t="shared" si="1"/>
        <v/>
      </c>
      <c r="C25" s="14" t="str">
        <f>IF($A25&lt;&gt;"",MINIFS(Merchant!$A:$A,Merchant!$B:$B,$G$2),)</f>
        <v/>
      </c>
      <c r="D25" s="14" t="str">
        <f t="shared" si="2"/>
        <v/>
      </c>
      <c r="E25" s="14" t="str">
        <f t="shared" si="3"/>
        <v/>
      </c>
      <c r="F25" s="7" t="str">
        <f>IF($A25&lt;&gt;"",MAXIFS(Token!$C:$C,Token!$A:$A,$D25),)</f>
        <v/>
      </c>
    </row>
    <row r="26">
      <c r="A26" s="39" t="str">
        <f>IF(AND($L26*1&gt;=$G$3,$L26*1&lt;=$G$4,$I26*$J26&gt;0,OR($I26&lt;&gt;$I27,$L26-$L27&gt;25),IF(ABS($I26)&gt;10,$I26/POW(10,$J26),$J26/POW(10,$I26))*MAXIFS(Token!$C:$C,Token!$A:$A,$K26)&gt;0.01),$L26/86400+DATE(1970,1,1)+$G$6,)</f>
        <v/>
      </c>
      <c r="B26" s="27" t="str">
        <f t="shared" si="1"/>
        <v/>
      </c>
      <c r="C26" s="14" t="str">
        <f>IF($A26&lt;&gt;"",MINIFS(Merchant!$A:$A,Merchant!$B:$B,$G$2),)</f>
        <v/>
      </c>
      <c r="D26" s="14" t="str">
        <f t="shared" si="2"/>
        <v/>
      </c>
      <c r="E26" s="14" t="str">
        <f t="shared" si="3"/>
        <v/>
      </c>
      <c r="F26" s="7" t="str">
        <f>IF($A26&lt;&gt;"",MAXIFS(Token!$C:$C,Token!$A:$A,$D26),)</f>
        <v/>
      </c>
    </row>
    <row r="27">
      <c r="A27" s="39" t="str">
        <f>IF(AND($L27*1&gt;=$G$3,$L27*1&lt;=$G$4,$I27*$J27&gt;0,OR($I27&lt;&gt;$I28,$L27-$L28&gt;25),IF(ABS($I27)&gt;10,$I27/POW(10,$J27),$J27/POW(10,$I27))*MAXIFS(Token!$C:$C,Token!$A:$A,$K27)&gt;0.01),$L27/86400+DATE(1970,1,1)+$G$6,)</f>
        <v/>
      </c>
      <c r="B27" s="27" t="str">
        <f t="shared" si="1"/>
        <v/>
      </c>
      <c r="C27" s="14" t="str">
        <f>IF($A27&lt;&gt;"",MINIFS(Merchant!$A:$A,Merchant!$B:$B,$G$2),)</f>
        <v/>
      </c>
      <c r="D27" s="14" t="str">
        <f t="shared" si="2"/>
        <v/>
      </c>
      <c r="E27" s="14" t="str">
        <f t="shared" si="3"/>
        <v/>
      </c>
      <c r="F27" s="7" t="str">
        <f>IF($A27&lt;&gt;"",MAXIFS(Token!$C:$C,Token!$A:$A,$D27),)</f>
        <v/>
      </c>
    </row>
    <row r="28">
      <c r="A28" s="39" t="str">
        <f>IF(AND($L28*1&gt;=$G$3,$L28*1&lt;=$G$4,$I28*$J28&gt;0,OR($I28&lt;&gt;$I29,$L28-$L29&gt;25),IF(ABS($I28)&gt;10,$I28/POW(10,$J28),$J28/POW(10,$I28))*MAXIFS(Token!$C:$C,Token!$A:$A,$K28)&gt;0.01),$L28/86400+DATE(1970,1,1)+$G$6,)</f>
        <v/>
      </c>
      <c r="B28" s="27" t="str">
        <f t="shared" si="1"/>
        <v/>
      </c>
      <c r="C28" s="14" t="str">
        <f>IF($A28&lt;&gt;"",MINIFS(Merchant!$A:$A,Merchant!$B:$B,$G$2),)</f>
        <v/>
      </c>
      <c r="D28" s="14" t="str">
        <f t="shared" si="2"/>
        <v/>
      </c>
      <c r="E28" s="14" t="str">
        <f t="shared" si="3"/>
        <v/>
      </c>
      <c r="F28" s="7" t="str">
        <f>IF($A28&lt;&gt;"",MAXIFS(Token!$C:$C,Token!$A:$A,$D28),)</f>
        <v/>
      </c>
    </row>
    <row r="29">
      <c r="A29" s="39" t="str">
        <f>IF(AND($L29*1&gt;=$G$3,$L29*1&lt;=$G$4,$I29*$J29&gt;0,OR($I29&lt;&gt;$I30,$L29-$L30&gt;25),IF(ABS($I29)&gt;10,$I29/POW(10,$J29),$J29/POW(10,$I29))*MAXIFS(Token!$C:$C,Token!$A:$A,$K29)&gt;0.01),$L29/86400+DATE(1970,1,1)+$G$6,)</f>
        <v/>
      </c>
      <c r="B29" s="27" t="str">
        <f t="shared" si="1"/>
        <v/>
      </c>
      <c r="C29" s="14" t="str">
        <f>IF($A29&lt;&gt;"",MINIFS(Merchant!$A:$A,Merchant!$B:$B,$G$2),)</f>
        <v/>
      </c>
      <c r="D29" s="14" t="str">
        <f t="shared" si="2"/>
        <v/>
      </c>
      <c r="E29" s="14" t="str">
        <f t="shared" si="3"/>
        <v/>
      </c>
      <c r="F29" s="7" t="str">
        <f>IF($A29&lt;&gt;"",MAXIFS(Token!$C:$C,Token!$A:$A,$D29),)</f>
        <v/>
      </c>
    </row>
    <row r="30">
      <c r="A30" s="39" t="str">
        <f>IF(AND($L30*1&gt;=$G$3,$L30*1&lt;=$G$4,$I30*$J30&gt;0,OR($I30&lt;&gt;$I31,$L30-$L31&gt;25),IF(ABS($I30)&gt;10,$I30/POW(10,$J30),$J30/POW(10,$I30))*MAXIFS(Token!$C:$C,Token!$A:$A,$K30)&gt;0.01),$L30/86400+DATE(1970,1,1)+$G$6,)</f>
        <v/>
      </c>
      <c r="B30" s="27" t="str">
        <f t="shared" si="1"/>
        <v/>
      </c>
      <c r="C30" s="14" t="str">
        <f>IF($A30&lt;&gt;"",MINIFS(Merchant!$A:$A,Merchant!$B:$B,$G$2),)</f>
        <v/>
      </c>
      <c r="D30" s="14" t="str">
        <f t="shared" si="2"/>
        <v/>
      </c>
      <c r="E30" s="14" t="str">
        <f t="shared" si="3"/>
        <v/>
      </c>
      <c r="F30" s="7" t="str">
        <f>IF($A30&lt;&gt;"",MAXIFS(Token!$C:$C,Token!$A:$A,$D30),)</f>
        <v/>
      </c>
    </row>
    <row r="31">
      <c r="A31" s="39" t="str">
        <f>IF(AND($L31*1&gt;=$G$3,$L31*1&lt;=$G$4,$I31*$J31&gt;0,OR($I31&lt;&gt;$I32,$L31-$L32&gt;25),IF(ABS($I31)&gt;10,$I31/POW(10,$J31),$J31/POW(10,$I31))*MAXIFS(Token!$C:$C,Token!$A:$A,$K31)&gt;0.01),$L31/86400+DATE(1970,1,1)+$G$6,)</f>
        <v/>
      </c>
      <c r="B31" s="27" t="str">
        <f t="shared" si="1"/>
        <v/>
      </c>
      <c r="C31" s="14" t="str">
        <f>IF($A31&lt;&gt;"",MINIFS(Merchant!$A:$A,Merchant!$B:$B,$G$2),)</f>
        <v/>
      </c>
      <c r="D31" s="14" t="str">
        <f t="shared" si="2"/>
        <v/>
      </c>
      <c r="E31" s="14" t="str">
        <f t="shared" si="3"/>
        <v/>
      </c>
      <c r="F31" s="7" t="str">
        <f>IF($A31&lt;&gt;"",MAXIFS(Token!$C:$C,Token!$A:$A,$D31),)</f>
        <v/>
      </c>
    </row>
    <row r="32">
      <c r="A32" s="39" t="str">
        <f>IF(AND($L32*1&gt;=$G$3,$L32*1&lt;=$G$4,$I32*$J32&gt;0,OR($I32&lt;&gt;$I33,$L32-$L33&gt;25),IF(ABS($I32)&gt;10,$I32/POW(10,$J32),$J32/POW(10,$I32))*MAXIFS(Token!$C:$C,Token!$A:$A,$K32)&gt;0.01),$L32/86400+DATE(1970,1,1)+$G$6,)</f>
        <v/>
      </c>
      <c r="B32" s="27" t="str">
        <f t="shared" si="1"/>
        <v/>
      </c>
      <c r="C32" s="14" t="str">
        <f>IF($A32&lt;&gt;"",MINIFS(Merchant!$A:$A,Merchant!$B:$B,$G$2),)</f>
        <v/>
      </c>
      <c r="D32" s="14" t="str">
        <f t="shared" si="2"/>
        <v/>
      </c>
      <c r="E32" s="14" t="str">
        <f t="shared" si="3"/>
        <v/>
      </c>
      <c r="F32" s="7" t="str">
        <f>IF($A32&lt;&gt;"",MAXIFS(Token!$C:$C,Token!$A:$A,$D32),)</f>
        <v/>
      </c>
    </row>
    <row r="33">
      <c r="A33" s="39" t="str">
        <f>IF(AND($L33*1&gt;=$G$3,$L33*1&lt;=$G$4,$I33*$J33&gt;0,OR($I33&lt;&gt;$I34,$L33-$L34&gt;25),IF(ABS($I33)&gt;10,$I33/POW(10,$J33),$J33/POW(10,$I33))*MAXIFS(Token!$C:$C,Token!$A:$A,$K33)&gt;0.01),$L33/86400+DATE(1970,1,1)+$G$6,)</f>
        <v/>
      </c>
      <c r="B33" s="27" t="str">
        <f t="shared" si="1"/>
        <v/>
      </c>
      <c r="C33" s="14" t="str">
        <f>IF($A33&lt;&gt;"",MINIFS(Merchant!$A:$A,Merchant!$B:$B,$G$2),)</f>
        <v/>
      </c>
      <c r="D33" s="14" t="str">
        <f t="shared" si="2"/>
        <v/>
      </c>
      <c r="E33" s="14" t="str">
        <f t="shared" si="3"/>
        <v/>
      </c>
      <c r="F33" s="7" t="str">
        <f>IF($A33&lt;&gt;"",MAXIFS(Token!$C:$C,Token!$A:$A,$D33),)</f>
        <v/>
      </c>
    </row>
    <row r="34">
      <c r="A34" s="39" t="str">
        <f>IF(AND($L34*1&gt;=$G$3,$L34*1&lt;=$G$4,$I34*$J34&gt;0,OR($I34&lt;&gt;$I35,$L34-$L35&gt;25),IF(ABS($I34)&gt;10,$I34/POW(10,$J34),$J34/POW(10,$I34))*MAXIFS(Token!$C:$C,Token!$A:$A,$K34)&gt;0.01),$L34/86400+DATE(1970,1,1)+$G$6,)</f>
        <v/>
      </c>
      <c r="B34" s="27" t="str">
        <f t="shared" si="1"/>
        <v/>
      </c>
      <c r="C34" s="14" t="str">
        <f>IF($A34&lt;&gt;"",MINIFS(Merchant!$A:$A,Merchant!$B:$B,$G$2),)</f>
        <v/>
      </c>
      <c r="D34" s="14" t="str">
        <f t="shared" si="2"/>
        <v/>
      </c>
      <c r="E34" s="14" t="str">
        <f t="shared" si="3"/>
        <v/>
      </c>
      <c r="F34" s="7" t="str">
        <f>IF($A34&lt;&gt;"",MAXIFS(Token!$C:$C,Token!$A:$A,$D34),)</f>
        <v/>
      </c>
    </row>
    <row r="35">
      <c r="A35" s="39" t="str">
        <f>IF(AND($L35*1&gt;=$G$3,$L35*1&lt;=$G$4,$I35*$J35&gt;0,OR($I35&lt;&gt;$I36,$L35-$L36&gt;25),IF(ABS($I35)&gt;10,$I35/POW(10,$J35),$J35/POW(10,$I35))*MAXIFS(Token!$C:$C,Token!$A:$A,$K35)&gt;0.01),$L35/86400+DATE(1970,1,1)+$G$6,)</f>
        <v/>
      </c>
      <c r="B35" s="27" t="str">
        <f t="shared" si="1"/>
        <v/>
      </c>
      <c r="C35" s="14" t="str">
        <f>IF($A35&lt;&gt;"",MINIFS(Merchant!$A:$A,Merchant!$B:$B,$G$2),)</f>
        <v/>
      </c>
      <c r="D35" s="14" t="str">
        <f t="shared" si="2"/>
        <v/>
      </c>
      <c r="E35" s="14" t="str">
        <f t="shared" si="3"/>
        <v/>
      </c>
      <c r="F35" s="7" t="str">
        <f>IF($A35&lt;&gt;"",MAXIFS(Token!$C:$C,Token!$A:$A,$D35),)</f>
        <v/>
      </c>
    </row>
    <row r="36">
      <c r="A36" s="39" t="str">
        <f>IF(AND($L36*1&gt;=$G$3,$L36*1&lt;=$G$4,$I36*$J36&gt;0,OR($I36&lt;&gt;$I37,$L36-$L37&gt;25),IF(ABS($I36)&gt;10,$I36/POW(10,$J36),$J36/POW(10,$I36))*MAXIFS(Token!$C:$C,Token!$A:$A,$K36)&gt;0.01),$L36/86400+DATE(1970,1,1)+$G$6,)</f>
        <v/>
      </c>
      <c r="B36" s="27" t="str">
        <f t="shared" si="1"/>
        <v/>
      </c>
      <c r="C36" s="14" t="str">
        <f>IF($A36&lt;&gt;"",MINIFS(Merchant!$A:$A,Merchant!$B:$B,$G$2),)</f>
        <v/>
      </c>
      <c r="D36" s="14" t="str">
        <f t="shared" si="2"/>
        <v/>
      </c>
      <c r="E36" s="14" t="str">
        <f t="shared" si="3"/>
        <v/>
      </c>
      <c r="F36" s="7" t="str">
        <f>IF($A36&lt;&gt;"",MAXIFS(Token!$C:$C,Token!$A:$A,$D36),)</f>
        <v/>
      </c>
    </row>
    <row r="37">
      <c r="A37" s="39" t="str">
        <f>IF(AND($L37*1&gt;=$G$3,$L37*1&lt;=$G$4,$I37*$J37&gt;0,OR($I37&lt;&gt;$I38,$L37-$L38&gt;25),IF(ABS($I37)&gt;10,$I37/POW(10,$J37),$J37/POW(10,$I37))*MAXIFS(Token!$C:$C,Token!$A:$A,$K37)&gt;0.01),$L37/86400+DATE(1970,1,1)+$G$6,)</f>
        <v/>
      </c>
      <c r="B37" s="27" t="str">
        <f t="shared" si="1"/>
        <v/>
      </c>
      <c r="C37" s="14" t="str">
        <f>IF($A37&lt;&gt;"",MINIFS(Merchant!$A:$A,Merchant!$B:$B,$G$2),)</f>
        <v/>
      </c>
      <c r="D37" s="14" t="str">
        <f t="shared" si="2"/>
        <v/>
      </c>
      <c r="E37" s="14" t="str">
        <f t="shared" si="3"/>
        <v/>
      </c>
      <c r="F37" s="7" t="str">
        <f>IF($A37&lt;&gt;"",MAXIFS(Token!$C:$C,Token!$A:$A,$D37),)</f>
        <v/>
      </c>
    </row>
    <row r="38">
      <c r="A38" s="39" t="str">
        <f>IF(AND($L38*1&gt;=$G$3,$L38*1&lt;=$G$4,$I38*$J38&gt;0,OR($I38&lt;&gt;$I39,$L38-$L39&gt;25),IF(ABS($I38)&gt;10,$I38/POW(10,$J38),$J38/POW(10,$I38))*MAXIFS(Token!$C:$C,Token!$A:$A,$K38)&gt;0.01),$L38/86400+DATE(1970,1,1)+$G$6,)</f>
        <v/>
      </c>
      <c r="B38" s="27" t="str">
        <f t="shared" si="1"/>
        <v/>
      </c>
      <c r="C38" s="14" t="str">
        <f>IF($A38&lt;&gt;"",MINIFS(Merchant!$A:$A,Merchant!$B:$B,$G$2),)</f>
        <v/>
      </c>
      <c r="D38" s="14" t="str">
        <f t="shared" si="2"/>
        <v/>
      </c>
      <c r="E38" s="14" t="str">
        <f t="shared" si="3"/>
        <v/>
      </c>
      <c r="F38" s="7" t="str">
        <f>IF($A38&lt;&gt;"",MAXIFS(Token!$C:$C,Token!$A:$A,$D38),)</f>
        <v/>
      </c>
    </row>
    <row r="39">
      <c r="A39" s="39" t="str">
        <f>IF(AND($L39*1&gt;=$G$3,$L39*1&lt;=$G$4,$I39*$J39&gt;0,OR($I39&lt;&gt;$I40,$L39-$L40&gt;25),IF(ABS($I39)&gt;10,$I39/POW(10,$J39),$J39/POW(10,$I39))*MAXIFS(Token!$C:$C,Token!$A:$A,$K39)&gt;0.01),$L39/86400+DATE(1970,1,1)+$G$6,)</f>
        <v/>
      </c>
      <c r="B39" s="27" t="str">
        <f t="shared" si="1"/>
        <v/>
      </c>
      <c r="C39" s="14" t="str">
        <f>IF($A39&lt;&gt;"",MINIFS(Merchant!$A:$A,Merchant!$B:$B,$G$2),)</f>
        <v/>
      </c>
      <c r="D39" s="14" t="str">
        <f t="shared" si="2"/>
        <v/>
      </c>
      <c r="E39" s="14" t="str">
        <f t="shared" si="3"/>
        <v/>
      </c>
      <c r="F39" s="7" t="str">
        <f>IF($A39&lt;&gt;"",MAXIFS(Token!$C:$C,Token!$A:$A,$D39),)</f>
        <v/>
      </c>
    </row>
    <row r="40">
      <c r="A40" s="39" t="str">
        <f>IF(AND($L40*1&gt;=$G$3,$L40*1&lt;=$G$4,$I40*$J40&gt;0,OR($I40&lt;&gt;$I41,$L40-$L41&gt;25),IF(ABS($I40)&gt;10,$I40/POW(10,$J40),$J40/POW(10,$I40))*MAXIFS(Token!$C:$C,Token!$A:$A,$K40)&gt;0.01),$L40/86400+DATE(1970,1,1)+$G$6,)</f>
        <v/>
      </c>
      <c r="B40" s="27" t="str">
        <f t="shared" si="1"/>
        <v/>
      </c>
      <c r="C40" s="14" t="str">
        <f>IF($A40&lt;&gt;"",MINIFS(Merchant!$A:$A,Merchant!$B:$B,$G$2),)</f>
        <v/>
      </c>
      <c r="D40" s="14" t="str">
        <f t="shared" si="2"/>
        <v/>
      </c>
      <c r="E40" s="14" t="str">
        <f t="shared" si="3"/>
        <v/>
      </c>
      <c r="F40" s="7" t="str">
        <f>IF($A40&lt;&gt;"",MAXIFS(Token!$C:$C,Token!$A:$A,$D40),)</f>
        <v/>
      </c>
    </row>
    <row r="41">
      <c r="A41" s="39" t="str">
        <f>IF(AND($L41*1&gt;=$G$3,$L41*1&lt;=$G$4,$I41*$J41&gt;0,OR($I41&lt;&gt;$I42,$L41-$L42&gt;25),IF(ABS($I41)&gt;10,$I41/POW(10,$J41),$J41/POW(10,$I41))*MAXIFS(Token!$C:$C,Token!$A:$A,$K41)&gt;0.01),$L41/86400+DATE(1970,1,1)+$G$6,)</f>
        <v/>
      </c>
      <c r="B41" s="27" t="str">
        <f t="shared" si="1"/>
        <v/>
      </c>
      <c r="C41" s="14" t="str">
        <f>IF($A41&lt;&gt;"",MINIFS(Merchant!$A:$A,Merchant!$B:$B,$G$2),)</f>
        <v/>
      </c>
      <c r="D41" s="14" t="str">
        <f t="shared" si="2"/>
        <v/>
      </c>
      <c r="E41" s="14" t="str">
        <f t="shared" si="3"/>
        <v/>
      </c>
      <c r="F41" s="7" t="str">
        <f>IF($A41&lt;&gt;"",MAXIFS(Token!$C:$C,Token!$A:$A,$D41),)</f>
        <v/>
      </c>
    </row>
    <row r="42">
      <c r="A42" s="39" t="str">
        <f>IF(AND($L42*1&gt;=$G$3,$L42*1&lt;=$G$4,$I42*$J42&gt;0,OR($I42&lt;&gt;$I43,$L42-$L43&gt;25),IF(ABS($I42)&gt;10,$I42/POW(10,$J42),$J42/POW(10,$I42))*MAXIFS(Token!$C:$C,Token!$A:$A,$K42)&gt;0.01),$L42/86400+DATE(1970,1,1)+$G$6,)</f>
        <v/>
      </c>
      <c r="B42" s="27" t="str">
        <f t="shared" si="1"/>
        <v/>
      </c>
      <c r="C42" s="14" t="str">
        <f>IF($A42&lt;&gt;"",MINIFS(Merchant!$A:$A,Merchant!$B:$B,$G$2),)</f>
        <v/>
      </c>
      <c r="D42" s="14" t="str">
        <f t="shared" si="2"/>
        <v/>
      </c>
      <c r="E42" s="14" t="str">
        <f t="shared" si="3"/>
        <v/>
      </c>
      <c r="F42" s="7" t="str">
        <f>IF($A42&lt;&gt;"",MAXIFS(Token!$C:$C,Token!$A:$A,$D42),)</f>
        <v/>
      </c>
    </row>
    <row r="43">
      <c r="A43" s="39" t="str">
        <f>IF(AND($L43*1&gt;=$G$3,$L43*1&lt;=$G$4,$I43*$J43&gt;0,OR($I43&lt;&gt;$I44,$L43-$L44&gt;25),IF(ABS($I43)&gt;10,$I43/POW(10,$J43),$J43/POW(10,$I43))*MAXIFS(Token!$C:$C,Token!$A:$A,$K43)&gt;0.01),$L43/86400+DATE(1970,1,1)+$G$6,)</f>
        <v/>
      </c>
      <c r="B43" s="27" t="str">
        <f t="shared" si="1"/>
        <v/>
      </c>
      <c r="C43" s="14" t="str">
        <f>IF($A43&lt;&gt;"",MINIFS(Merchant!$A:$A,Merchant!$B:$B,$G$2),)</f>
        <v/>
      </c>
      <c r="D43" s="14" t="str">
        <f t="shared" si="2"/>
        <v/>
      </c>
      <c r="E43" s="14" t="str">
        <f t="shared" si="3"/>
        <v/>
      </c>
      <c r="F43" s="7" t="str">
        <f>IF($A43&lt;&gt;"",MAXIFS(Token!$C:$C,Token!$A:$A,$D43),)</f>
        <v/>
      </c>
    </row>
    <row r="44">
      <c r="A44" s="39" t="str">
        <f>IF(AND($L44*1&gt;=$G$3,$L44*1&lt;=$G$4,$I44*$J44&gt;0,OR($I44&lt;&gt;$I45,$L44-$L45&gt;25),IF(ABS($I44)&gt;10,$I44/POW(10,$J44),$J44/POW(10,$I44))*MAXIFS(Token!$C:$C,Token!$A:$A,$K44)&gt;0.01),$L44/86400+DATE(1970,1,1)+$G$6,)</f>
        <v/>
      </c>
      <c r="B44" s="27" t="str">
        <f t="shared" si="1"/>
        <v/>
      </c>
      <c r="C44" s="14" t="str">
        <f>IF($A44&lt;&gt;"",MINIFS(Merchant!$A:$A,Merchant!$B:$B,$G$2),)</f>
        <v/>
      </c>
      <c r="D44" s="14" t="str">
        <f t="shared" si="2"/>
        <v/>
      </c>
      <c r="E44" s="14" t="str">
        <f t="shared" si="3"/>
        <v/>
      </c>
      <c r="F44" s="7" t="str">
        <f>IF($A44&lt;&gt;"",MAXIFS(Token!$C:$C,Token!$A:$A,$D44),)</f>
        <v/>
      </c>
    </row>
    <row r="45">
      <c r="A45" s="39" t="str">
        <f>IF(AND($L45*1&gt;=$G$3,$L45*1&lt;=$G$4,$I45*$J45&gt;0,OR($I45&lt;&gt;$I46,$L45-$L46&gt;25),IF(ABS($I45)&gt;10,$I45/POW(10,$J45),$J45/POW(10,$I45))*MAXIFS(Token!$C:$C,Token!$A:$A,$K45)&gt;0.01),$L45/86400+DATE(1970,1,1)+$G$6,)</f>
        <v/>
      </c>
      <c r="B45" s="27" t="str">
        <f t="shared" si="1"/>
        <v/>
      </c>
      <c r="C45" s="14" t="str">
        <f>IF($A45&lt;&gt;"",MINIFS(Merchant!$A:$A,Merchant!$B:$B,$G$2),)</f>
        <v/>
      </c>
      <c r="D45" s="14" t="str">
        <f t="shared" si="2"/>
        <v/>
      </c>
      <c r="E45" s="14" t="str">
        <f t="shared" si="3"/>
        <v/>
      </c>
      <c r="F45" s="7" t="str">
        <f>IF($A45&lt;&gt;"",MAXIFS(Token!$C:$C,Token!$A:$A,$D45),)</f>
        <v/>
      </c>
    </row>
    <row r="46">
      <c r="A46" s="39" t="str">
        <f>IF(AND($L46*1&gt;=$G$3,$L46*1&lt;=$G$4,$I46*$J46&gt;0,OR($I46&lt;&gt;$I47,$L46-$L47&gt;25),IF(ABS($I46)&gt;10,$I46/POW(10,$J46),$J46/POW(10,$I46))*MAXIFS(Token!$C:$C,Token!$A:$A,$K46)&gt;0.01),$L46/86400+DATE(1970,1,1)+$G$6,)</f>
        <v/>
      </c>
      <c r="B46" s="27" t="str">
        <f t="shared" si="1"/>
        <v/>
      </c>
      <c r="C46" s="14" t="str">
        <f>IF($A46&lt;&gt;"",MINIFS(Merchant!$A:$A,Merchant!$B:$B,$G$2),)</f>
        <v/>
      </c>
      <c r="D46" s="14" t="str">
        <f t="shared" si="2"/>
        <v/>
      </c>
      <c r="E46" s="14" t="str">
        <f t="shared" si="3"/>
        <v/>
      </c>
      <c r="F46" s="7" t="str">
        <f>IF($A46&lt;&gt;"",MAXIFS(Token!$C:$C,Token!$A:$A,$D46),)</f>
        <v/>
      </c>
    </row>
    <row r="47">
      <c r="A47" s="39" t="str">
        <f>IF(AND($L47*1&gt;=$G$3,$L47*1&lt;=$G$4,$I47*$J47&gt;0,OR($I47&lt;&gt;$I48,$L47-$L48&gt;25),IF(ABS($I47)&gt;10,$I47/POW(10,$J47),$J47/POW(10,$I47))*MAXIFS(Token!$C:$C,Token!$A:$A,$K47)&gt;0.01),$L47/86400+DATE(1970,1,1)+$G$6,)</f>
        <v/>
      </c>
      <c r="B47" s="27" t="str">
        <f t="shared" si="1"/>
        <v/>
      </c>
      <c r="C47" s="14" t="str">
        <f>IF($A47&lt;&gt;"",MINIFS(Merchant!$A:$A,Merchant!$B:$B,$G$2),)</f>
        <v/>
      </c>
      <c r="D47" s="14" t="str">
        <f t="shared" si="2"/>
        <v/>
      </c>
      <c r="E47" s="14" t="str">
        <f t="shared" si="3"/>
        <v/>
      </c>
      <c r="F47" s="7" t="str">
        <f>IF($A47&lt;&gt;"",MAXIFS(Token!$C:$C,Token!$A:$A,$D47),)</f>
        <v/>
      </c>
    </row>
    <row r="48">
      <c r="A48" s="39" t="str">
        <f>IF(AND($L48*1&gt;=$G$3,$L48*1&lt;=$G$4,$I48*$J48&gt;0,OR($I48&lt;&gt;$I49,$L48-$L49&gt;25),IF(ABS($I48)&gt;10,$I48/POW(10,$J48),$J48/POW(10,$I48))*MAXIFS(Token!$C:$C,Token!$A:$A,$K48)&gt;0.01),$L48/86400+DATE(1970,1,1)+$G$6,)</f>
        <v/>
      </c>
      <c r="B48" s="27" t="str">
        <f t="shared" si="1"/>
        <v/>
      </c>
      <c r="C48" s="14" t="str">
        <f>IF($A48&lt;&gt;"",MINIFS(Merchant!$A:$A,Merchant!$B:$B,$G$2),)</f>
        <v/>
      </c>
      <c r="D48" s="14" t="str">
        <f t="shared" si="2"/>
        <v/>
      </c>
      <c r="E48" s="14" t="str">
        <f t="shared" si="3"/>
        <v/>
      </c>
      <c r="F48" s="7" t="str">
        <f>IF($A48&lt;&gt;"",MAXIFS(Token!$C:$C,Token!$A:$A,$D48),)</f>
        <v/>
      </c>
    </row>
    <row r="49">
      <c r="A49" s="39" t="str">
        <f>IF(AND($L49*1&gt;=$G$3,$L49*1&lt;=$G$4,$I49*$J49&gt;0,OR($I49&lt;&gt;$I50,$L49-$L50&gt;25),IF(ABS($I49)&gt;10,$I49/POW(10,$J49),$J49/POW(10,$I49))*MAXIFS(Token!$C:$C,Token!$A:$A,$K49)&gt;0.01),$L49/86400+DATE(1970,1,1)+$G$6,)</f>
        <v/>
      </c>
      <c r="B49" s="27" t="str">
        <f t="shared" si="1"/>
        <v/>
      </c>
      <c r="C49" s="14" t="str">
        <f>IF($A49&lt;&gt;"",MINIFS(Merchant!$A:$A,Merchant!$B:$B,$G$2),)</f>
        <v/>
      </c>
      <c r="D49" s="14" t="str">
        <f t="shared" si="2"/>
        <v/>
      </c>
      <c r="E49" s="14" t="str">
        <f t="shared" si="3"/>
        <v/>
      </c>
      <c r="F49" s="7" t="str">
        <f>IF($A49&lt;&gt;"",MAXIFS(Token!$C:$C,Token!$A:$A,$D49),)</f>
        <v/>
      </c>
    </row>
    <row r="50">
      <c r="A50" s="39" t="str">
        <f>IF(AND($L50*1&gt;=$G$3,$L50*1&lt;=$G$4,$I50*$J50&gt;0,OR($I50&lt;&gt;$I51,$L50-$L51&gt;25),IF(ABS($I50)&gt;10,$I50/POW(10,$J50),$J50/POW(10,$I50))*MAXIFS(Token!$C:$C,Token!$A:$A,$K50)&gt;0.01),$L50/86400+DATE(1970,1,1)+$G$6,)</f>
        <v/>
      </c>
      <c r="B50" s="27" t="str">
        <f t="shared" si="1"/>
        <v/>
      </c>
      <c r="C50" s="14" t="str">
        <f>IF($A50&lt;&gt;"",MINIFS(Merchant!$A:$A,Merchant!$B:$B,$G$2),)</f>
        <v/>
      </c>
      <c r="D50" s="14" t="str">
        <f t="shared" si="2"/>
        <v/>
      </c>
      <c r="E50" s="14" t="str">
        <f t="shared" si="3"/>
        <v/>
      </c>
      <c r="F50" s="7" t="str">
        <f>IF($A50&lt;&gt;"",MAXIFS(Token!$C:$C,Token!$A:$A,$D50),)</f>
        <v/>
      </c>
    </row>
    <row r="51">
      <c r="A51" s="39" t="str">
        <f>IF(AND($L51*1&gt;=$G$3,$L51*1&lt;=$G$4,$I51*$J51&gt;0,OR($I51&lt;&gt;$I52,$L51-$L52&gt;25),IF(ABS($I51)&gt;10,$I51/POW(10,$J51),$J51/POW(10,$I51))*MAXIFS(Token!$C:$C,Token!$A:$A,$K51)&gt;0.01),$L51/86400+DATE(1970,1,1)+$G$6,)</f>
        <v/>
      </c>
      <c r="B51" s="27" t="str">
        <f t="shared" si="1"/>
        <v/>
      </c>
      <c r="C51" s="14" t="str">
        <f>IF($A51&lt;&gt;"",MINIFS(Merchant!$A:$A,Merchant!$B:$B,$G$2),)</f>
        <v/>
      </c>
      <c r="D51" s="14" t="str">
        <f t="shared" si="2"/>
        <v/>
      </c>
      <c r="E51" s="14" t="str">
        <f t="shared" si="3"/>
        <v/>
      </c>
      <c r="F51" s="7" t="str">
        <f>IF($A51&lt;&gt;"",MAXIFS(Token!$C:$C,Token!$A:$A,$D51),)</f>
        <v/>
      </c>
    </row>
    <row r="52">
      <c r="A52" s="39" t="str">
        <f>IF(AND($L52*1&gt;=$G$3,$L52*1&lt;=$G$4,$I52*$J52&gt;0,OR($I52&lt;&gt;$I53,$L52-$L53&gt;25),IF(ABS($I52)&gt;10,$I52/POW(10,$J52),$J52/POW(10,$I52))*MAXIFS(Token!$C:$C,Token!$A:$A,$K52)&gt;0.01),$L52/86400+DATE(1970,1,1)+$G$6,)</f>
        <v/>
      </c>
      <c r="B52" s="27" t="str">
        <f t="shared" si="1"/>
        <v/>
      </c>
      <c r="C52" s="14" t="str">
        <f>IF($A52&lt;&gt;"",MINIFS(Merchant!$A:$A,Merchant!$B:$B,$G$2),)</f>
        <v/>
      </c>
      <c r="D52" s="14" t="str">
        <f t="shared" si="2"/>
        <v/>
      </c>
      <c r="E52" s="14" t="str">
        <f t="shared" si="3"/>
        <v/>
      </c>
      <c r="F52" s="7" t="str">
        <f>IF($A52&lt;&gt;"",MAXIFS(Token!$C:$C,Token!$A:$A,$D52),)</f>
        <v/>
      </c>
      <c r="H52" s="6" t="str">
        <f>IFERROR(__xludf.DUMMYFUNCTION("IF(AND($G$11,INDEX(L:L,ROW()-1)*1&gt;$G$3),ImportJSON(""https://public-api.solscan.io/account/splTransfers?account=""&amp;$G$2&amp;IF($G$5,""&amp;fromTime=""&amp;TO_TEXT($G$3)&amp;""&amp;toTime=""&amp;TO_TEXT($G$4),)&amp;""&amp;offset=""&amp;ROW()-2&amp;""&amp;limit=50""&amp;$G$7,TEXTJOIN("","",1,$H$1:$L$1),"&amp;"""noHeaders""),)"),"4")</f>
        <v>4</v>
      </c>
    </row>
    <row r="53">
      <c r="A53" s="39" t="str">
        <f>IF(AND($L53*1&gt;=$G$3,$L53*1&lt;=$G$4,$I53*$J53&gt;0,OR($I53&lt;&gt;$I54,$L53-$L54&gt;25),IF(ABS($I53)&gt;10,$I53/POW(10,$J53),$J53/POW(10,$I53))*MAXIFS(Token!$C:$C,Token!$A:$A,$K53)&gt;0.01),$L53/86400+DATE(1970,1,1)+$G$6,)</f>
        <v/>
      </c>
      <c r="B53" s="27" t="str">
        <f t="shared" si="1"/>
        <v/>
      </c>
      <c r="C53" s="14" t="str">
        <f>IF($A53&lt;&gt;"",MINIFS(Merchant!$A:$A,Merchant!$B:$B,$G$2),)</f>
        <v/>
      </c>
      <c r="D53" s="14" t="str">
        <f t="shared" si="2"/>
        <v/>
      </c>
      <c r="E53" s="14" t="str">
        <f t="shared" si="3"/>
        <v/>
      </c>
      <c r="F53" s="7" t="str">
        <f>IF($A53&lt;&gt;"",MAXIFS(Token!$C:$C,Token!$A:$A,$D53),)</f>
        <v/>
      </c>
    </row>
    <row r="54">
      <c r="A54" s="39" t="str">
        <f>IF(AND($L54*1&gt;=$G$3,$L54*1&lt;=$G$4,$I54*$J54&gt;0,OR($I54&lt;&gt;$I55,$L54-$L55&gt;25),IF(ABS($I54)&gt;10,$I54/POW(10,$J54),$J54/POW(10,$I54))*MAXIFS(Token!$C:$C,Token!$A:$A,$K54)&gt;0.01),$L54/86400+DATE(1970,1,1)+$G$6,)</f>
        <v/>
      </c>
      <c r="B54" s="27" t="str">
        <f t="shared" si="1"/>
        <v/>
      </c>
      <c r="C54" s="14" t="str">
        <f>IF($A54&lt;&gt;"",MINIFS(Merchant!$A:$A,Merchant!$B:$B,$G$2),)</f>
        <v/>
      </c>
      <c r="D54" s="14" t="str">
        <f t="shared" si="2"/>
        <v/>
      </c>
      <c r="E54" s="14" t="str">
        <f t="shared" si="3"/>
        <v/>
      </c>
      <c r="F54" s="7" t="str">
        <f>IF($A54&lt;&gt;"",MAXIFS(Token!$C:$C,Token!$A:$A,$D54),)</f>
        <v/>
      </c>
    </row>
    <row r="55">
      <c r="A55" s="39" t="str">
        <f>IF(AND($L55*1&gt;=$G$3,$L55*1&lt;=$G$4,$I55*$J55&gt;0,OR($I55&lt;&gt;$I56,$L55-$L56&gt;25),IF(ABS($I55)&gt;10,$I55/POW(10,$J55),$J55/POW(10,$I55))*MAXIFS(Token!$C:$C,Token!$A:$A,$K55)&gt;0.01),$L55/86400+DATE(1970,1,1)+$G$6,)</f>
        <v/>
      </c>
      <c r="B55" s="27" t="str">
        <f t="shared" si="1"/>
        <v/>
      </c>
      <c r="C55" s="14" t="str">
        <f>IF($A55&lt;&gt;"",MINIFS(Merchant!$A:$A,Merchant!$B:$B,$G$2),)</f>
        <v/>
      </c>
      <c r="D55" s="14" t="str">
        <f t="shared" si="2"/>
        <v/>
      </c>
      <c r="E55" s="14" t="str">
        <f t="shared" si="3"/>
        <v/>
      </c>
      <c r="F55" s="7" t="str">
        <f>IF($A55&lt;&gt;"",MAXIFS(Token!$C:$C,Token!$A:$A,$D55),)</f>
        <v/>
      </c>
    </row>
    <row r="56">
      <c r="A56" s="39" t="str">
        <f>IF(AND($L56*1&gt;=$G$3,$L56*1&lt;=$G$4,$I56*$J56&gt;0,OR($I56&lt;&gt;$I57,$L56-$L57&gt;25),IF(ABS($I56)&gt;10,$I56/POW(10,$J56),$J56/POW(10,$I56))*MAXIFS(Token!$C:$C,Token!$A:$A,$K56)&gt;0.01),$L56/86400+DATE(1970,1,1)+$G$6,)</f>
        <v/>
      </c>
      <c r="B56" s="27" t="str">
        <f t="shared" si="1"/>
        <v/>
      </c>
      <c r="C56" s="14" t="str">
        <f>IF($A56&lt;&gt;"",MINIFS(Merchant!$A:$A,Merchant!$B:$B,$G$2),)</f>
        <v/>
      </c>
      <c r="D56" s="14" t="str">
        <f t="shared" si="2"/>
        <v/>
      </c>
      <c r="E56" s="14" t="str">
        <f t="shared" si="3"/>
        <v/>
      </c>
      <c r="F56" s="7" t="str">
        <f>IF($A56&lt;&gt;"",MAXIFS(Token!$C:$C,Token!$A:$A,$D56),)</f>
        <v/>
      </c>
    </row>
    <row r="57">
      <c r="A57" s="39" t="str">
        <f>IF(AND($L57*1&gt;=$G$3,$L57*1&lt;=$G$4,$I57*$J57&gt;0,OR($I57&lt;&gt;$I58,$L57-$L58&gt;25),IF(ABS($I57)&gt;10,$I57/POW(10,$J57),$J57/POW(10,$I57))*MAXIFS(Token!$C:$C,Token!$A:$A,$K57)&gt;0.01),$L57/86400+DATE(1970,1,1)+$G$6,)</f>
        <v/>
      </c>
      <c r="B57" s="27" t="str">
        <f t="shared" si="1"/>
        <v/>
      </c>
      <c r="C57" s="14" t="str">
        <f>IF($A57&lt;&gt;"",MINIFS(Merchant!$A:$A,Merchant!$B:$B,$G$2),)</f>
        <v/>
      </c>
      <c r="D57" s="14" t="str">
        <f t="shared" si="2"/>
        <v/>
      </c>
      <c r="E57" s="14" t="str">
        <f t="shared" si="3"/>
        <v/>
      </c>
      <c r="F57" s="7" t="str">
        <f>IF($A57&lt;&gt;"",MAXIFS(Token!$C:$C,Token!$A:$A,$D57),)</f>
        <v/>
      </c>
    </row>
    <row r="58">
      <c r="A58" s="39" t="str">
        <f>IF(AND($L58*1&gt;=$G$3,$L58*1&lt;=$G$4,$I58*$J58&gt;0,OR($I58&lt;&gt;$I59,$L58-$L59&gt;25),IF(ABS($I58)&gt;10,$I58/POW(10,$J58),$J58/POW(10,$I58))*MAXIFS(Token!$C:$C,Token!$A:$A,$K58)&gt;0.01),$L58/86400+DATE(1970,1,1)+$G$6,)</f>
        <v/>
      </c>
      <c r="B58" s="27" t="str">
        <f t="shared" si="1"/>
        <v/>
      </c>
      <c r="C58" s="14" t="str">
        <f>IF($A58&lt;&gt;"",MINIFS(Merchant!$A:$A,Merchant!$B:$B,$G$2),)</f>
        <v/>
      </c>
      <c r="D58" s="14" t="str">
        <f t="shared" si="2"/>
        <v/>
      </c>
      <c r="E58" s="14" t="str">
        <f t="shared" si="3"/>
        <v/>
      </c>
      <c r="F58" s="7" t="str">
        <f>IF($A58&lt;&gt;"",MAXIFS(Token!$C:$C,Token!$A:$A,$D58),)</f>
        <v/>
      </c>
    </row>
    <row r="59">
      <c r="A59" s="39" t="str">
        <f>IF(AND($L59*1&gt;=$G$3,$L59*1&lt;=$G$4,$I59*$J59&gt;0,OR($I59&lt;&gt;$I60,$L59-$L60&gt;25),IF(ABS($I59)&gt;10,$I59/POW(10,$J59),$J59/POW(10,$I59))*MAXIFS(Token!$C:$C,Token!$A:$A,$K59)&gt;0.01),$L59/86400+DATE(1970,1,1)+$G$6,)</f>
        <v/>
      </c>
      <c r="B59" s="27" t="str">
        <f t="shared" si="1"/>
        <v/>
      </c>
      <c r="C59" s="14" t="str">
        <f>IF($A59&lt;&gt;"",MINIFS(Merchant!$A:$A,Merchant!$B:$B,$G$2),)</f>
        <v/>
      </c>
      <c r="D59" s="14" t="str">
        <f t="shared" si="2"/>
        <v/>
      </c>
      <c r="E59" s="14" t="str">
        <f t="shared" si="3"/>
        <v/>
      </c>
      <c r="F59" s="7" t="str">
        <f>IF($A59&lt;&gt;"",MAXIFS(Token!$C:$C,Token!$A:$A,$D59),)</f>
        <v/>
      </c>
    </row>
    <row r="60">
      <c r="A60" s="39" t="str">
        <f>IF(AND($L60*1&gt;=$G$3,$L60*1&lt;=$G$4,$I60*$J60&gt;0,OR($I60&lt;&gt;$I61,$L60-$L61&gt;25),IF(ABS($I60)&gt;10,$I60/POW(10,$J60),$J60/POW(10,$I60))*MAXIFS(Token!$C:$C,Token!$A:$A,$K60)&gt;0.01),$L60/86400+DATE(1970,1,1)+$G$6,)</f>
        <v/>
      </c>
      <c r="B60" s="27" t="str">
        <f t="shared" si="1"/>
        <v/>
      </c>
      <c r="C60" s="14" t="str">
        <f>IF($A60&lt;&gt;"",MINIFS(Merchant!$A:$A,Merchant!$B:$B,$G$2),)</f>
        <v/>
      </c>
      <c r="D60" s="14" t="str">
        <f t="shared" si="2"/>
        <v/>
      </c>
      <c r="E60" s="14" t="str">
        <f t="shared" si="3"/>
        <v/>
      </c>
      <c r="F60" s="7" t="str">
        <f>IF($A60&lt;&gt;"",MAXIFS(Token!$C:$C,Token!$A:$A,$D60),)</f>
        <v/>
      </c>
    </row>
    <row r="61">
      <c r="A61" s="39" t="str">
        <f>IF(AND($L61*1&gt;=$G$3,$L61*1&lt;=$G$4,$I61*$J61&gt;0,OR($I61&lt;&gt;$I62,$L61-$L62&gt;25),IF(ABS($I61)&gt;10,$I61/POW(10,$J61),$J61/POW(10,$I61))*MAXIFS(Token!$C:$C,Token!$A:$A,$K61)&gt;0.01),$L61/86400+DATE(1970,1,1)+$G$6,)</f>
        <v/>
      </c>
      <c r="B61" s="27" t="str">
        <f t="shared" si="1"/>
        <v/>
      </c>
      <c r="C61" s="14" t="str">
        <f>IF($A61&lt;&gt;"",MINIFS(Merchant!$A:$A,Merchant!$B:$B,$G$2),)</f>
        <v/>
      </c>
      <c r="D61" s="14" t="str">
        <f t="shared" si="2"/>
        <v/>
      </c>
      <c r="E61" s="14" t="str">
        <f t="shared" si="3"/>
        <v/>
      </c>
      <c r="F61" s="7" t="str">
        <f>IF($A61&lt;&gt;"",MAXIFS(Token!$C:$C,Token!$A:$A,$D61),)</f>
        <v/>
      </c>
    </row>
    <row r="62">
      <c r="A62" s="39" t="str">
        <f>IF(AND($L62*1&gt;=$G$3,$L62*1&lt;=$G$4,$I62*$J62&gt;0,OR($I62&lt;&gt;$I63,$L62-$L63&gt;25),IF(ABS($I62)&gt;10,$I62/POW(10,$J62),$J62/POW(10,$I62))*MAXIFS(Token!$C:$C,Token!$A:$A,$K62)&gt;0.01),$L62/86400+DATE(1970,1,1)+$G$6,)</f>
        <v/>
      </c>
      <c r="B62" s="27" t="str">
        <f t="shared" si="1"/>
        <v/>
      </c>
      <c r="C62" s="14" t="str">
        <f>IF($A62&lt;&gt;"",MINIFS(Merchant!$A:$A,Merchant!$B:$B,$G$2),)</f>
        <v/>
      </c>
      <c r="D62" s="14" t="str">
        <f t="shared" si="2"/>
        <v/>
      </c>
      <c r="E62" s="14" t="str">
        <f t="shared" si="3"/>
        <v/>
      </c>
      <c r="F62" s="7" t="str">
        <f>IF($A62&lt;&gt;"",MAXIFS(Token!$C:$C,Token!$A:$A,$D62),)</f>
        <v/>
      </c>
    </row>
    <row r="63">
      <c r="A63" s="39" t="str">
        <f>IF(AND($L63*1&gt;=$G$3,$L63*1&lt;=$G$4,$I63*$J63&gt;0,OR($I63&lt;&gt;$I64,$L63-$L64&gt;25),IF(ABS($I63)&gt;10,$I63/POW(10,$J63),$J63/POW(10,$I63))*MAXIFS(Token!$C:$C,Token!$A:$A,$K63)&gt;0.01),$L63/86400+DATE(1970,1,1)+$G$6,)</f>
        <v/>
      </c>
      <c r="B63" s="27" t="str">
        <f t="shared" si="1"/>
        <v/>
      </c>
      <c r="C63" s="14" t="str">
        <f>IF($A63&lt;&gt;"",MINIFS(Merchant!$A:$A,Merchant!$B:$B,$G$2),)</f>
        <v/>
      </c>
      <c r="D63" s="14" t="str">
        <f t="shared" si="2"/>
        <v/>
      </c>
      <c r="E63" s="14" t="str">
        <f t="shared" si="3"/>
        <v/>
      </c>
      <c r="F63" s="7" t="str">
        <f>IF($A63&lt;&gt;"",MAXIFS(Token!$C:$C,Token!$A:$A,$D63),)</f>
        <v/>
      </c>
    </row>
    <row r="64">
      <c r="A64" s="39" t="str">
        <f>IF(AND($L64*1&gt;=$G$3,$L64*1&lt;=$G$4,$I64*$J64&gt;0,OR($I64&lt;&gt;$I65,$L64-$L65&gt;25),IF(ABS($I64)&gt;10,$I64/POW(10,$J64),$J64/POW(10,$I64))*MAXIFS(Token!$C:$C,Token!$A:$A,$K64)&gt;0.01),$L64/86400+DATE(1970,1,1)+$G$6,)</f>
        <v/>
      </c>
      <c r="B64" s="27" t="str">
        <f t="shared" si="1"/>
        <v/>
      </c>
      <c r="C64" s="14" t="str">
        <f>IF($A64&lt;&gt;"",MINIFS(Merchant!$A:$A,Merchant!$B:$B,$G$2),)</f>
        <v/>
      </c>
      <c r="D64" s="14" t="str">
        <f t="shared" si="2"/>
        <v/>
      </c>
      <c r="E64" s="14" t="str">
        <f t="shared" si="3"/>
        <v/>
      </c>
      <c r="F64" s="7" t="str">
        <f>IF($A64&lt;&gt;"",MAXIFS(Token!$C:$C,Token!$A:$A,$D64),)</f>
        <v/>
      </c>
    </row>
    <row r="65">
      <c r="A65" s="39" t="str">
        <f>IF(AND($L65*1&gt;=$G$3,$L65*1&lt;=$G$4,$I65*$J65&gt;0,OR($I65&lt;&gt;$I66,$L65-$L66&gt;25),IF(ABS($I65)&gt;10,$I65/POW(10,$J65),$J65/POW(10,$I65))*MAXIFS(Token!$C:$C,Token!$A:$A,$K65)&gt;0.01),$L65/86400+DATE(1970,1,1)+$G$6,)</f>
        <v/>
      </c>
      <c r="B65" s="27" t="str">
        <f t="shared" si="1"/>
        <v/>
      </c>
      <c r="C65" s="14" t="str">
        <f>IF($A65&lt;&gt;"",MINIFS(Merchant!$A:$A,Merchant!$B:$B,$G$2),)</f>
        <v/>
      </c>
      <c r="D65" s="14" t="str">
        <f t="shared" si="2"/>
        <v/>
      </c>
      <c r="E65" s="14" t="str">
        <f t="shared" si="3"/>
        <v/>
      </c>
      <c r="F65" s="7" t="str">
        <f>IF($A65&lt;&gt;"",MAXIFS(Token!$C:$C,Token!$A:$A,$D65),)</f>
        <v/>
      </c>
    </row>
    <row r="66">
      <c r="A66" s="39" t="str">
        <f>IF(AND($L66*1&gt;=$G$3,$L66*1&lt;=$G$4,$I66*$J66&gt;0,OR($I66&lt;&gt;$I67,$L66-$L67&gt;25),IF(ABS($I66)&gt;10,$I66/POW(10,$J66),$J66/POW(10,$I66))*MAXIFS(Token!$C:$C,Token!$A:$A,$K66)&gt;0.01),$L66/86400+DATE(1970,1,1)+$G$6,)</f>
        <v/>
      </c>
      <c r="B66" s="27" t="str">
        <f t="shared" si="1"/>
        <v/>
      </c>
      <c r="C66" s="14" t="str">
        <f>IF($A66&lt;&gt;"",MINIFS(Merchant!$A:$A,Merchant!$B:$B,$G$2),)</f>
        <v/>
      </c>
      <c r="D66" s="14" t="str">
        <f t="shared" si="2"/>
        <v/>
      </c>
      <c r="E66" s="14" t="str">
        <f t="shared" si="3"/>
        <v/>
      </c>
      <c r="F66" s="7" t="str">
        <f>IF($A66&lt;&gt;"",MAXIFS(Token!$C:$C,Token!$A:$A,$D66),)</f>
        <v/>
      </c>
    </row>
    <row r="67">
      <c r="A67" s="39" t="str">
        <f>IF(AND($L67*1&gt;=$G$3,$L67*1&lt;=$G$4,$I67*$J67&gt;0,OR($I67&lt;&gt;$I68,$L67-$L68&gt;25),IF(ABS($I67)&gt;10,$I67/POW(10,$J67),$J67/POW(10,$I67))*MAXIFS(Token!$C:$C,Token!$A:$A,$K67)&gt;0.01),$L67/86400+DATE(1970,1,1)+$G$6,)</f>
        <v/>
      </c>
      <c r="B67" s="27" t="str">
        <f t="shared" si="1"/>
        <v/>
      </c>
      <c r="C67" s="14" t="str">
        <f>IF($A67&lt;&gt;"",MINIFS(Merchant!$A:$A,Merchant!$B:$B,$G$2),)</f>
        <v/>
      </c>
      <c r="D67" s="14" t="str">
        <f t="shared" si="2"/>
        <v/>
      </c>
      <c r="E67" s="14" t="str">
        <f t="shared" si="3"/>
        <v/>
      </c>
      <c r="F67" s="7" t="str">
        <f>IF($A67&lt;&gt;"",MAXIFS(Token!$C:$C,Token!$A:$A,$D67),)</f>
        <v/>
      </c>
    </row>
    <row r="68">
      <c r="A68" s="39" t="str">
        <f>IF(AND($L68*1&gt;=$G$3,$L68*1&lt;=$G$4,$I68*$J68&gt;0,OR($I68&lt;&gt;$I69,$L68-$L69&gt;25),IF(ABS($I68)&gt;10,$I68/POW(10,$J68),$J68/POW(10,$I68))*MAXIFS(Token!$C:$C,Token!$A:$A,$K68)&gt;0.01),$L68/86400+DATE(1970,1,1)+$G$6,)</f>
        <v/>
      </c>
      <c r="B68" s="27" t="str">
        <f t="shared" si="1"/>
        <v/>
      </c>
      <c r="C68" s="14" t="str">
        <f>IF($A68&lt;&gt;"",MINIFS(Merchant!$A:$A,Merchant!$B:$B,$G$2),)</f>
        <v/>
      </c>
      <c r="D68" s="14" t="str">
        <f t="shared" si="2"/>
        <v/>
      </c>
      <c r="E68" s="14" t="str">
        <f t="shared" si="3"/>
        <v/>
      </c>
      <c r="F68" s="7" t="str">
        <f>IF($A68&lt;&gt;"",MAXIFS(Token!$C:$C,Token!$A:$A,$D68),)</f>
        <v/>
      </c>
    </row>
    <row r="69">
      <c r="A69" s="39" t="str">
        <f>IF(AND($L69*1&gt;=$G$3,$L69*1&lt;=$G$4,$I69*$J69&gt;0,OR($I69&lt;&gt;$I70,$L69-$L70&gt;25),IF(ABS($I69)&gt;10,$I69/POW(10,$J69),$J69/POW(10,$I69))*MAXIFS(Token!$C:$C,Token!$A:$A,$K69)&gt;0.01),$L69/86400+DATE(1970,1,1)+$G$6,)</f>
        <v/>
      </c>
      <c r="B69" s="27" t="str">
        <f t="shared" si="1"/>
        <v/>
      </c>
      <c r="C69" s="14" t="str">
        <f>IF($A69&lt;&gt;"",MINIFS(Merchant!$A:$A,Merchant!$B:$B,$G$2),)</f>
        <v/>
      </c>
      <c r="D69" s="14" t="str">
        <f t="shared" si="2"/>
        <v/>
      </c>
      <c r="E69" s="14" t="str">
        <f t="shared" si="3"/>
        <v/>
      </c>
      <c r="F69" s="7" t="str">
        <f>IF($A69&lt;&gt;"",MAXIFS(Token!$C:$C,Token!$A:$A,$D69),)</f>
        <v/>
      </c>
    </row>
    <row r="70">
      <c r="A70" s="39" t="str">
        <f>IF(AND($L70*1&gt;=$G$3,$L70*1&lt;=$G$4,$I70*$J70&gt;0,OR($I70&lt;&gt;$I71,$L70-$L71&gt;25),IF(ABS($I70)&gt;10,$I70/POW(10,$J70),$J70/POW(10,$I70))*MAXIFS(Token!$C:$C,Token!$A:$A,$K70)&gt;0.01),$L70/86400+DATE(1970,1,1)+$G$6,)</f>
        <v/>
      </c>
      <c r="B70" s="27" t="str">
        <f t="shared" si="1"/>
        <v/>
      </c>
      <c r="C70" s="14" t="str">
        <f>IF($A70&lt;&gt;"",MINIFS(Merchant!$A:$A,Merchant!$B:$B,$G$2),)</f>
        <v/>
      </c>
      <c r="D70" s="14" t="str">
        <f t="shared" si="2"/>
        <v/>
      </c>
      <c r="E70" s="14" t="str">
        <f t="shared" si="3"/>
        <v/>
      </c>
      <c r="F70" s="7" t="str">
        <f>IF($A70&lt;&gt;"",MAXIFS(Token!$C:$C,Token!$A:$A,$D70),)</f>
        <v/>
      </c>
    </row>
    <row r="71">
      <c r="A71" s="39" t="str">
        <f>IF(AND($L71*1&gt;=$G$3,$L71*1&lt;=$G$4,$I71*$J71&gt;0,OR($I71&lt;&gt;$I72,$L71-$L72&gt;25),IF(ABS($I71)&gt;10,$I71/POW(10,$J71),$J71/POW(10,$I71))*MAXIFS(Token!$C:$C,Token!$A:$A,$K71)&gt;0.01),$L71/86400+DATE(1970,1,1)+$G$6,)</f>
        <v/>
      </c>
      <c r="B71" s="27" t="str">
        <f t="shared" si="1"/>
        <v/>
      </c>
      <c r="C71" s="14" t="str">
        <f>IF($A71&lt;&gt;"",MINIFS(Merchant!$A:$A,Merchant!$B:$B,$G$2),)</f>
        <v/>
      </c>
      <c r="D71" s="14" t="str">
        <f t="shared" si="2"/>
        <v/>
      </c>
      <c r="E71" s="14" t="str">
        <f t="shared" si="3"/>
        <v/>
      </c>
      <c r="F71" s="7" t="str">
        <f>IF($A71&lt;&gt;"",MAXIFS(Token!$C:$C,Token!$A:$A,$D71),)</f>
        <v/>
      </c>
    </row>
    <row r="72">
      <c r="A72" s="39" t="str">
        <f>IF(AND($L72*1&gt;=$G$3,$L72*1&lt;=$G$4,$I72*$J72&gt;0,OR($I72&lt;&gt;$I73,$L72-$L73&gt;25),IF(ABS($I72)&gt;10,$I72/POW(10,$J72),$J72/POW(10,$I72))*MAXIFS(Token!$C:$C,Token!$A:$A,$K72)&gt;0.01),$L72/86400+DATE(1970,1,1)+$G$6,)</f>
        <v/>
      </c>
      <c r="B72" s="27" t="str">
        <f t="shared" si="1"/>
        <v/>
      </c>
      <c r="C72" s="14" t="str">
        <f>IF($A72&lt;&gt;"",MINIFS(Merchant!$A:$A,Merchant!$B:$B,$G$2),)</f>
        <v/>
      </c>
      <c r="D72" s="14" t="str">
        <f t="shared" si="2"/>
        <v/>
      </c>
      <c r="E72" s="14" t="str">
        <f t="shared" si="3"/>
        <v/>
      </c>
      <c r="F72" s="7" t="str">
        <f>IF($A72&lt;&gt;"",MAXIFS(Token!$C:$C,Token!$A:$A,$D72),)</f>
        <v/>
      </c>
    </row>
    <row r="73">
      <c r="A73" s="39" t="str">
        <f>IF(AND($L73*1&gt;=$G$3,$L73*1&lt;=$G$4,$I73*$J73&gt;0,OR($I73&lt;&gt;$I74,$L73-$L74&gt;25),IF(ABS($I73)&gt;10,$I73/POW(10,$J73),$J73/POW(10,$I73))*MAXIFS(Token!$C:$C,Token!$A:$A,$K73)&gt;0.01),$L73/86400+DATE(1970,1,1)+$G$6,)</f>
        <v/>
      </c>
      <c r="B73" s="27" t="str">
        <f t="shared" si="1"/>
        <v/>
      </c>
      <c r="C73" s="14" t="str">
        <f>IF($A73&lt;&gt;"",MINIFS(Merchant!$A:$A,Merchant!$B:$B,$G$2),)</f>
        <v/>
      </c>
      <c r="D73" s="14" t="str">
        <f t="shared" si="2"/>
        <v/>
      </c>
      <c r="E73" s="14" t="str">
        <f t="shared" si="3"/>
        <v/>
      </c>
      <c r="F73" s="7" t="str">
        <f>IF($A73&lt;&gt;"",MAXIFS(Token!$C:$C,Token!$A:$A,$D73),)</f>
        <v/>
      </c>
    </row>
    <row r="74">
      <c r="A74" s="39" t="str">
        <f>IF(AND($L74*1&gt;=$G$3,$L74*1&lt;=$G$4,$I74*$J74&gt;0,OR($I74&lt;&gt;$I75,$L74-$L75&gt;25),IF(ABS($I74)&gt;10,$I74/POW(10,$J74),$J74/POW(10,$I74))*MAXIFS(Token!$C:$C,Token!$A:$A,$K74)&gt;0.01),$L74/86400+DATE(1970,1,1)+$G$6,)</f>
        <v/>
      </c>
      <c r="B74" s="27" t="str">
        <f t="shared" si="1"/>
        <v/>
      </c>
      <c r="C74" s="14" t="str">
        <f>IF($A74&lt;&gt;"",MINIFS(Merchant!$A:$A,Merchant!$B:$B,$G$2),)</f>
        <v/>
      </c>
      <c r="D74" s="14" t="str">
        <f t="shared" si="2"/>
        <v/>
      </c>
      <c r="E74" s="14" t="str">
        <f t="shared" si="3"/>
        <v/>
      </c>
      <c r="F74" s="7" t="str">
        <f>IF($A74&lt;&gt;"",MAXIFS(Token!$C:$C,Token!$A:$A,$D74),)</f>
        <v/>
      </c>
    </row>
    <row r="75">
      <c r="A75" s="39" t="str">
        <f>IF(AND($L75*1&gt;=$G$3,$L75*1&lt;=$G$4,$I75*$J75&gt;0,OR($I75&lt;&gt;$I76,$L75-$L76&gt;25),IF(ABS($I75)&gt;10,$I75/POW(10,$J75),$J75/POW(10,$I75))*MAXIFS(Token!$C:$C,Token!$A:$A,$K75)&gt;0.01),$L75/86400+DATE(1970,1,1)+$G$6,)</f>
        <v/>
      </c>
      <c r="B75" s="27" t="str">
        <f t="shared" si="1"/>
        <v/>
      </c>
      <c r="C75" s="14" t="str">
        <f>IF($A75&lt;&gt;"",MINIFS(Merchant!$A:$A,Merchant!$B:$B,$G$2),)</f>
        <v/>
      </c>
      <c r="D75" s="14" t="str">
        <f t="shared" si="2"/>
        <v/>
      </c>
      <c r="E75" s="14" t="str">
        <f t="shared" si="3"/>
        <v/>
      </c>
      <c r="F75" s="7" t="str">
        <f>IF($A75&lt;&gt;"",MAXIFS(Token!$C:$C,Token!$A:$A,$D75),)</f>
        <v/>
      </c>
    </row>
    <row r="76">
      <c r="A76" s="39" t="str">
        <f>IF(AND($L76*1&gt;=$G$3,$L76*1&lt;=$G$4,$I76*$J76&gt;0,OR($I76&lt;&gt;$I77,$L76-$L77&gt;25),IF(ABS($I76)&gt;10,$I76/POW(10,$J76),$J76/POW(10,$I76))*MAXIFS(Token!$C:$C,Token!$A:$A,$K76)&gt;0.01),$L76/86400+DATE(1970,1,1)+$G$6,)</f>
        <v/>
      </c>
      <c r="B76" s="27" t="str">
        <f t="shared" si="1"/>
        <v/>
      </c>
      <c r="C76" s="14" t="str">
        <f>IF($A76&lt;&gt;"",MINIFS(Merchant!$A:$A,Merchant!$B:$B,$G$2),)</f>
        <v/>
      </c>
      <c r="D76" s="14" t="str">
        <f t="shared" si="2"/>
        <v/>
      </c>
      <c r="E76" s="14" t="str">
        <f t="shared" si="3"/>
        <v/>
      </c>
      <c r="F76" s="7" t="str">
        <f>IF($A76&lt;&gt;"",MAXIFS(Token!$C:$C,Token!$A:$A,$D76),)</f>
        <v/>
      </c>
    </row>
    <row r="77">
      <c r="A77" s="39" t="str">
        <f>IF(AND($L77*1&gt;=$G$3,$L77*1&lt;=$G$4,$I77*$J77&gt;0,OR($I77&lt;&gt;$I78,$L77-$L78&gt;25),IF(ABS($I77)&gt;10,$I77/POW(10,$J77),$J77/POW(10,$I77))*MAXIFS(Token!$C:$C,Token!$A:$A,$K77)&gt;0.01),$L77/86400+DATE(1970,1,1)+$G$6,)</f>
        <v/>
      </c>
      <c r="B77" s="27" t="str">
        <f t="shared" si="1"/>
        <v/>
      </c>
      <c r="C77" s="14" t="str">
        <f>IF($A77&lt;&gt;"",MINIFS(Merchant!$A:$A,Merchant!$B:$B,$G$2),)</f>
        <v/>
      </c>
      <c r="D77" s="14" t="str">
        <f t="shared" si="2"/>
        <v/>
      </c>
      <c r="E77" s="14" t="str">
        <f t="shared" si="3"/>
        <v/>
      </c>
      <c r="F77" s="7" t="str">
        <f>IF($A77&lt;&gt;"",MAXIFS(Token!$C:$C,Token!$A:$A,$D77),)</f>
        <v/>
      </c>
    </row>
    <row r="78">
      <c r="A78" s="39" t="str">
        <f>IF(AND($L78*1&gt;=$G$3,$L78*1&lt;=$G$4,$I78*$J78&gt;0,OR($I78&lt;&gt;$I79,$L78-$L79&gt;25),IF(ABS($I78)&gt;10,$I78/POW(10,$J78),$J78/POW(10,$I78))*MAXIFS(Token!$C:$C,Token!$A:$A,$K78)&gt;0.01),$L78/86400+DATE(1970,1,1)+$G$6,)</f>
        <v/>
      </c>
      <c r="B78" s="27" t="str">
        <f t="shared" si="1"/>
        <v/>
      </c>
      <c r="C78" s="14" t="str">
        <f>IF($A78&lt;&gt;"",MINIFS(Merchant!$A:$A,Merchant!$B:$B,$G$2),)</f>
        <v/>
      </c>
      <c r="D78" s="14" t="str">
        <f t="shared" si="2"/>
        <v/>
      </c>
      <c r="E78" s="14" t="str">
        <f t="shared" si="3"/>
        <v/>
      </c>
      <c r="F78" s="7" t="str">
        <f>IF($A78&lt;&gt;"",MAXIFS(Token!$C:$C,Token!$A:$A,$D78),)</f>
        <v/>
      </c>
    </row>
    <row r="79">
      <c r="A79" s="39" t="str">
        <f>IF(AND($L79*1&gt;=$G$3,$L79*1&lt;=$G$4,$I79*$J79&gt;0,OR($I79&lt;&gt;$I80,$L79-$L80&gt;25),IF(ABS($I79)&gt;10,$I79/POW(10,$J79),$J79/POW(10,$I79))*MAXIFS(Token!$C:$C,Token!$A:$A,$K79)&gt;0.01),$L79/86400+DATE(1970,1,1)+$G$6,)</f>
        <v/>
      </c>
      <c r="B79" s="27" t="str">
        <f t="shared" si="1"/>
        <v/>
      </c>
      <c r="C79" s="14" t="str">
        <f>IF($A79&lt;&gt;"",MINIFS(Merchant!$A:$A,Merchant!$B:$B,$G$2),)</f>
        <v/>
      </c>
      <c r="D79" s="14" t="str">
        <f t="shared" si="2"/>
        <v/>
      </c>
      <c r="E79" s="14" t="str">
        <f t="shared" si="3"/>
        <v/>
      </c>
      <c r="F79" s="7" t="str">
        <f>IF($A79&lt;&gt;"",MAXIFS(Token!$C:$C,Token!$A:$A,$D79),)</f>
        <v/>
      </c>
    </row>
    <row r="80">
      <c r="A80" s="39" t="str">
        <f>IF(AND($L80*1&gt;=$G$3,$L80*1&lt;=$G$4,$I80*$J80&gt;0,OR($I80&lt;&gt;$I81,$L80-$L81&gt;25),IF(ABS($I80)&gt;10,$I80/POW(10,$J80),$J80/POW(10,$I80))*MAXIFS(Token!$C:$C,Token!$A:$A,$K80)&gt;0.01),$L80/86400+DATE(1970,1,1)+$G$6,)</f>
        <v/>
      </c>
      <c r="B80" s="27" t="str">
        <f t="shared" si="1"/>
        <v/>
      </c>
      <c r="C80" s="14" t="str">
        <f>IF($A80&lt;&gt;"",MINIFS(Merchant!$A:$A,Merchant!$B:$B,$G$2),)</f>
        <v/>
      </c>
      <c r="D80" s="14" t="str">
        <f t="shared" si="2"/>
        <v/>
      </c>
      <c r="E80" s="14" t="str">
        <f t="shared" si="3"/>
        <v/>
      </c>
      <c r="F80" s="7" t="str">
        <f>IF($A80&lt;&gt;"",MAXIFS(Token!$C:$C,Token!$A:$A,$D80),)</f>
        <v/>
      </c>
    </row>
    <row r="81">
      <c r="A81" s="39" t="str">
        <f>IF(AND($L81*1&gt;=$G$3,$L81*1&lt;=$G$4,$I81*$J81&gt;0,OR($I81&lt;&gt;$I82,$L81-$L82&gt;25),IF(ABS($I81)&gt;10,$I81/POW(10,$J81),$J81/POW(10,$I81))*MAXIFS(Token!$C:$C,Token!$A:$A,$K81)&gt;0.01),$L81/86400+DATE(1970,1,1)+$G$6,)</f>
        <v/>
      </c>
      <c r="B81" s="27" t="str">
        <f t="shared" si="1"/>
        <v/>
      </c>
      <c r="C81" s="14" t="str">
        <f>IF($A81&lt;&gt;"",MINIFS(Merchant!$A:$A,Merchant!$B:$B,$G$2),)</f>
        <v/>
      </c>
      <c r="D81" s="14" t="str">
        <f t="shared" si="2"/>
        <v/>
      </c>
      <c r="E81" s="14" t="str">
        <f t="shared" si="3"/>
        <v/>
      </c>
      <c r="F81" s="7" t="str">
        <f>IF($A81&lt;&gt;"",MAXIFS(Token!$C:$C,Token!$A:$A,$D81),)</f>
        <v/>
      </c>
    </row>
    <row r="82">
      <c r="A82" s="39" t="str">
        <f>IF(AND($L82*1&gt;=$G$3,$L82*1&lt;=$G$4,$I82*$J82&gt;0,OR($I82&lt;&gt;$I83,$L82-$L83&gt;25),IF(ABS($I82)&gt;10,$I82/POW(10,$J82),$J82/POW(10,$I82))*MAXIFS(Token!$C:$C,Token!$A:$A,$K82)&gt;0.01),$L82/86400+DATE(1970,1,1)+$G$6,)</f>
        <v/>
      </c>
      <c r="B82" s="27" t="str">
        <f t="shared" si="1"/>
        <v/>
      </c>
      <c r="C82" s="14" t="str">
        <f>IF($A82&lt;&gt;"",MINIFS(Merchant!$A:$A,Merchant!$B:$B,$G$2),)</f>
        <v/>
      </c>
      <c r="D82" s="14" t="str">
        <f t="shared" si="2"/>
        <v/>
      </c>
      <c r="E82" s="14" t="str">
        <f t="shared" si="3"/>
        <v/>
      </c>
      <c r="F82" s="7" t="str">
        <f>IF($A82&lt;&gt;"",MAXIFS(Token!$C:$C,Token!$A:$A,$D82),)</f>
        <v/>
      </c>
    </row>
    <row r="83">
      <c r="A83" s="39" t="str">
        <f>IF(AND($L83*1&gt;=$G$3,$L83*1&lt;=$G$4,$I83*$J83&gt;0,OR($I83&lt;&gt;$I84,$L83-$L84&gt;25),IF(ABS($I83)&gt;10,$I83/POW(10,$J83),$J83/POW(10,$I83))*MAXIFS(Token!$C:$C,Token!$A:$A,$K83)&gt;0.01),$L83/86400+DATE(1970,1,1)+$G$6,)</f>
        <v/>
      </c>
      <c r="B83" s="27" t="str">
        <f t="shared" si="1"/>
        <v/>
      </c>
      <c r="C83" s="14" t="str">
        <f>IF($A83&lt;&gt;"",MINIFS(Merchant!$A:$A,Merchant!$B:$B,$G$2),)</f>
        <v/>
      </c>
      <c r="D83" s="14" t="str">
        <f t="shared" si="2"/>
        <v/>
      </c>
      <c r="E83" s="14" t="str">
        <f t="shared" si="3"/>
        <v/>
      </c>
      <c r="F83" s="7" t="str">
        <f>IF($A83&lt;&gt;"",MAXIFS(Token!$C:$C,Token!$A:$A,$D83),)</f>
        <v/>
      </c>
    </row>
    <row r="84">
      <c r="A84" s="39" t="str">
        <f>IF(AND($L84*1&gt;=$G$3,$L84*1&lt;=$G$4,$I84*$J84&gt;0,OR($I84&lt;&gt;$I85,$L84-$L85&gt;25),IF(ABS($I84)&gt;10,$I84/POW(10,$J84),$J84/POW(10,$I84))*MAXIFS(Token!$C:$C,Token!$A:$A,$K84)&gt;0.01),$L84/86400+DATE(1970,1,1)+$G$6,)</f>
        <v/>
      </c>
      <c r="B84" s="27" t="str">
        <f t="shared" si="1"/>
        <v/>
      </c>
      <c r="C84" s="14" t="str">
        <f>IF($A84&lt;&gt;"",MINIFS(Merchant!$A:$A,Merchant!$B:$B,$G$2),)</f>
        <v/>
      </c>
      <c r="D84" s="14" t="str">
        <f t="shared" si="2"/>
        <v/>
      </c>
      <c r="E84" s="14" t="str">
        <f t="shared" si="3"/>
        <v/>
      </c>
      <c r="F84" s="7" t="str">
        <f>IF($A84&lt;&gt;"",MAXIFS(Token!$C:$C,Token!$A:$A,$D84),)</f>
        <v/>
      </c>
    </row>
    <row r="85">
      <c r="A85" s="39" t="str">
        <f>IF(AND($L85*1&gt;=$G$3,$L85*1&lt;=$G$4,$I85*$J85&gt;0,OR($I85&lt;&gt;$I86,$L85-$L86&gt;25),IF(ABS($I85)&gt;10,$I85/POW(10,$J85),$J85/POW(10,$I85))*MAXIFS(Token!$C:$C,Token!$A:$A,$K85)&gt;0.01),$L85/86400+DATE(1970,1,1)+$G$6,)</f>
        <v/>
      </c>
      <c r="B85" s="27" t="str">
        <f t="shared" si="1"/>
        <v/>
      </c>
      <c r="C85" s="14" t="str">
        <f>IF($A85&lt;&gt;"",MINIFS(Merchant!$A:$A,Merchant!$B:$B,$G$2),)</f>
        <v/>
      </c>
      <c r="D85" s="14" t="str">
        <f t="shared" si="2"/>
        <v/>
      </c>
      <c r="E85" s="14" t="str">
        <f t="shared" si="3"/>
        <v/>
      </c>
      <c r="F85" s="7" t="str">
        <f>IF($A85&lt;&gt;"",MAXIFS(Token!$C:$C,Token!$A:$A,$D85),)</f>
        <v/>
      </c>
    </row>
    <row r="86">
      <c r="A86" s="39" t="str">
        <f>IF(AND($L86*1&gt;=$G$3,$L86*1&lt;=$G$4,$I86*$J86&gt;0,OR($I86&lt;&gt;$I87,$L86-$L87&gt;25),IF(ABS($I86)&gt;10,$I86/POW(10,$J86),$J86/POW(10,$I86))*MAXIFS(Token!$C:$C,Token!$A:$A,$K86)&gt;0.01),$L86/86400+DATE(1970,1,1)+$G$6,)</f>
        <v/>
      </c>
      <c r="B86" s="27" t="str">
        <f t="shared" si="1"/>
        <v/>
      </c>
      <c r="C86" s="14" t="str">
        <f>IF($A86&lt;&gt;"",MINIFS(Merchant!$A:$A,Merchant!$B:$B,$G$2),)</f>
        <v/>
      </c>
      <c r="D86" s="14" t="str">
        <f t="shared" si="2"/>
        <v/>
      </c>
      <c r="E86" s="14" t="str">
        <f t="shared" si="3"/>
        <v/>
      </c>
      <c r="F86" s="7" t="str">
        <f>IF($A86&lt;&gt;"",MAXIFS(Token!$C:$C,Token!$A:$A,$D86),)</f>
        <v/>
      </c>
    </row>
    <row r="87">
      <c r="A87" s="39" t="str">
        <f>IF(AND($L87*1&gt;=$G$3,$L87*1&lt;=$G$4,$I87*$J87&gt;0,OR($I87&lt;&gt;$I88,$L87-$L88&gt;25),IF(ABS($I87)&gt;10,$I87/POW(10,$J87),$J87/POW(10,$I87))*MAXIFS(Token!$C:$C,Token!$A:$A,$K87)&gt;0.01),$L87/86400+DATE(1970,1,1)+$G$6,)</f>
        <v/>
      </c>
      <c r="B87" s="27" t="str">
        <f t="shared" si="1"/>
        <v/>
      </c>
      <c r="C87" s="14" t="str">
        <f>IF($A87&lt;&gt;"",MINIFS(Merchant!$A:$A,Merchant!$B:$B,$G$2),)</f>
        <v/>
      </c>
      <c r="D87" s="14" t="str">
        <f t="shared" si="2"/>
        <v/>
      </c>
      <c r="E87" s="14" t="str">
        <f t="shared" si="3"/>
        <v/>
      </c>
      <c r="F87" s="7" t="str">
        <f>IF($A87&lt;&gt;"",MAXIFS(Token!$C:$C,Token!$A:$A,$D87),)</f>
        <v/>
      </c>
    </row>
    <row r="88">
      <c r="A88" s="39" t="str">
        <f>IF(AND($L88*1&gt;=$G$3,$L88*1&lt;=$G$4,$I88*$J88&gt;0,OR($I88&lt;&gt;$I89,$L88-$L89&gt;25),IF(ABS($I88)&gt;10,$I88/POW(10,$J88),$J88/POW(10,$I88))*MAXIFS(Token!$C:$C,Token!$A:$A,$K88)&gt;0.01),$L88/86400+DATE(1970,1,1)+$G$6,)</f>
        <v/>
      </c>
      <c r="B88" s="27" t="str">
        <f t="shared" si="1"/>
        <v/>
      </c>
      <c r="C88" s="14" t="str">
        <f>IF($A88&lt;&gt;"",MINIFS(Merchant!$A:$A,Merchant!$B:$B,$G$2),)</f>
        <v/>
      </c>
      <c r="D88" s="14" t="str">
        <f t="shared" si="2"/>
        <v/>
      </c>
      <c r="E88" s="14" t="str">
        <f t="shared" si="3"/>
        <v/>
      </c>
      <c r="F88" s="7" t="str">
        <f>IF($A88&lt;&gt;"",MAXIFS(Token!$C:$C,Token!$A:$A,$D88),)</f>
        <v/>
      </c>
    </row>
    <row r="89">
      <c r="A89" s="39" t="str">
        <f>IF(AND($L89*1&gt;=$G$3,$L89*1&lt;=$G$4,$I89*$J89&gt;0,OR($I89&lt;&gt;$I90,$L89-$L90&gt;25),IF(ABS($I89)&gt;10,$I89/POW(10,$J89),$J89/POW(10,$I89))*MAXIFS(Token!$C:$C,Token!$A:$A,$K89)&gt;0.01),$L89/86400+DATE(1970,1,1)+$G$6,)</f>
        <v/>
      </c>
      <c r="B89" s="27" t="str">
        <f t="shared" si="1"/>
        <v/>
      </c>
      <c r="C89" s="14" t="str">
        <f>IF($A89&lt;&gt;"",MINIFS(Merchant!$A:$A,Merchant!$B:$B,$G$2),)</f>
        <v/>
      </c>
      <c r="D89" s="14" t="str">
        <f t="shared" si="2"/>
        <v/>
      </c>
      <c r="E89" s="14" t="str">
        <f t="shared" si="3"/>
        <v/>
      </c>
      <c r="F89" s="7" t="str">
        <f>IF($A89&lt;&gt;"",MAXIFS(Token!$C:$C,Token!$A:$A,$D89),)</f>
        <v/>
      </c>
    </row>
    <row r="90">
      <c r="A90" s="39" t="str">
        <f>IF(AND($L90*1&gt;=$G$3,$L90*1&lt;=$G$4,$I90*$J90&gt;0,OR($I90&lt;&gt;$I91,$L90-$L91&gt;25),IF(ABS($I90)&gt;10,$I90/POW(10,$J90),$J90/POW(10,$I90))*MAXIFS(Token!$C:$C,Token!$A:$A,$K90)&gt;0.01),$L90/86400+DATE(1970,1,1)+$G$6,)</f>
        <v/>
      </c>
      <c r="B90" s="27" t="str">
        <f t="shared" si="1"/>
        <v/>
      </c>
      <c r="C90" s="14" t="str">
        <f>IF($A90&lt;&gt;"",MINIFS(Merchant!$A:$A,Merchant!$B:$B,$G$2),)</f>
        <v/>
      </c>
      <c r="D90" s="14" t="str">
        <f t="shared" si="2"/>
        <v/>
      </c>
      <c r="E90" s="14" t="str">
        <f t="shared" si="3"/>
        <v/>
      </c>
      <c r="F90" s="7" t="str">
        <f>IF($A90&lt;&gt;"",MAXIFS(Token!$C:$C,Token!$A:$A,$D90),)</f>
        <v/>
      </c>
    </row>
    <row r="91">
      <c r="A91" s="39" t="str">
        <f>IF(AND($L91*1&gt;=$G$3,$L91*1&lt;=$G$4,$I91*$J91&gt;0,OR($I91&lt;&gt;$I92,$L91-$L92&gt;25),IF(ABS($I91)&gt;10,$I91/POW(10,$J91),$J91/POW(10,$I91))*MAXIFS(Token!$C:$C,Token!$A:$A,$K91)&gt;0.01),$L91/86400+DATE(1970,1,1)+$G$6,)</f>
        <v/>
      </c>
      <c r="B91" s="27" t="str">
        <f t="shared" si="1"/>
        <v/>
      </c>
      <c r="C91" s="14" t="str">
        <f>IF($A91&lt;&gt;"",MINIFS(Merchant!$A:$A,Merchant!$B:$B,$G$2),)</f>
        <v/>
      </c>
      <c r="D91" s="14" t="str">
        <f t="shared" si="2"/>
        <v/>
      </c>
      <c r="E91" s="14" t="str">
        <f t="shared" si="3"/>
        <v/>
      </c>
      <c r="F91" s="7" t="str">
        <f>IF($A91&lt;&gt;"",MAXIFS(Token!$C:$C,Token!$A:$A,$D91),)</f>
        <v/>
      </c>
    </row>
    <row r="92">
      <c r="A92" s="39" t="str">
        <f>IF(AND($L92*1&gt;=$G$3,$L92*1&lt;=$G$4,$I92*$J92&gt;0,OR($I92&lt;&gt;$I93,$L92-$L93&gt;25),IF(ABS($I92)&gt;10,$I92/POW(10,$J92),$J92/POW(10,$I92))*MAXIFS(Token!$C:$C,Token!$A:$A,$K92)&gt;0.01),$L92/86400+DATE(1970,1,1)+$G$6,)</f>
        <v/>
      </c>
      <c r="B92" s="27" t="str">
        <f t="shared" si="1"/>
        <v/>
      </c>
      <c r="C92" s="14" t="str">
        <f>IF($A92&lt;&gt;"",MINIFS(Merchant!$A:$A,Merchant!$B:$B,$G$2),)</f>
        <v/>
      </c>
      <c r="D92" s="14" t="str">
        <f t="shared" si="2"/>
        <v/>
      </c>
      <c r="E92" s="14" t="str">
        <f t="shared" si="3"/>
        <v/>
      </c>
      <c r="F92" s="7" t="str">
        <f>IF($A92&lt;&gt;"",MAXIFS(Token!$C:$C,Token!$A:$A,$D92),)</f>
        <v/>
      </c>
    </row>
    <row r="93">
      <c r="A93" s="39" t="str">
        <f>IF(AND($L93*1&gt;=$G$3,$L93*1&lt;=$G$4,$I93*$J93&gt;0,OR($I93&lt;&gt;$I94,$L93-$L94&gt;25),IF(ABS($I93)&gt;10,$I93/POW(10,$J93),$J93/POW(10,$I93))*MAXIFS(Token!$C:$C,Token!$A:$A,$K93)&gt;0.01),$L93/86400+DATE(1970,1,1)+$G$6,)</f>
        <v/>
      </c>
      <c r="B93" s="27" t="str">
        <f t="shared" si="1"/>
        <v/>
      </c>
      <c r="C93" s="14" t="str">
        <f>IF($A93&lt;&gt;"",MINIFS(Merchant!$A:$A,Merchant!$B:$B,$G$2),)</f>
        <v/>
      </c>
      <c r="D93" s="14" t="str">
        <f t="shared" si="2"/>
        <v/>
      </c>
      <c r="E93" s="14" t="str">
        <f t="shared" si="3"/>
        <v/>
      </c>
      <c r="F93" s="7" t="str">
        <f>IF($A93&lt;&gt;"",MAXIFS(Token!$C:$C,Token!$A:$A,$D93),)</f>
        <v/>
      </c>
    </row>
    <row r="94">
      <c r="A94" s="39" t="str">
        <f>IF(AND($L94*1&gt;=$G$3,$L94*1&lt;=$G$4,$I94*$J94&gt;0,OR($I94&lt;&gt;$I95,$L94-$L95&gt;25),IF(ABS($I94)&gt;10,$I94/POW(10,$J94),$J94/POW(10,$I94))*MAXIFS(Token!$C:$C,Token!$A:$A,$K94)&gt;0.01),$L94/86400+DATE(1970,1,1)+$G$6,)</f>
        <v/>
      </c>
      <c r="B94" s="27" t="str">
        <f t="shared" si="1"/>
        <v/>
      </c>
      <c r="C94" s="14" t="str">
        <f>IF($A94&lt;&gt;"",MINIFS(Merchant!$A:$A,Merchant!$B:$B,$G$2),)</f>
        <v/>
      </c>
      <c r="D94" s="14" t="str">
        <f t="shared" si="2"/>
        <v/>
      </c>
      <c r="E94" s="14" t="str">
        <f t="shared" si="3"/>
        <v/>
      </c>
      <c r="F94" s="7" t="str">
        <f>IF($A94&lt;&gt;"",MAXIFS(Token!$C:$C,Token!$A:$A,$D94),)</f>
        <v/>
      </c>
    </row>
    <row r="95">
      <c r="A95" s="39" t="str">
        <f>IF(AND($L95*1&gt;=$G$3,$L95*1&lt;=$G$4,$I95*$J95&gt;0,OR($I95&lt;&gt;$I96,$L95-$L96&gt;25),IF(ABS($I95)&gt;10,$I95/POW(10,$J95),$J95/POW(10,$I95))*MAXIFS(Token!$C:$C,Token!$A:$A,$K95)&gt;0.01),$L95/86400+DATE(1970,1,1)+$G$6,)</f>
        <v/>
      </c>
      <c r="B95" s="27" t="str">
        <f t="shared" si="1"/>
        <v/>
      </c>
      <c r="C95" s="14" t="str">
        <f>IF($A95&lt;&gt;"",MINIFS(Merchant!$A:$A,Merchant!$B:$B,$G$2),)</f>
        <v/>
      </c>
      <c r="D95" s="14" t="str">
        <f t="shared" si="2"/>
        <v/>
      </c>
      <c r="E95" s="14" t="str">
        <f t="shared" si="3"/>
        <v/>
      </c>
      <c r="F95" s="7" t="str">
        <f>IF($A95&lt;&gt;"",MAXIFS(Token!$C:$C,Token!$A:$A,$D95),)</f>
        <v/>
      </c>
    </row>
    <row r="96">
      <c r="A96" s="39" t="str">
        <f>IF(AND($L96*1&gt;=$G$3,$L96*1&lt;=$G$4,$I96*$J96&gt;0,OR($I96&lt;&gt;$I97,$L96-$L97&gt;25),IF(ABS($I96)&gt;10,$I96/POW(10,$J96),$J96/POW(10,$I96))*MAXIFS(Token!$C:$C,Token!$A:$A,$K96)&gt;0.01),$L96/86400+DATE(1970,1,1)+$G$6,)</f>
        <v/>
      </c>
      <c r="B96" s="27" t="str">
        <f t="shared" si="1"/>
        <v/>
      </c>
      <c r="C96" s="14" t="str">
        <f>IF($A96&lt;&gt;"",MINIFS(Merchant!$A:$A,Merchant!$B:$B,$G$2),)</f>
        <v/>
      </c>
      <c r="D96" s="14" t="str">
        <f t="shared" si="2"/>
        <v/>
      </c>
      <c r="E96" s="14" t="str">
        <f t="shared" si="3"/>
        <v/>
      </c>
      <c r="F96" s="7" t="str">
        <f>IF($A96&lt;&gt;"",MAXIFS(Token!$C:$C,Token!$A:$A,$D96),)</f>
        <v/>
      </c>
    </row>
    <row r="97">
      <c r="A97" s="39" t="str">
        <f>IF(AND($L97*1&gt;=$G$3,$L97*1&lt;=$G$4,$I97*$J97&gt;0,OR($I97&lt;&gt;$I98,$L97-$L98&gt;25),IF(ABS($I97)&gt;10,$I97/POW(10,$J97),$J97/POW(10,$I97))*MAXIFS(Token!$C:$C,Token!$A:$A,$K97)&gt;0.01),$L97/86400+DATE(1970,1,1)+$G$6,)</f>
        <v/>
      </c>
      <c r="B97" s="27" t="str">
        <f t="shared" si="1"/>
        <v/>
      </c>
      <c r="C97" s="14" t="str">
        <f>IF($A97&lt;&gt;"",MINIFS(Merchant!$A:$A,Merchant!$B:$B,$G$2),)</f>
        <v/>
      </c>
      <c r="D97" s="14" t="str">
        <f t="shared" si="2"/>
        <v/>
      </c>
      <c r="E97" s="14" t="str">
        <f t="shared" si="3"/>
        <v/>
      </c>
      <c r="F97" s="7" t="str">
        <f>IF($A97&lt;&gt;"",MAXIFS(Token!$C:$C,Token!$A:$A,$D97),)</f>
        <v/>
      </c>
    </row>
    <row r="98">
      <c r="A98" s="39" t="str">
        <f>IF(AND($L98*1&gt;=$G$3,$L98*1&lt;=$G$4,$I98*$J98&gt;0,OR($I98&lt;&gt;$I99,$L98-$L99&gt;25),IF(ABS($I98)&gt;10,$I98/POW(10,$J98),$J98/POW(10,$I98))*MAXIFS(Token!$C:$C,Token!$A:$A,$K98)&gt;0.01),$L98/86400+DATE(1970,1,1)+$G$6,)</f>
        <v/>
      </c>
      <c r="B98" s="27" t="str">
        <f t="shared" si="1"/>
        <v/>
      </c>
      <c r="C98" s="14" t="str">
        <f>IF($A98&lt;&gt;"",MINIFS(Merchant!$A:$A,Merchant!$B:$B,$G$2),)</f>
        <v/>
      </c>
      <c r="D98" s="14" t="str">
        <f t="shared" si="2"/>
        <v/>
      </c>
      <c r="E98" s="14" t="str">
        <f t="shared" si="3"/>
        <v/>
      </c>
      <c r="F98" s="7" t="str">
        <f>IF($A98&lt;&gt;"",MAXIFS(Token!$C:$C,Token!$A:$A,$D98),)</f>
        <v/>
      </c>
    </row>
    <row r="99">
      <c r="A99" s="39" t="str">
        <f>IF(AND($L99*1&gt;=$G$3,$L99*1&lt;=$G$4,$I99*$J99&gt;0,OR($I99&lt;&gt;$I100,$L99-$L100&gt;25),IF(ABS($I99)&gt;10,$I99/POW(10,$J99),$J99/POW(10,$I99))*MAXIFS(Token!$C:$C,Token!$A:$A,$K99)&gt;0.01),$L99/86400+DATE(1970,1,1)+$G$6,)</f>
        <v/>
      </c>
      <c r="B99" s="27" t="str">
        <f t="shared" si="1"/>
        <v/>
      </c>
      <c r="C99" s="14" t="str">
        <f>IF($A99&lt;&gt;"",MINIFS(Merchant!$A:$A,Merchant!$B:$B,$G$2),)</f>
        <v/>
      </c>
      <c r="D99" s="14" t="str">
        <f t="shared" si="2"/>
        <v/>
      </c>
      <c r="E99" s="14" t="str">
        <f t="shared" si="3"/>
        <v/>
      </c>
      <c r="F99" s="7" t="str">
        <f>IF($A99&lt;&gt;"",MAXIFS(Token!$C:$C,Token!$A:$A,$D99),)</f>
        <v/>
      </c>
    </row>
    <row r="100">
      <c r="A100" s="39" t="str">
        <f>IF(AND($L100*1&gt;=$G$3,$L100*1&lt;=$G$4,$I100*$J100&gt;0,OR($I100&lt;&gt;$I101,$L100-$L101&gt;25),IF(ABS($I100)&gt;10,$I100/POW(10,$J100),$J100/POW(10,$I100))*MAXIFS(Token!$C:$C,Token!$A:$A,$K100)&gt;0.01),$L100/86400+DATE(1970,1,1)+$G$6,)</f>
        <v/>
      </c>
      <c r="B100" s="27" t="str">
        <f t="shared" si="1"/>
        <v/>
      </c>
      <c r="C100" s="14" t="str">
        <f>IF($A100&lt;&gt;"",MINIFS(Merchant!$A:$A,Merchant!$B:$B,$G$2),)</f>
        <v/>
      </c>
      <c r="D100" s="14" t="str">
        <f t="shared" si="2"/>
        <v/>
      </c>
      <c r="E100" s="14" t="str">
        <f t="shared" si="3"/>
        <v/>
      </c>
      <c r="F100" s="7" t="str">
        <f>IF($A100&lt;&gt;"",MAXIFS(Token!$C:$C,Token!$A:$A,$D100),)</f>
        <v/>
      </c>
    </row>
    <row r="101">
      <c r="A101" s="39" t="str">
        <f>IF(AND($L101*1&gt;=$G$3,$L101*1&lt;=$G$4,$I101*$J101&gt;0,OR($I101&lt;&gt;$I102,$L101-$L102&gt;25),IF(ABS($I101)&gt;10,$I101/POW(10,$J101),$J101/POW(10,$I101))*MAXIFS(Token!$C:$C,Token!$A:$A,$K101)&gt;0.01),$L101/86400+DATE(1970,1,1)+$G$6,)</f>
        <v/>
      </c>
      <c r="B101" s="27" t="str">
        <f t="shared" si="1"/>
        <v/>
      </c>
      <c r="C101" s="14" t="str">
        <f>IF($A101&lt;&gt;"",MINIFS(Merchant!$A:$A,Merchant!$B:$B,$G$2),)</f>
        <v/>
      </c>
      <c r="D101" s="14" t="str">
        <f t="shared" si="2"/>
        <v/>
      </c>
      <c r="E101" s="14" t="str">
        <f t="shared" si="3"/>
        <v/>
      </c>
      <c r="F101" s="7" t="str">
        <f>IF($A101&lt;&gt;"",MAXIFS(Token!$C:$C,Token!$A:$A,$D101),)</f>
        <v/>
      </c>
    </row>
    <row r="102">
      <c r="A102" s="39" t="str">
        <f>IF(AND($L102*1&gt;=$G$3,$L102*1&lt;=$G$4,$I102*$J102&gt;0,OR($I102&lt;&gt;$I103,$L102-$L103&gt;25),IF(ABS($I102)&gt;10,$I102/POW(10,$J102),$J102/POW(10,$I102))*MAXIFS(Token!$C:$C,Token!$A:$A,$K102)&gt;0.01),$L102/86400+DATE(1970,1,1)+$G$6,)</f>
        <v/>
      </c>
      <c r="B102" s="27" t="str">
        <f t="shared" si="1"/>
        <v/>
      </c>
      <c r="C102" s="14" t="str">
        <f>IF($A102&lt;&gt;"",MINIFS(Merchant!$A:$A,Merchant!$B:$B,$G$2),)</f>
        <v/>
      </c>
      <c r="D102" s="14" t="str">
        <f t="shared" si="2"/>
        <v/>
      </c>
      <c r="E102" s="14" t="str">
        <f t="shared" si="3"/>
        <v/>
      </c>
      <c r="F102" s="7" t="str">
        <f>IF($A102&lt;&gt;"",MAXIFS(Token!$C:$C,Token!$A:$A,$D102),)</f>
        <v/>
      </c>
    </row>
    <row r="103">
      <c r="A103" s="39" t="str">
        <f>IF(AND($L103*1&gt;=$G$3,$L103*1&lt;=$G$4,$I103*$J103&gt;0,OR($I103&lt;&gt;$I104,$L103-$L104&gt;25),IF(ABS($I103)&gt;10,$I103/POW(10,$J103),$J103/POW(10,$I103))*MAXIFS(Token!$C:$C,Token!$A:$A,$K103)&gt;0.01),$L103/86400+DATE(1970,1,1)+$G$6,)</f>
        <v/>
      </c>
      <c r="B103" s="27" t="str">
        <f t="shared" si="1"/>
        <v/>
      </c>
      <c r="C103" s="14" t="str">
        <f>IF($A103&lt;&gt;"",MINIFS(Merchant!$A:$A,Merchant!$B:$B,$G$2),)</f>
        <v/>
      </c>
      <c r="D103" s="14" t="str">
        <f t="shared" si="2"/>
        <v/>
      </c>
      <c r="E103" s="14" t="str">
        <f t="shared" si="3"/>
        <v/>
      </c>
      <c r="F103" s="7" t="str">
        <f>IF($A103&lt;&gt;"",MAXIFS(Token!$C:$C,Token!$A:$A,$D103),)</f>
        <v/>
      </c>
    </row>
    <row r="104">
      <c r="A104" s="39" t="str">
        <f>IF(AND($L104*1&gt;=$G$3,$L104*1&lt;=$G$4,$I104*$J104&gt;0,OR($I104&lt;&gt;$I105,$L104-$L105&gt;25),IF(ABS($I104)&gt;10,$I104/POW(10,$J104),$J104/POW(10,$I104))*MAXIFS(Token!$C:$C,Token!$A:$A,$K104)&gt;0.01),$L104/86400+DATE(1970,1,1)+$G$6,)</f>
        <v/>
      </c>
      <c r="B104" s="27" t="str">
        <f t="shared" si="1"/>
        <v/>
      </c>
      <c r="C104" s="14" t="str">
        <f>IF($A104&lt;&gt;"",MINIFS(Merchant!$A:$A,Merchant!$B:$B,$G$2),)</f>
        <v/>
      </c>
      <c r="D104" s="14" t="str">
        <f t="shared" si="2"/>
        <v/>
      </c>
      <c r="E104" s="14" t="str">
        <f t="shared" si="3"/>
        <v/>
      </c>
      <c r="F104" s="7" t="str">
        <f>IF($A104&lt;&gt;"",MAXIFS(Token!$C:$C,Token!$A:$A,$D104),)</f>
        <v/>
      </c>
    </row>
    <row r="105">
      <c r="A105" s="39" t="str">
        <f>IF(AND($L105*1&gt;=$G$3,$L105*1&lt;=$G$4,$I105*$J105&gt;0,OR($I105&lt;&gt;$I106,$L105-$L106&gt;25),IF(ABS($I105)&gt;10,$I105/POW(10,$J105),$J105/POW(10,$I105))*MAXIFS(Token!$C:$C,Token!$A:$A,$K105)&gt;0.01),$L105/86400+DATE(1970,1,1)+$G$6,)</f>
        <v/>
      </c>
      <c r="B105" s="27" t="str">
        <f t="shared" si="1"/>
        <v/>
      </c>
      <c r="C105" s="14" t="str">
        <f>IF($A105&lt;&gt;"",MINIFS(Merchant!$A:$A,Merchant!$B:$B,$G$2),)</f>
        <v/>
      </c>
      <c r="D105" s="14" t="str">
        <f t="shared" si="2"/>
        <v/>
      </c>
      <c r="E105" s="14" t="str">
        <f t="shared" si="3"/>
        <v/>
      </c>
      <c r="F105" s="7" t="str">
        <f>IF($A105&lt;&gt;"",MAXIFS(Token!$C:$C,Token!$A:$A,$D105),)</f>
        <v/>
      </c>
    </row>
    <row r="106">
      <c r="A106" s="39" t="str">
        <f>IF(AND($L106*1&gt;=$G$3,$L106*1&lt;=$G$4,$I106*$J106&gt;0,OR($I106&lt;&gt;$I107,$L106-$L107&gt;25),IF(ABS($I106)&gt;10,$I106/POW(10,$J106),$J106/POW(10,$I106))*MAXIFS(Token!$C:$C,Token!$A:$A,$K106)&gt;0.01),$L106/86400+DATE(1970,1,1)+$G$6,)</f>
        <v/>
      </c>
      <c r="B106" s="27" t="str">
        <f t="shared" si="1"/>
        <v/>
      </c>
      <c r="C106" s="14" t="str">
        <f>IF($A106&lt;&gt;"",MINIFS(Merchant!$A:$A,Merchant!$B:$B,$G$2),)</f>
        <v/>
      </c>
      <c r="D106" s="14" t="str">
        <f t="shared" si="2"/>
        <v/>
      </c>
      <c r="E106" s="14" t="str">
        <f t="shared" si="3"/>
        <v/>
      </c>
      <c r="F106" s="7" t="str">
        <f>IF($A106&lt;&gt;"",MAXIFS(Token!$C:$C,Token!$A:$A,$D106),)</f>
        <v/>
      </c>
    </row>
    <row r="107">
      <c r="A107" s="39" t="str">
        <f>IF(AND($L107*1&gt;=$G$3,$L107*1&lt;=$G$4,$I107*$J107&gt;0,OR($I107&lt;&gt;$I108,$L107-$L108&gt;25),IF(ABS($I107)&gt;10,$I107/POW(10,$J107),$J107/POW(10,$I107))*MAXIFS(Token!$C:$C,Token!$A:$A,$K107)&gt;0.01),$L107/86400+DATE(1970,1,1)+$G$6,)</f>
        <v/>
      </c>
      <c r="B107" s="27" t="str">
        <f t="shared" si="1"/>
        <v/>
      </c>
      <c r="C107" s="14" t="str">
        <f>IF($A107&lt;&gt;"",MINIFS(Merchant!$A:$A,Merchant!$B:$B,$G$2),)</f>
        <v/>
      </c>
      <c r="D107" s="14" t="str">
        <f t="shared" si="2"/>
        <v/>
      </c>
      <c r="E107" s="14" t="str">
        <f t="shared" si="3"/>
        <v/>
      </c>
      <c r="F107" s="7" t="str">
        <f>IF($A107&lt;&gt;"",MAXIFS(Token!$C:$C,Token!$A:$A,$D107),)</f>
        <v/>
      </c>
    </row>
    <row r="108">
      <c r="A108" s="39" t="str">
        <f>IF(AND($L108*1&gt;=$G$3,$L108*1&lt;=$G$4,$I108*$J108&gt;0,OR($I108&lt;&gt;$I109,$L108-$L109&gt;25),IF(ABS($I108)&gt;10,$I108/POW(10,$J108),$J108/POW(10,$I108))*MAXIFS(Token!$C:$C,Token!$A:$A,$K108)&gt;0.01),$L108/86400+DATE(1970,1,1)+$G$6,)</f>
        <v/>
      </c>
      <c r="B108" s="27" t="str">
        <f t="shared" si="1"/>
        <v/>
      </c>
      <c r="C108" s="14" t="str">
        <f>IF($A108&lt;&gt;"",MINIFS(Merchant!$A:$A,Merchant!$B:$B,$G$2),)</f>
        <v/>
      </c>
      <c r="D108" s="14" t="str">
        <f t="shared" si="2"/>
        <v/>
      </c>
      <c r="E108" s="14" t="str">
        <f t="shared" si="3"/>
        <v/>
      </c>
      <c r="F108" s="7" t="str">
        <f>IF($A108&lt;&gt;"",MAXIFS(Token!$C:$C,Token!$A:$A,$D108),)</f>
        <v/>
      </c>
    </row>
    <row r="109">
      <c r="A109" s="39" t="str">
        <f>IF(AND($L109*1&gt;=$G$3,$L109*1&lt;=$G$4,$I109*$J109&gt;0,OR($I109&lt;&gt;$I110,$L109-$L110&gt;25),IF(ABS($I109)&gt;10,$I109/POW(10,$J109),$J109/POW(10,$I109))*MAXIFS(Token!$C:$C,Token!$A:$A,$K109)&gt;0.01),$L109/86400+DATE(1970,1,1)+$G$6,)</f>
        <v/>
      </c>
      <c r="B109" s="27" t="str">
        <f t="shared" si="1"/>
        <v/>
      </c>
      <c r="C109" s="14" t="str">
        <f>IF($A109&lt;&gt;"",MINIFS(Merchant!$A:$A,Merchant!$B:$B,$G$2),)</f>
        <v/>
      </c>
      <c r="D109" s="14" t="str">
        <f t="shared" si="2"/>
        <v/>
      </c>
      <c r="E109" s="14" t="str">
        <f t="shared" si="3"/>
        <v/>
      </c>
      <c r="F109" s="7" t="str">
        <f>IF($A109&lt;&gt;"",MAXIFS(Token!$C:$C,Token!$A:$A,$D109),)</f>
        <v/>
      </c>
    </row>
    <row r="110">
      <c r="A110" s="39" t="str">
        <f>IF(AND($L110*1&gt;=$G$3,$L110*1&lt;=$G$4,$I110*$J110&gt;0,OR($I110&lt;&gt;$I111,$L110-$L111&gt;25),IF(ABS($I110)&gt;10,$I110/POW(10,$J110),$J110/POW(10,$I110))*MAXIFS(Token!$C:$C,Token!$A:$A,$K110)&gt;0.01),$L110/86400+DATE(1970,1,1)+$G$6,)</f>
        <v/>
      </c>
      <c r="B110" s="27" t="str">
        <f t="shared" si="1"/>
        <v/>
      </c>
      <c r="C110" s="14" t="str">
        <f>IF($A110&lt;&gt;"",MINIFS(Merchant!$A:$A,Merchant!$B:$B,$G$2),)</f>
        <v/>
      </c>
      <c r="D110" s="14" t="str">
        <f t="shared" si="2"/>
        <v/>
      </c>
      <c r="E110" s="14" t="str">
        <f t="shared" si="3"/>
        <v/>
      </c>
      <c r="F110" s="7" t="str">
        <f>IF($A110&lt;&gt;"",MAXIFS(Token!$C:$C,Token!$A:$A,$D110),)</f>
        <v/>
      </c>
    </row>
    <row r="111">
      <c r="A111" s="39" t="str">
        <f>IF(AND($L111*1&gt;=$G$3,$L111*1&lt;=$G$4,$I111*$J111&gt;0,OR($I111&lt;&gt;$I112,$L111-$L112&gt;25),IF(ABS($I111)&gt;10,$I111/POW(10,$J111),$J111/POW(10,$I111))*MAXIFS(Token!$C:$C,Token!$A:$A,$K111)&gt;0.01),$L111/86400+DATE(1970,1,1)+$G$6,)</f>
        <v/>
      </c>
      <c r="B111" s="27" t="str">
        <f t="shared" si="1"/>
        <v/>
      </c>
      <c r="C111" s="14" t="str">
        <f>IF($A111&lt;&gt;"",MINIFS(Merchant!$A:$A,Merchant!$B:$B,$G$2),)</f>
        <v/>
      </c>
      <c r="D111" s="14" t="str">
        <f t="shared" si="2"/>
        <v/>
      </c>
      <c r="E111" s="14" t="str">
        <f t="shared" si="3"/>
        <v/>
      </c>
      <c r="F111" s="7" t="str">
        <f>IF($A111&lt;&gt;"",MAXIFS(Token!$C:$C,Token!$A:$A,$D111),)</f>
        <v/>
      </c>
    </row>
    <row r="112">
      <c r="A112" s="39" t="str">
        <f>IF(AND($L112*1&gt;=$G$3,$L112*1&lt;=$G$4,$I112*$J112&gt;0,OR($I112&lt;&gt;$I113,$L112-$L113&gt;25),IF(ABS($I112)&gt;10,$I112/POW(10,$J112),$J112/POW(10,$I112))*MAXIFS(Token!$C:$C,Token!$A:$A,$K112)&gt;0.01),$L112/86400+DATE(1970,1,1)+$G$6,)</f>
        <v/>
      </c>
      <c r="B112" s="27" t="str">
        <f t="shared" si="1"/>
        <v/>
      </c>
      <c r="C112" s="14" t="str">
        <f>IF($A112&lt;&gt;"",MINIFS(Merchant!$A:$A,Merchant!$B:$B,$G$2),)</f>
        <v/>
      </c>
      <c r="D112" s="14" t="str">
        <f t="shared" si="2"/>
        <v/>
      </c>
      <c r="E112" s="14" t="str">
        <f t="shared" si="3"/>
        <v/>
      </c>
      <c r="F112" s="7" t="str">
        <f>IF($A112&lt;&gt;"",MAXIFS(Token!$C:$C,Token!$A:$A,$D112),)</f>
        <v/>
      </c>
    </row>
    <row r="113">
      <c r="A113" s="39" t="str">
        <f>IF(AND($L113*1&gt;=$G$3,$L113*1&lt;=$G$4,$I113*$J113&gt;0,OR($I113&lt;&gt;$I114,$L113-$L114&gt;25),IF(ABS($I113)&gt;10,$I113/POW(10,$J113),$J113/POW(10,$I113))*MAXIFS(Token!$C:$C,Token!$A:$A,$K113)&gt;0.01),$L113/86400+DATE(1970,1,1)+$G$6,)</f>
        <v/>
      </c>
      <c r="B113" s="27" t="str">
        <f t="shared" si="1"/>
        <v/>
      </c>
      <c r="C113" s="14" t="str">
        <f>IF($A113&lt;&gt;"",MINIFS(Merchant!$A:$A,Merchant!$B:$B,$G$2),)</f>
        <v/>
      </c>
      <c r="D113" s="14" t="str">
        <f t="shared" si="2"/>
        <v/>
      </c>
      <c r="E113" s="14" t="str">
        <f t="shared" si="3"/>
        <v/>
      </c>
      <c r="F113" s="7" t="str">
        <f>IF($A113&lt;&gt;"",MAXIFS(Token!$C:$C,Token!$A:$A,$D113),)</f>
        <v/>
      </c>
    </row>
    <row r="114">
      <c r="A114" s="39" t="str">
        <f>IF(AND($L114*1&gt;=$G$3,$L114*1&lt;=$G$4,$I114*$J114&gt;0,OR($I114&lt;&gt;$I115,$L114-$L115&gt;25),IF(ABS($I114)&gt;10,$I114/POW(10,$J114),$J114/POW(10,$I114))*MAXIFS(Token!$C:$C,Token!$A:$A,$K114)&gt;0.01),$L114/86400+DATE(1970,1,1)+$G$6,)</f>
        <v/>
      </c>
      <c r="B114" s="27" t="str">
        <f t="shared" si="1"/>
        <v/>
      </c>
      <c r="C114" s="14" t="str">
        <f>IF($A114&lt;&gt;"",MINIFS(Merchant!$A:$A,Merchant!$B:$B,$G$2),)</f>
        <v/>
      </c>
      <c r="D114" s="14" t="str">
        <f t="shared" si="2"/>
        <v/>
      </c>
      <c r="E114" s="14" t="str">
        <f t="shared" si="3"/>
        <v/>
      </c>
      <c r="F114" s="7" t="str">
        <f>IF($A114&lt;&gt;"",MAXIFS(Token!$C:$C,Token!$A:$A,$D114),)</f>
        <v/>
      </c>
    </row>
    <row r="115">
      <c r="A115" s="39" t="str">
        <f>IF(AND($L115*1&gt;=$G$3,$L115*1&lt;=$G$4,$I115*$J115&gt;0,OR($I115&lt;&gt;$I116,$L115-$L116&gt;25),IF(ABS($I115)&gt;10,$I115/POW(10,$J115),$J115/POW(10,$I115))*MAXIFS(Token!$C:$C,Token!$A:$A,$K115)&gt;0.01),$L115/86400+DATE(1970,1,1)+$G$6,)</f>
        <v/>
      </c>
      <c r="B115" s="27" t="str">
        <f t="shared" si="1"/>
        <v/>
      </c>
      <c r="C115" s="14" t="str">
        <f>IF($A115&lt;&gt;"",MINIFS(Merchant!$A:$A,Merchant!$B:$B,$G$2),)</f>
        <v/>
      </c>
      <c r="D115" s="14" t="str">
        <f t="shared" si="2"/>
        <v/>
      </c>
      <c r="E115" s="14" t="str">
        <f t="shared" si="3"/>
        <v/>
      </c>
      <c r="F115" s="7" t="str">
        <f>IF($A115&lt;&gt;"",MAXIFS(Token!$C:$C,Token!$A:$A,$D115),)</f>
        <v/>
      </c>
    </row>
    <row r="116">
      <c r="A116" s="39" t="str">
        <f>IF(AND($L116*1&gt;=$G$3,$L116*1&lt;=$G$4,$I116*$J116&gt;0,OR($I116&lt;&gt;$I117,$L116-$L117&gt;25),IF(ABS($I116)&gt;10,$I116/POW(10,$J116),$J116/POW(10,$I116))*MAXIFS(Token!$C:$C,Token!$A:$A,$K116)&gt;0.01),$L116/86400+DATE(1970,1,1)+$G$6,)</f>
        <v/>
      </c>
      <c r="B116" s="27" t="str">
        <f t="shared" si="1"/>
        <v/>
      </c>
      <c r="C116" s="14" t="str">
        <f>IF($A116&lt;&gt;"",MINIFS(Merchant!$A:$A,Merchant!$B:$B,$G$2),)</f>
        <v/>
      </c>
      <c r="D116" s="14" t="str">
        <f t="shared" si="2"/>
        <v/>
      </c>
      <c r="E116" s="14" t="str">
        <f t="shared" si="3"/>
        <v/>
      </c>
      <c r="F116" s="7" t="str">
        <f>IF($A116&lt;&gt;"",MAXIFS(Token!$C:$C,Token!$A:$A,$D116),)</f>
        <v/>
      </c>
    </row>
    <row r="117">
      <c r="A117" s="39" t="str">
        <f>IF(AND($L117*1&gt;=$G$3,$L117*1&lt;=$G$4,$I117*$J117&gt;0,OR($I117&lt;&gt;$I118,$L117-$L118&gt;25),IF(ABS($I117)&gt;10,$I117/POW(10,$J117),$J117/POW(10,$I117))*MAXIFS(Token!$C:$C,Token!$A:$A,$K117)&gt;0.01),$L117/86400+DATE(1970,1,1)+$G$6,)</f>
        <v/>
      </c>
      <c r="B117" s="27" t="str">
        <f t="shared" si="1"/>
        <v/>
      </c>
      <c r="C117" s="14" t="str">
        <f>IF($A117&lt;&gt;"",MINIFS(Merchant!$A:$A,Merchant!$B:$B,$G$2),)</f>
        <v/>
      </c>
      <c r="D117" s="14" t="str">
        <f t="shared" si="2"/>
        <v/>
      </c>
      <c r="E117" s="14" t="str">
        <f t="shared" si="3"/>
        <v/>
      </c>
      <c r="F117" s="7" t="str">
        <f>IF($A117&lt;&gt;"",MAXIFS(Token!$C:$C,Token!$A:$A,$D117),)</f>
        <v/>
      </c>
    </row>
    <row r="118">
      <c r="A118" s="39" t="str">
        <f>IF(AND($L118*1&gt;=$G$3,$L118*1&lt;=$G$4,$I118*$J118&gt;0,OR($I118&lt;&gt;$I119,$L118-$L119&gt;25),IF(ABS($I118)&gt;10,$I118/POW(10,$J118),$J118/POW(10,$I118))*MAXIFS(Token!$C:$C,Token!$A:$A,$K118)&gt;0.01),$L118/86400+DATE(1970,1,1)+$G$6,)</f>
        <v/>
      </c>
      <c r="B118" s="27" t="str">
        <f t="shared" si="1"/>
        <v/>
      </c>
      <c r="C118" s="14" t="str">
        <f>IF($A118&lt;&gt;"",MINIFS(Merchant!$A:$A,Merchant!$B:$B,$G$2),)</f>
        <v/>
      </c>
      <c r="D118" s="14" t="str">
        <f t="shared" si="2"/>
        <v/>
      </c>
      <c r="E118" s="14" t="str">
        <f t="shared" si="3"/>
        <v/>
      </c>
      <c r="F118" s="7" t="str">
        <f>IF($A118&lt;&gt;"",MAXIFS(Token!$C:$C,Token!$A:$A,$D118),)</f>
        <v/>
      </c>
    </row>
    <row r="119">
      <c r="A119" s="39" t="str">
        <f>IF(AND($L119*1&gt;=$G$3,$L119*1&lt;=$G$4,$I119*$J119&gt;0,OR($I119&lt;&gt;$I120,$L119-$L120&gt;25),IF(ABS($I119)&gt;10,$I119/POW(10,$J119),$J119/POW(10,$I119))*MAXIFS(Token!$C:$C,Token!$A:$A,$K119)&gt;0.01),$L119/86400+DATE(1970,1,1)+$G$6,)</f>
        <v/>
      </c>
      <c r="B119" s="27" t="str">
        <f t="shared" si="1"/>
        <v/>
      </c>
      <c r="C119" s="14" t="str">
        <f>IF($A119&lt;&gt;"",MINIFS(Merchant!$A:$A,Merchant!$B:$B,$G$2),)</f>
        <v/>
      </c>
      <c r="D119" s="14" t="str">
        <f t="shared" si="2"/>
        <v/>
      </c>
      <c r="E119" s="14" t="str">
        <f t="shared" si="3"/>
        <v/>
      </c>
      <c r="F119" s="7" t="str">
        <f>IF($A119&lt;&gt;"",MAXIFS(Token!$C:$C,Token!$A:$A,$D119),)</f>
        <v/>
      </c>
    </row>
    <row r="120">
      <c r="A120" s="39" t="str">
        <f>IF(AND($L120*1&gt;=$G$3,$L120*1&lt;=$G$4,$I120*$J120&gt;0,OR($I120&lt;&gt;$I121,$L120-$L121&gt;25),IF(ABS($I120)&gt;10,$I120/POW(10,$J120),$J120/POW(10,$I120))*MAXIFS(Token!$C:$C,Token!$A:$A,$K120)&gt;0.01),$L120/86400+DATE(1970,1,1)+$G$6,)</f>
        <v/>
      </c>
      <c r="B120" s="27" t="str">
        <f t="shared" si="1"/>
        <v/>
      </c>
      <c r="C120" s="14" t="str">
        <f>IF($A120&lt;&gt;"",MINIFS(Merchant!$A:$A,Merchant!$B:$B,$G$2),)</f>
        <v/>
      </c>
      <c r="D120" s="14" t="str">
        <f t="shared" si="2"/>
        <v/>
      </c>
      <c r="E120" s="14" t="str">
        <f t="shared" si="3"/>
        <v/>
      </c>
      <c r="F120" s="7" t="str">
        <f>IF($A120&lt;&gt;"",MAXIFS(Token!$C:$C,Token!$A:$A,$D120),)</f>
        <v/>
      </c>
    </row>
    <row r="121">
      <c r="A121" s="39" t="str">
        <f>IF(AND($L121*1&gt;=$G$3,$L121*1&lt;=$G$4,$I121*$J121&gt;0,OR($I121&lt;&gt;$I122,$L121-$L122&gt;25),IF(ABS($I121)&gt;10,$I121/POW(10,$J121),$J121/POW(10,$I121))*MAXIFS(Token!$C:$C,Token!$A:$A,$K121)&gt;0.01),$L121/86400+DATE(1970,1,1)+$G$6,)</f>
        <v/>
      </c>
      <c r="B121" s="27" t="str">
        <f t="shared" si="1"/>
        <v/>
      </c>
      <c r="C121" s="14" t="str">
        <f>IF($A121&lt;&gt;"",MINIFS(Merchant!$A:$A,Merchant!$B:$B,$G$2),)</f>
        <v/>
      </c>
      <c r="D121" s="14" t="str">
        <f t="shared" si="2"/>
        <v/>
      </c>
      <c r="E121" s="14" t="str">
        <f t="shared" si="3"/>
        <v/>
      </c>
      <c r="F121" s="7" t="str">
        <f>IF($A121&lt;&gt;"",MAXIFS(Token!$C:$C,Token!$A:$A,$D121),)</f>
        <v/>
      </c>
    </row>
    <row r="122">
      <c r="A122" s="39" t="str">
        <f>IF(AND($L122*1&gt;=$G$3,$L122*1&lt;=$G$4,$I122*$J122&gt;0,OR($I122&lt;&gt;$I123,$L122-$L123&gt;25),IF(ABS($I122)&gt;10,$I122/POW(10,$J122),$J122/POW(10,$I122))*MAXIFS(Token!$C:$C,Token!$A:$A,$K122)&gt;0.01),$L122/86400+DATE(1970,1,1)+$G$6,)</f>
        <v/>
      </c>
      <c r="B122" s="27" t="str">
        <f t="shared" si="1"/>
        <v/>
      </c>
      <c r="C122" s="14" t="str">
        <f>IF($A122&lt;&gt;"",MINIFS(Merchant!$A:$A,Merchant!$B:$B,$G$2),)</f>
        <v/>
      </c>
      <c r="D122" s="14" t="str">
        <f t="shared" si="2"/>
        <v/>
      </c>
      <c r="E122" s="14" t="str">
        <f t="shared" si="3"/>
        <v/>
      </c>
      <c r="F122" s="7" t="str">
        <f>IF($A122&lt;&gt;"",MAXIFS(Token!$C:$C,Token!$A:$A,$D122),)</f>
        <v/>
      </c>
    </row>
    <row r="123">
      <c r="A123" s="39" t="str">
        <f>IF(AND($L123*1&gt;=$G$3,$L123*1&lt;=$G$4,$I123*$J123&gt;0,OR($I123&lt;&gt;$I124,$L123-$L124&gt;25),IF(ABS($I123)&gt;10,$I123/POW(10,$J123),$J123/POW(10,$I123))*MAXIFS(Token!$C:$C,Token!$A:$A,$K123)&gt;0.01),$L123/86400+DATE(1970,1,1)+$G$6,)</f>
        <v/>
      </c>
      <c r="B123" s="27" t="str">
        <f t="shared" si="1"/>
        <v/>
      </c>
      <c r="C123" s="14" t="str">
        <f>IF($A123&lt;&gt;"",MINIFS(Merchant!$A:$A,Merchant!$B:$B,$G$2),)</f>
        <v/>
      </c>
      <c r="D123" s="14" t="str">
        <f t="shared" si="2"/>
        <v/>
      </c>
      <c r="E123" s="14" t="str">
        <f t="shared" si="3"/>
        <v/>
      </c>
      <c r="F123" s="7" t="str">
        <f>IF($A123&lt;&gt;"",MAXIFS(Token!$C:$C,Token!$A:$A,$D123),)</f>
        <v/>
      </c>
    </row>
    <row r="124">
      <c r="A124" s="39" t="str">
        <f>IF(AND($L124*1&gt;=$G$3,$L124*1&lt;=$G$4,$I124*$J124&gt;0,OR($I124&lt;&gt;$I125,$L124-$L125&gt;25),IF(ABS($I124)&gt;10,$I124/POW(10,$J124),$J124/POW(10,$I124))*MAXIFS(Token!$C:$C,Token!$A:$A,$K124)&gt;0.01),$L124/86400+DATE(1970,1,1)+$G$6,)</f>
        <v/>
      </c>
      <c r="B124" s="27" t="str">
        <f t="shared" si="1"/>
        <v/>
      </c>
      <c r="C124" s="14" t="str">
        <f>IF($A124&lt;&gt;"",MINIFS(Merchant!$A:$A,Merchant!$B:$B,$G$2),)</f>
        <v/>
      </c>
      <c r="D124" s="14" t="str">
        <f t="shared" si="2"/>
        <v/>
      </c>
      <c r="E124" s="14" t="str">
        <f t="shared" si="3"/>
        <v/>
      </c>
      <c r="F124" s="7" t="str">
        <f>IF($A124&lt;&gt;"",MAXIFS(Token!$C:$C,Token!$A:$A,$D124),)</f>
        <v/>
      </c>
    </row>
    <row r="125">
      <c r="A125" s="39" t="str">
        <f>IF(AND($L125*1&gt;=$G$3,$L125*1&lt;=$G$4,$I125*$J125&gt;0,OR($I125&lt;&gt;$I126,$L125-$L126&gt;25),IF(ABS($I125)&gt;10,$I125/POW(10,$J125),$J125/POW(10,$I125))*MAXIFS(Token!$C:$C,Token!$A:$A,$K125)&gt;0.01),$L125/86400+DATE(1970,1,1)+$G$6,)</f>
        <v/>
      </c>
      <c r="B125" s="27" t="str">
        <f t="shared" si="1"/>
        <v/>
      </c>
      <c r="C125" s="14" t="str">
        <f>IF($A125&lt;&gt;"",MINIFS(Merchant!$A:$A,Merchant!$B:$B,$G$2),)</f>
        <v/>
      </c>
      <c r="D125" s="14" t="str">
        <f t="shared" si="2"/>
        <v/>
      </c>
      <c r="E125" s="14" t="str">
        <f t="shared" si="3"/>
        <v/>
      </c>
      <c r="F125" s="7" t="str">
        <f>IF($A125&lt;&gt;"",MAXIFS(Token!$C:$C,Token!$A:$A,$D125),)</f>
        <v/>
      </c>
    </row>
    <row r="126">
      <c r="A126" s="39" t="str">
        <f>IF(AND($L126*1&gt;=$G$3,$L126*1&lt;=$G$4,$I126*$J126&gt;0,OR($I126&lt;&gt;$I127,$L126-$L127&gt;25),IF(ABS($I126)&gt;10,$I126/POW(10,$J126),$J126/POW(10,$I126))*MAXIFS(Token!$C:$C,Token!$A:$A,$K126)&gt;0.01),$L126/86400+DATE(1970,1,1)+$G$6,)</f>
        <v/>
      </c>
      <c r="B126" s="27" t="str">
        <f t="shared" si="1"/>
        <v/>
      </c>
      <c r="C126" s="14" t="str">
        <f>IF($A126&lt;&gt;"",MINIFS(Merchant!$A:$A,Merchant!$B:$B,$G$2),)</f>
        <v/>
      </c>
      <c r="D126" s="14" t="str">
        <f t="shared" si="2"/>
        <v/>
      </c>
      <c r="E126" s="14" t="str">
        <f t="shared" si="3"/>
        <v/>
      </c>
      <c r="F126" s="7" t="str">
        <f>IF($A126&lt;&gt;"",MAXIFS(Token!$C:$C,Token!$A:$A,$D126),)</f>
        <v/>
      </c>
    </row>
    <row r="127">
      <c r="A127" s="39" t="str">
        <f>IF(AND($L127*1&gt;=$G$3,$L127*1&lt;=$G$4,$I127*$J127&gt;0,OR($I127&lt;&gt;$I128,$L127-$L128&gt;25),IF(ABS($I127)&gt;10,$I127/POW(10,$J127),$J127/POW(10,$I127))*MAXIFS(Token!$C:$C,Token!$A:$A,$K127)&gt;0.01),$L127/86400+DATE(1970,1,1)+$G$6,)</f>
        <v/>
      </c>
      <c r="B127" s="27" t="str">
        <f t="shared" si="1"/>
        <v/>
      </c>
      <c r="C127" s="14" t="str">
        <f>IF($A127&lt;&gt;"",MINIFS(Merchant!$A:$A,Merchant!$B:$B,$G$2),)</f>
        <v/>
      </c>
      <c r="D127" s="14" t="str">
        <f t="shared" si="2"/>
        <v/>
      </c>
      <c r="E127" s="14" t="str">
        <f t="shared" si="3"/>
        <v/>
      </c>
      <c r="F127" s="7" t="str">
        <f>IF($A127&lt;&gt;"",MAXIFS(Token!$C:$C,Token!$A:$A,$D127),)</f>
        <v/>
      </c>
    </row>
    <row r="128">
      <c r="A128" s="39" t="str">
        <f>IF(AND($L128*1&gt;=$G$3,$L128*1&lt;=$G$4,$I128*$J128&gt;0,OR($I128&lt;&gt;$I129,$L128-$L129&gt;25),IF(ABS($I128)&gt;10,$I128/POW(10,$J128),$J128/POW(10,$I128))*MAXIFS(Token!$C:$C,Token!$A:$A,$K128)&gt;0.01),$L128/86400+DATE(1970,1,1)+$G$6,)</f>
        <v/>
      </c>
      <c r="B128" s="27" t="str">
        <f t="shared" si="1"/>
        <v/>
      </c>
      <c r="C128" s="14" t="str">
        <f>IF($A128&lt;&gt;"",MINIFS(Merchant!$A:$A,Merchant!$B:$B,$G$2),)</f>
        <v/>
      </c>
      <c r="D128" s="14" t="str">
        <f t="shared" si="2"/>
        <v/>
      </c>
      <c r="E128" s="14" t="str">
        <f t="shared" si="3"/>
        <v/>
      </c>
      <c r="F128" s="7" t="str">
        <f>IF($A128&lt;&gt;"",MAXIFS(Token!$C:$C,Token!$A:$A,$D128),)</f>
        <v/>
      </c>
    </row>
    <row r="129">
      <c r="A129" s="39" t="str">
        <f>IF(AND($L129*1&gt;=$G$3,$L129*1&lt;=$G$4,$I129*$J129&gt;0,OR($I129&lt;&gt;$I130,$L129-$L130&gt;25),IF(ABS($I129)&gt;10,$I129/POW(10,$J129),$J129/POW(10,$I129))*MAXIFS(Token!$C:$C,Token!$A:$A,$K129)&gt;0.01),$L129/86400+DATE(1970,1,1)+$G$6,)</f>
        <v/>
      </c>
      <c r="B129" s="27" t="str">
        <f t="shared" si="1"/>
        <v/>
      </c>
      <c r="C129" s="14" t="str">
        <f>IF($A129&lt;&gt;"",MINIFS(Merchant!$A:$A,Merchant!$B:$B,$G$2),)</f>
        <v/>
      </c>
      <c r="D129" s="14" t="str">
        <f t="shared" si="2"/>
        <v/>
      </c>
      <c r="E129" s="14" t="str">
        <f t="shared" si="3"/>
        <v/>
      </c>
      <c r="F129" s="7" t="str">
        <f>IF($A129&lt;&gt;"",MAXIFS(Token!$C:$C,Token!$A:$A,$D129),)</f>
        <v/>
      </c>
    </row>
    <row r="130">
      <c r="A130" s="39" t="str">
        <f>IF(AND($L130*1&gt;=$G$3,$L130*1&lt;=$G$4,$I130*$J130&gt;0,OR($I130&lt;&gt;$I131,$L130-$L131&gt;25),IF(ABS($I130)&gt;10,$I130/POW(10,$J130),$J130/POW(10,$I130))*MAXIFS(Token!$C:$C,Token!$A:$A,$K130)&gt;0.01),$L130/86400+DATE(1970,1,1)+$G$6,)</f>
        <v/>
      </c>
      <c r="B130" s="27" t="str">
        <f t="shared" si="1"/>
        <v/>
      </c>
      <c r="C130" s="14" t="str">
        <f>IF($A130&lt;&gt;"",MINIFS(Merchant!$A:$A,Merchant!$B:$B,$G$2),)</f>
        <v/>
      </c>
      <c r="D130" s="14" t="str">
        <f t="shared" si="2"/>
        <v/>
      </c>
      <c r="E130" s="14" t="str">
        <f t="shared" si="3"/>
        <v/>
      </c>
      <c r="F130" s="7" t="str">
        <f>IF($A130&lt;&gt;"",MAXIFS(Token!$C:$C,Token!$A:$A,$D130),)</f>
        <v/>
      </c>
    </row>
    <row r="131">
      <c r="A131" s="39" t="str">
        <f>IF(AND($L131*1&gt;=$G$3,$L131*1&lt;=$G$4,$I131*$J131&gt;0,OR($I131&lt;&gt;$I132,$L131-$L132&gt;25),IF(ABS($I131)&gt;10,$I131/POW(10,$J131),$J131/POW(10,$I131))*MAXIFS(Token!$C:$C,Token!$A:$A,$K131)&gt;0.01),$L131/86400+DATE(1970,1,1)+$G$6,)</f>
        <v/>
      </c>
      <c r="B131" s="27" t="str">
        <f t="shared" si="1"/>
        <v/>
      </c>
      <c r="C131" s="14" t="str">
        <f>IF($A131&lt;&gt;"",MINIFS(Merchant!$A:$A,Merchant!$B:$B,$G$2),)</f>
        <v/>
      </c>
      <c r="D131" s="14" t="str">
        <f t="shared" si="2"/>
        <v/>
      </c>
      <c r="E131" s="14" t="str">
        <f t="shared" si="3"/>
        <v/>
      </c>
      <c r="F131" s="7" t="str">
        <f>IF($A131&lt;&gt;"",MAXIFS(Token!$C:$C,Token!$A:$A,$D131),)</f>
        <v/>
      </c>
    </row>
    <row r="132">
      <c r="A132" s="39" t="str">
        <f>IF(AND($L132*1&gt;=$G$3,$L132*1&lt;=$G$4,$I132*$J132&gt;0,OR($I132&lt;&gt;$I133,$L132-$L133&gt;25),IF(ABS($I132)&gt;10,$I132/POW(10,$J132),$J132/POW(10,$I132))*MAXIFS(Token!$C:$C,Token!$A:$A,$K132)&gt;0.01),$L132/86400+DATE(1970,1,1)+$G$6,)</f>
        <v/>
      </c>
      <c r="B132" s="27" t="str">
        <f t="shared" si="1"/>
        <v/>
      </c>
      <c r="C132" s="14" t="str">
        <f>IF($A132&lt;&gt;"",MINIFS(Merchant!$A:$A,Merchant!$B:$B,$G$2),)</f>
        <v/>
      </c>
      <c r="D132" s="14" t="str">
        <f t="shared" si="2"/>
        <v/>
      </c>
      <c r="E132" s="14" t="str">
        <f t="shared" si="3"/>
        <v/>
      </c>
      <c r="F132" s="7" t="str">
        <f>IF($A132&lt;&gt;"",MAXIFS(Token!$C:$C,Token!$A:$A,$D132),)</f>
        <v/>
      </c>
    </row>
    <row r="133">
      <c r="A133" s="39" t="str">
        <f>IF(AND($L133*1&gt;=$G$3,$L133*1&lt;=$G$4,$I133*$J133&gt;0,OR($I133&lt;&gt;$I134,$L133-$L134&gt;25),IF(ABS($I133)&gt;10,$I133/POW(10,$J133),$J133/POW(10,$I133))*MAXIFS(Token!$C:$C,Token!$A:$A,$K133)&gt;0.01),$L133/86400+DATE(1970,1,1)+$G$6,)</f>
        <v/>
      </c>
      <c r="B133" s="27" t="str">
        <f t="shared" si="1"/>
        <v/>
      </c>
      <c r="C133" s="14" t="str">
        <f>IF($A133&lt;&gt;"",MINIFS(Merchant!$A:$A,Merchant!$B:$B,$G$2),)</f>
        <v/>
      </c>
      <c r="D133" s="14" t="str">
        <f t="shared" si="2"/>
        <v/>
      </c>
      <c r="E133" s="14" t="str">
        <f t="shared" si="3"/>
        <v/>
      </c>
      <c r="F133" s="7" t="str">
        <f>IF($A133&lt;&gt;"",MAXIFS(Token!$C:$C,Token!$A:$A,$D133),)</f>
        <v/>
      </c>
    </row>
    <row r="134">
      <c r="A134" s="39" t="str">
        <f>IF(AND($L134*1&gt;=$G$3,$L134*1&lt;=$G$4,$I134*$J134&gt;0,OR($I134&lt;&gt;$I135,$L134-$L135&gt;25),IF(ABS($I134)&gt;10,$I134/POW(10,$J134),$J134/POW(10,$I134))*MAXIFS(Token!$C:$C,Token!$A:$A,$K134)&gt;0.01),$L134/86400+DATE(1970,1,1)+$G$6,)</f>
        <v/>
      </c>
      <c r="B134" s="27" t="str">
        <f t="shared" si="1"/>
        <v/>
      </c>
      <c r="C134" s="14" t="str">
        <f>IF($A134&lt;&gt;"",MINIFS(Merchant!$A:$A,Merchant!$B:$B,$G$2),)</f>
        <v/>
      </c>
      <c r="D134" s="14" t="str">
        <f t="shared" si="2"/>
        <v/>
      </c>
      <c r="E134" s="14" t="str">
        <f t="shared" si="3"/>
        <v/>
      </c>
      <c r="F134" s="7" t="str">
        <f>IF($A134&lt;&gt;"",MAXIFS(Token!$C:$C,Token!$A:$A,$D134),)</f>
        <v/>
      </c>
    </row>
    <row r="135">
      <c r="A135" s="39" t="str">
        <f>IF(AND($L135*1&gt;=$G$3,$L135*1&lt;=$G$4,$I135*$J135&gt;0,OR($I135&lt;&gt;$I136,$L135-$L136&gt;25),IF(ABS($I135)&gt;10,$I135/POW(10,$J135),$J135/POW(10,$I135))*MAXIFS(Token!$C:$C,Token!$A:$A,$K135)&gt;0.01),$L135/86400+DATE(1970,1,1)+$G$6,)</f>
        <v/>
      </c>
      <c r="B135" s="27" t="str">
        <f t="shared" si="1"/>
        <v/>
      </c>
      <c r="C135" s="14" t="str">
        <f>IF($A135&lt;&gt;"",MINIFS(Merchant!$A:$A,Merchant!$B:$B,$G$2),)</f>
        <v/>
      </c>
      <c r="D135" s="14" t="str">
        <f t="shared" si="2"/>
        <v/>
      </c>
      <c r="E135" s="14" t="str">
        <f t="shared" si="3"/>
        <v/>
      </c>
      <c r="F135" s="7" t="str">
        <f>IF($A135&lt;&gt;"",MAXIFS(Token!$C:$C,Token!$A:$A,$D135),)</f>
        <v/>
      </c>
    </row>
    <row r="136">
      <c r="A136" s="39" t="str">
        <f>IF(AND($L136*1&gt;=$G$3,$L136*1&lt;=$G$4,$I136*$J136&gt;0,OR($I136&lt;&gt;$I137,$L136-$L137&gt;25),IF(ABS($I136)&gt;10,$I136/POW(10,$J136),$J136/POW(10,$I136))*MAXIFS(Token!$C:$C,Token!$A:$A,$K136)&gt;0.01),$L136/86400+DATE(1970,1,1)+$G$6,)</f>
        <v/>
      </c>
      <c r="B136" s="27" t="str">
        <f t="shared" si="1"/>
        <v/>
      </c>
      <c r="C136" s="14" t="str">
        <f>IF($A136&lt;&gt;"",MINIFS(Merchant!$A:$A,Merchant!$B:$B,$G$2),)</f>
        <v/>
      </c>
      <c r="D136" s="14" t="str">
        <f t="shared" si="2"/>
        <v/>
      </c>
      <c r="E136" s="14" t="str">
        <f t="shared" si="3"/>
        <v/>
      </c>
      <c r="F136" s="7" t="str">
        <f>IF($A136&lt;&gt;"",MAXIFS(Token!$C:$C,Token!$A:$A,$D136),)</f>
        <v/>
      </c>
    </row>
    <row r="137">
      <c r="A137" s="39" t="str">
        <f>IF(AND($L137*1&gt;=$G$3,$L137*1&lt;=$G$4,$I137*$J137&gt;0,OR($I137&lt;&gt;$I138,$L137-$L138&gt;25),IF(ABS($I137)&gt;10,$I137/POW(10,$J137),$J137/POW(10,$I137))*MAXIFS(Token!$C:$C,Token!$A:$A,$K137)&gt;0.01),$L137/86400+DATE(1970,1,1)+$G$6,)</f>
        <v/>
      </c>
      <c r="B137" s="27" t="str">
        <f t="shared" si="1"/>
        <v/>
      </c>
      <c r="C137" s="14" t="str">
        <f>IF($A137&lt;&gt;"",MINIFS(Merchant!$A:$A,Merchant!$B:$B,$G$2),)</f>
        <v/>
      </c>
      <c r="D137" s="14" t="str">
        <f t="shared" si="2"/>
        <v/>
      </c>
      <c r="E137" s="14" t="str">
        <f t="shared" si="3"/>
        <v/>
      </c>
      <c r="F137" s="7" t="str">
        <f>IF($A137&lt;&gt;"",MAXIFS(Token!$C:$C,Token!$A:$A,$D137),)</f>
        <v/>
      </c>
    </row>
    <row r="138">
      <c r="A138" s="39" t="str">
        <f>IF(AND($L138*1&gt;=$G$3,$L138*1&lt;=$G$4,$I138*$J138&gt;0,OR($I138&lt;&gt;$I139,$L138-$L139&gt;25),IF(ABS($I138)&gt;10,$I138/POW(10,$J138),$J138/POW(10,$I138))*MAXIFS(Token!$C:$C,Token!$A:$A,$K138)&gt;0.01),$L138/86400+DATE(1970,1,1)+$G$6,)</f>
        <v/>
      </c>
      <c r="B138" s="27" t="str">
        <f t="shared" si="1"/>
        <v/>
      </c>
      <c r="C138" s="14" t="str">
        <f>IF($A138&lt;&gt;"",MINIFS(Merchant!$A:$A,Merchant!$B:$B,$G$2),)</f>
        <v/>
      </c>
      <c r="D138" s="14" t="str">
        <f t="shared" si="2"/>
        <v/>
      </c>
      <c r="E138" s="14" t="str">
        <f t="shared" si="3"/>
        <v/>
      </c>
      <c r="F138" s="7" t="str">
        <f>IF($A138&lt;&gt;"",MAXIFS(Token!$C:$C,Token!$A:$A,$D138),)</f>
        <v/>
      </c>
    </row>
    <row r="139">
      <c r="A139" s="39" t="str">
        <f>IF(AND($L139*1&gt;=$G$3,$L139*1&lt;=$G$4,$I139*$J139&gt;0,OR($I139&lt;&gt;$I140,$L139-$L140&gt;25),IF(ABS($I139)&gt;10,$I139/POW(10,$J139),$J139/POW(10,$I139))*MAXIFS(Token!$C:$C,Token!$A:$A,$K139)&gt;0.01),$L139/86400+DATE(1970,1,1)+$G$6,)</f>
        <v/>
      </c>
      <c r="B139" s="27" t="str">
        <f t="shared" si="1"/>
        <v/>
      </c>
      <c r="C139" s="14" t="str">
        <f>IF($A139&lt;&gt;"",MINIFS(Merchant!$A:$A,Merchant!$B:$B,$G$2),)</f>
        <v/>
      </c>
      <c r="D139" s="14" t="str">
        <f t="shared" si="2"/>
        <v/>
      </c>
      <c r="E139" s="14" t="str">
        <f t="shared" si="3"/>
        <v/>
      </c>
      <c r="F139" s="7" t="str">
        <f>IF($A139&lt;&gt;"",MAXIFS(Token!$C:$C,Token!$A:$A,$D139),)</f>
        <v/>
      </c>
    </row>
    <row r="140">
      <c r="A140" s="39" t="str">
        <f>IF(AND($L140*1&gt;=$G$3,$L140*1&lt;=$G$4,$I140*$J140&gt;0,OR($I140&lt;&gt;$I141,$L140-$L141&gt;25),IF(ABS($I140)&gt;10,$I140/POW(10,$J140),$J140/POW(10,$I140))*MAXIFS(Token!$C:$C,Token!$A:$A,$K140)&gt;0.01),$L140/86400+DATE(1970,1,1)+$G$6,)</f>
        <v/>
      </c>
      <c r="B140" s="27" t="str">
        <f t="shared" si="1"/>
        <v/>
      </c>
      <c r="C140" s="14" t="str">
        <f>IF($A140&lt;&gt;"",MINIFS(Merchant!$A:$A,Merchant!$B:$B,$G$2),)</f>
        <v/>
      </c>
      <c r="D140" s="14" t="str">
        <f t="shared" si="2"/>
        <v/>
      </c>
      <c r="E140" s="14" t="str">
        <f t="shared" si="3"/>
        <v/>
      </c>
      <c r="F140" s="7" t="str">
        <f>IF($A140&lt;&gt;"",MAXIFS(Token!$C:$C,Token!$A:$A,$D140),)</f>
        <v/>
      </c>
    </row>
    <row r="141">
      <c r="A141" s="39" t="str">
        <f>IF(AND($L141*1&gt;=$G$3,$L141*1&lt;=$G$4,$I141*$J141&gt;0,OR($I141&lt;&gt;$I142,$L141-$L142&gt;25),IF(ABS($I141)&gt;10,$I141/POW(10,$J141),$J141/POW(10,$I141))*MAXIFS(Token!$C:$C,Token!$A:$A,$K141)&gt;0.01),$L141/86400+DATE(1970,1,1)+$G$6,)</f>
        <v/>
      </c>
      <c r="B141" s="27" t="str">
        <f t="shared" si="1"/>
        <v/>
      </c>
      <c r="C141" s="14" t="str">
        <f>IF($A141&lt;&gt;"",MINIFS(Merchant!$A:$A,Merchant!$B:$B,$G$2),)</f>
        <v/>
      </c>
      <c r="D141" s="14" t="str">
        <f t="shared" si="2"/>
        <v/>
      </c>
      <c r="E141" s="14" t="str">
        <f t="shared" si="3"/>
        <v/>
      </c>
      <c r="F141" s="7" t="str">
        <f>IF($A141&lt;&gt;"",MAXIFS(Token!$C:$C,Token!$A:$A,$D141),)</f>
        <v/>
      </c>
    </row>
    <row r="142">
      <c r="A142" s="39" t="str">
        <f>IF(AND($L142*1&gt;=$G$3,$L142*1&lt;=$G$4,$I142*$J142&gt;0,OR($I142&lt;&gt;$I143,$L142-$L143&gt;25),IF(ABS($I142)&gt;10,$I142/POW(10,$J142),$J142/POW(10,$I142))*MAXIFS(Token!$C:$C,Token!$A:$A,$K142)&gt;0.01),$L142/86400+DATE(1970,1,1)+$G$6,)</f>
        <v/>
      </c>
      <c r="B142" s="27" t="str">
        <f t="shared" si="1"/>
        <v/>
      </c>
      <c r="C142" s="14" t="str">
        <f>IF($A142&lt;&gt;"",MINIFS(Merchant!$A:$A,Merchant!$B:$B,$G$2),)</f>
        <v/>
      </c>
      <c r="D142" s="14" t="str">
        <f t="shared" si="2"/>
        <v/>
      </c>
      <c r="E142" s="14" t="str">
        <f t="shared" si="3"/>
        <v/>
      </c>
      <c r="F142" s="7" t="str">
        <f>IF($A142&lt;&gt;"",MAXIFS(Token!$C:$C,Token!$A:$A,$D142),)</f>
        <v/>
      </c>
    </row>
    <row r="143">
      <c r="A143" s="39" t="str">
        <f>IF(AND($L143*1&gt;=$G$3,$L143*1&lt;=$G$4,$I143*$J143&gt;0,OR($I143&lt;&gt;$I144,$L143-$L144&gt;25),IF(ABS($I143)&gt;10,$I143/POW(10,$J143),$J143/POW(10,$I143))*MAXIFS(Token!$C:$C,Token!$A:$A,$K143)&gt;0.01),$L143/86400+DATE(1970,1,1)+$G$6,)</f>
        <v/>
      </c>
      <c r="B143" s="27" t="str">
        <f t="shared" si="1"/>
        <v/>
      </c>
      <c r="C143" s="14" t="str">
        <f>IF($A143&lt;&gt;"",MINIFS(Merchant!$A:$A,Merchant!$B:$B,$G$2),)</f>
        <v/>
      </c>
      <c r="D143" s="14" t="str">
        <f t="shared" si="2"/>
        <v/>
      </c>
      <c r="E143" s="14" t="str">
        <f t="shared" si="3"/>
        <v/>
      </c>
      <c r="F143" s="7" t="str">
        <f>IF($A143&lt;&gt;"",MAXIFS(Token!$C:$C,Token!$A:$A,$D143),)</f>
        <v/>
      </c>
    </row>
    <row r="144">
      <c r="A144" s="39" t="str">
        <f>IF(AND($L144*1&gt;=$G$3,$L144*1&lt;=$G$4,$I144*$J144&gt;0,OR($I144&lt;&gt;$I145,$L144-$L145&gt;25),IF(ABS($I144)&gt;10,$I144/POW(10,$J144),$J144/POW(10,$I144))*MAXIFS(Token!$C:$C,Token!$A:$A,$K144)&gt;0.01),$L144/86400+DATE(1970,1,1)+$G$6,)</f>
        <v/>
      </c>
      <c r="B144" s="27" t="str">
        <f t="shared" si="1"/>
        <v/>
      </c>
      <c r="C144" s="14" t="str">
        <f>IF($A144&lt;&gt;"",MINIFS(Merchant!$A:$A,Merchant!$B:$B,$G$2),)</f>
        <v/>
      </c>
      <c r="D144" s="14" t="str">
        <f t="shared" si="2"/>
        <v/>
      </c>
      <c r="E144" s="14" t="str">
        <f t="shared" si="3"/>
        <v/>
      </c>
      <c r="F144" s="7" t="str">
        <f>IF($A144&lt;&gt;"",MAXIFS(Token!$C:$C,Token!$A:$A,$D144),)</f>
        <v/>
      </c>
    </row>
    <row r="145">
      <c r="A145" s="39" t="str">
        <f>IF(AND($L145*1&gt;=$G$3,$L145*1&lt;=$G$4,$I145*$J145&gt;0,OR($I145&lt;&gt;$I146,$L145-$L146&gt;25),IF(ABS($I145)&gt;10,$I145/POW(10,$J145),$J145/POW(10,$I145))*MAXIFS(Token!$C:$C,Token!$A:$A,$K145)&gt;0.01),$L145/86400+DATE(1970,1,1)+$G$6,)</f>
        <v/>
      </c>
      <c r="B145" s="27" t="str">
        <f t="shared" si="1"/>
        <v/>
      </c>
      <c r="C145" s="14" t="str">
        <f>IF($A145&lt;&gt;"",MINIFS(Merchant!$A:$A,Merchant!$B:$B,$G$2),)</f>
        <v/>
      </c>
      <c r="D145" s="14" t="str">
        <f t="shared" si="2"/>
        <v/>
      </c>
      <c r="E145" s="14" t="str">
        <f t="shared" si="3"/>
        <v/>
      </c>
      <c r="F145" s="7" t="str">
        <f>IF($A145&lt;&gt;"",MAXIFS(Token!$C:$C,Token!$A:$A,$D145),)</f>
        <v/>
      </c>
    </row>
    <row r="146">
      <c r="A146" s="39" t="str">
        <f>IF(AND($L146*1&gt;=$G$3,$L146*1&lt;=$G$4,$I146*$J146&gt;0,OR($I146&lt;&gt;$I147,$L146-$L147&gt;25),IF(ABS($I146)&gt;10,$I146/POW(10,$J146),$J146/POW(10,$I146))*MAXIFS(Token!$C:$C,Token!$A:$A,$K146)&gt;0.01),$L146/86400+DATE(1970,1,1)+$G$6,)</f>
        <v/>
      </c>
      <c r="B146" s="27" t="str">
        <f t="shared" si="1"/>
        <v/>
      </c>
      <c r="C146" s="14" t="str">
        <f>IF($A146&lt;&gt;"",MINIFS(Merchant!$A:$A,Merchant!$B:$B,$G$2),)</f>
        <v/>
      </c>
      <c r="D146" s="14" t="str">
        <f t="shared" si="2"/>
        <v/>
      </c>
      <c r="E146" s="14" t="str">
        <f t="shared" si="3"/>
        <v/>
      </c>
      <c r="F146" s="7" t="str">
        <f>IF($A146&lt;&gt;"",MAXIFS(Token!$C:$C,Token!$A:$A,$D146),)</f>
        <v/>
      </c>
    </row>
    <row r="147">
      <c r="A147" s="39" t="str">
        <f>IF(AND($L147*1&gt;=$G$3,$L147*1&lt;=$G$4,$I147*$J147&gt;0,OR($I147&lt;&gt;$I148,$L147-$L148&gt;25),IF(ABS($I147)&gt;10,$I147/POW(10,$J147),$J147/POW(10,$I147))*MAXIFS(Token!$C:$C,Token!$A:$A,$K147)&gt;0.01),$L147/86400+DATE(1970,1,1)+$G$6,)</f>
        <v/>
      </c>
      <c r="B147" s="27" t="str">
        <f t="shared" si="1"/>
        <v/>
      </c>
      <c r="C147" s="14" t="str">
        <f>IF($A147&lt;&gt;"",MINIFS(Merchant!$A:$A,Merchant!$B:$B,$G$2),)</f>
        <v/>
      </c>
      <c r="D147" s="14" t="str">
        <f t="shared" si="2"/>
        <v/>
      </c>
      <c r="E147" s="14" t="str">
        <f t="shared" si="3"/>
        <v/>
      </c>
      <c r="F147" s="7" t="str">
        <f>IF($A147&lt;&gt;"",MAXIFS(Token!$C:$C,Token!$A:$A,$D147),)</f>
        <v/>
      </c>
    </row>
    <row r="148">
      <c r="A148" s="39" t="str">
        <f>IF(AND($L148*1&gt;=$G$3,$L148*1&lt;=$G$4,$I148*$J148&gt;0,OR($I148&lt;&gt;$I149,$L148-$L149&gt;25),IF(ABS($I148)&gt;10,$I148/POW(10,$J148),$J148/POW(10,$I148))*MAXIFS(Token!$C:$C,Token!$A:$A,$K148)&gt;0.01),$L148/86400+DATE(1970,1,1)+$G$6,)</f>
        <v/>
      </c>
      <c r="B148" s="27" t="str">
        <f t="shared" si="1"/>
        <v/>
      </c>
      <c r="C148" s="14" t="str">
        <f>IF($A148&lt;&gt;"",MINIFS(Merchant!$A:$A,Merchant!$B:$B,$G$2),)</f>
        <v/>
      </c>
      <c r="D148" s="14" t="str">
        <f t="shared" si="2"/>
        <v/>
      </c>
      <c r="E148" s="14" t="str">
        <f t="shared" si="3"/>
        <v/>
      </c>
      <c r="F148" s="7" t="str">
        <f>IF($A148&lt;&gt;"",MAXIFS(Token!$C:$C,Token!$A:$A,$D148),)</f>
        <v/>
      </c>
    </row>
    <row r="149">
      <c r="A149" s="39" t="str">
        <f>IF(AND($L149*1&gt;=$G$3,$L149*1&lt;=$G$4,$I149*$J149&gt;0,OR($I149&lt;&gt;$I150,$L149-$L150&gt;25),IF(ABS($I149)&gt;10,$I149/POW(10,$J149),$J149/POW(10,$I149))*MAXIFS(Token!$C:$C,Token!$A:$A,$K149)&gt;0.01),$L149/86400+DATE(1970,1,1)+$G$6,)</f>
        <v/>
      </c>
      <c r="B149" s="27" t="str">
        <f t="shared" si="1"/>
        <v/>
      </c>
      <c r="C149" s="14" t="str">
        <f>IF($A149&lt;&gt;"",MINIFS(Merchant!$A:$A,Merchant!$B:$B,$G$2),)</f>
        <v/>
      </c>
      <c r="D149" s="14" t="str">
        <f t="shared" si="2"/>
        <v/>
      </c>
      <c r="E149" s="14" t="str">
        <f t="shared" si="3"/>
        <v/>
      </c>
      <c r="F149" s="7" t="str">
        <f>IF($A149&lt;&gt;"",MAXIFS(Token!$C:$C,Token!$A:$A,$D149),)</f>
        <v/>
      </c>
    </row>
    <row r="150">
      <c r="A150" s="39" t="str">
        <f>IF(AND($L150*1&gt;=$G$3,$L150*1&lt;=$G$4,$I150*$J150&gt;0,OR($I150&lt;&gt;$I151,$L150-$L151&gt;25),IF(ABS($I150)&gt;10,$I150/POW(10,$J150),$J150/POW(10,$I150))*MAXIFS(Token!$C:$C,Token!$A:$A,$K150)&gt;0.01),$L150/86400+DATE(1970,1,1)+$G$6,)</f>
        <v/>
      </c>
      <c r="B150" s="27" t="str">
        <f t="shared" si="1"/>
        <v/>
      </c>
      <c r="C150" s="14" t="str">
        <f>IF($A150&lt;&gt;"",MINIFS(Merchant!$A:$A,Merchant!$B:$B,$G$2),)</f>
        <v/>
      </c>
      <c r="D150" s="14" t="str">
        <f t="shared" si="2"/>
        <v/>
      </c>
      <c r="E150" s="14" t="str">
        <f t="shared" si="3"/>
        <v/>
      </c>
      <c r="F150" s="7" t="str">
        <f>IF($A150&lt;&gt;"",MAXIFS(Token!$C:$C,Token!$A:$A,$D150),)</f>
        <v/>
      </c>
    </row>
    <row r="151">
      <c r="A151" s="39" t="str">
        <f>IF(AND($L151*1&gt;=$G$3,$L151*1&lt;=$G$4,$I151*$J151&gt;0,OR($I151&lt;&gt;$I152,$L151-$L152&gt;25),IF(ABS($I151)&gt;10,$I151/POW(10,$J151),$J151/POW(10,$I151))*MAXIFS(Token!$C:$C,Token!$A:$A,$K151)&gt;0.01),$L151/86400+DATE(1970,1,1)+$G$6,)</f>
        <v/>
      </c>
      <c r="B151" s="27" t="str">
        <f t="shared" si="1"/>
        <v/>
      </c>
      <c r="C151" s="14" t="str">
        <f>IF($A151&lt;&gt;"",MINIFS(Merchant!$A:$A,Merchant!$B:$B,$G$2),)</f>
        <v/>
      </c>
      <c r="D151" s="14" t="str">
        <f t="shared" si="2"/>
        <v/>
      </c>
      <c r="E151" s="14" t="str">
        <f t="shared" si="3"/>
        <v/>
      </c>
      <c r="F151" s="7" t="str">
        <f>IF($A151&lt;&gt;"",MAXIFS(Token!$C:$C,Token!$A:$A,$D151),)</f>
        <v/>
      </c>
    </row>
    <row r="152">
      <c r="A152" s="39" t="str">
        <f>IF(AND($L152*1&gt;=$G$3,$L152*1&lt;=$G$4,$I152*$J152&gt;0,OR($I152&lt;&gt;$I153,$L152-$L153&gt;25),IF(ABS($I152)&gt;10,$I152/POW(10,$J152),$J152/POW(10,$I152))*MAXIFS(Token!$C:$C,Token!$A:$A,$K152)&gt;0.01),$L152/86400+DATE(1970,1,1)+$G$6,)</f>
        <v/>
      </c>
      <c r="B152" s="27" t="str">
        <f t="shared" si="1"/>
        <v/>
      </c>
      <c r="C152" s="14" t="str">
        <f>IF($A152&lt;&gt;"",MINIFS(Merchant!$A:$A,Merchant!$B:$B,$G$2),)</f>
        <v/>
      </c>
      <c r="D152" s="14" t="str">
        <f t="shared" si="2"/>
        <v/>
      </c>
      <c r="E152" s="14" t="str">
        <f t="shared" si="3"/>
        <v/>
      </c>
      <c r="F152" s="7" t="str">
        <f>IF($A152&lt;&gt;"",MAXIFS(Token!$C:$C,Token!$A:$A,$D152),)</f>
        <v/>
      </c>
    </row>
    <row r="153">
      <c r="A153" s="39" t="str">
        <f>IF(AND($L153*1&gt;=$G$3,$L153*1&lt;=$G$4,$I153*$J153&gt;0,OR($I153&lt;&gt;$I154,$L153-$L154&gt;25),IF(ABS($I153)&gt;10,$I153/POW(10,$J153),$J153/POW(10,$I153))*MAXIFS(Token!$C:$C,Token!$A:$A,$K153)&gt;0.01),$L153/86400+DATE(1970,1,1)+$G$6,)</f>
        <v/>
      </c>
      <c r="B153" s="27" t="str">
        <f t="shared" si="1"/>
        <v/>
      </c>
      <c r="C153" s="14" t="str">
        <f>IF($A153&lt;&gt;"",MINIFS(Merchant!$A:$A,Merchant!$B:$B,$G$2),)</f>
        <v/>
      </c>
      <c r="D153" s="14" t="str">
        <f t="shared" si="2"/>
        <v/>
      </c>
      <c r="E153" s="14" t="str">
        <f t="shared" si="3"/>
        <v/>
      </c>
      <c r="F153" s="7" t="str">
        <f>IF($A153&lt;&gt;"",MAXIFS(Token!$C:$C,Token!$A:$A,$D153),)</f>
        <v/>
      </c>
    </row>
    <row r="154">
      <c r="A154" s="39" t="str">
        <f>IF(AND($L154*1&gt;=$G$3,$L154*1&lt;=$G$4,$I154*$J154&gt;0,OR($I154&lt;&gt;$I155,$L154-$L155&gt;25),IF(ABS($I154)&gt;10,$I154/POW(10,$J154),$J154/POW(10,$I154))*MAXIFS(Token!$C:$C,Token!$A:$A,$K154)&gt;0.01),$L154/86400+DATE(1970,1,1)+$G$6,)</f>
        <v/>
      </c>
      <c r="B154" s="27" t="str">
        <f t="shared" si="1"/>
        <v/>
      </c>
      <c r="C154" s="14" t="str">
        <f>IF($A154&lt;&gt;"",MINIFS(Merchant!$A:$A,Merchant!$B:$B,$G$2),)</f>
        <v/>
      </c>
      <c r="D154" s="14" t="str">
        <f t="shared" si="2"/>
        <v/>
      </c>
      <c r="E154" s="14" t="str">
        <f t="shared" si="3"/>
        <v/>
      </c>
      <c r="F154" s="7" t="str">
        <f>IF($A154&lt;&gt;"",MAXIFS(Token!$C:$C,Token!$A:$A,$D154),)</f>
        <v/>
      </c>
    </row>
    <row r="155">
      <c r="A155" s="39" t="str">
        <f>IF(AND($L155*1&gt;=$G$3,$L155*1&lt;=$G$4,$I155*$J155&gt;0,OR($I155&lt;&gt;$I156,$L155-$L156&gt;25),IF(ABS($I155)&gt;10,$I155/POW(10,$J155),$J155/POW(10,$I155))*MAXIFS(Token!$C:$C,Token!$A:$A,$K155)&gt;0.01),$L155/86400+DATE(1970,1,1)+$G$6,)</f>
        <v/>
      </c>
      <c r="B155" s="27" t="str">
        <f t="shared" si="1"/>
        <v/>
      </c>
      <c r="C155" s="14" t="str">
        <f>IF($A155&lt;&gt;"",MINIFS(Merchant!$A:$A,Merchant!$B:$B,$G$2),)</f>
        <v/>
      </c>
      <c r="D155" s="14" t="str">
        <f t="shared" si="2"/>
        <v/>
      </c>
      <c r="E155" s="14" t="str">
        <f t="shared" si="3"/>
        <v/>
      </c>
      <c r="F155" s="7" t="str">
        <f>IF($A155&lt;&gt;"",MAXIFS(Token!$C:$C,Token!$A:$A,$D155),)</f>
        <v/>
      </c>
    </row>
    <row r="156">
      <c r="A156" s="39" t="str">
        <f>IF(AND($L156*1&gt;=$G$3,$L156*1&lt;=$G$4,$I156*$J156&gt;0,OR($I156&lt;&gt;$I157,$L156-$L157&gt;25),IF(ABS($I156)&gt;10,$I156/POW(10,$J156),$J156/POW(10,$I156))*MAXIFS(Token!$C:$C,Token!$A:$A,$K156)&gt;0.01),$L156/86400+DATE(1970,1,1)+$G$6,)</f>
        <v/>
      </c>
      <c r="B156" s="27" t="str">
        <f t="shared" si="1"/>
        <v/>
      </c>
      <c r="C156" s="14" t="str">
        <f>IF($A156&lt;&gt;"",MINIFS(Merchant!$A:$A,Merchant!$B:$B,$G$2),)</f>
        <v/>
      </c>
      <c r="D156" s="14" t="str">
        <f t="shared" si="2"/>
        <v/>
      </c>
      <c r="E156" s="14" t="str">
        <f t="shared" si="3"/>
        <v/>
      </c>
      <c r="F156" s="7" t="str">
        <f>IF($A156&lt;&gt;"",MAXIFS(Token!$C:$C,Token!$A:$A,$D156),)</f>
        <v/>
      </c>
    </row>
    <row r="157">
      <c r="A157" s="39" t="str">
        <f>IF(AND($L157*1&gt;=$G$3,$L157*1&lt;=$G$4,$I157*$J157&gt;0,OR($I157&lt;&gt;$I158,$L157-$L158&gt;25),IF(ABS($I157)&gt;10,$I157/POW(10,$J157),$J157/POW(10,$I157))*MAXIFS(Token!$C:$C,Token!$A:$A,$K157)&gt;0.01),$L157/86400+DATE(1970,1,1)+$G$6,)</f>
        <v/>
      </c>
      <c r="B157" s="27" t="str">
        <f t="shared" si="1"/>
        <v/>
      </c>
      <c r="C157" s="14" t="str">
        <f>IF($A157&lt;&gt;"",MINIFS(Merchant!$A:$A,Merchant!$B:$B,$G$2),)</f>
        <v/>
      </c>
      <c r="D157" s="14" t="str">
        <f t="shared" si="2"/>
        <v/>
      </c>
      <c r="E157" s="14" t="str">
        <f t="shared" si="3"/>
        <v/>
      </c>
      <c r="F157" s="7" t="str">
        <f>IF($A157&lt;&gt;"",MAXIFS(Token!$C:$C,Token!$A:$A,$D157),)</f>
        <v/>
      </c>
    </row>
    <row r="158">
      <c r="A158" s="39" t="str">
        <f>IF(AND($L158*1&gt;=$G$3,$L158*1&lt;=$G$4,$I158*$J158&gt;0,OR($I158&lt;&gt;$I159,$L158-$L159&gt;25),IF(ABS($I158)&gt;10,$I158/POW(10,$J158),$J158/POW(10,$I158))*MAXIFS(Token!$C:$C,Token!$A:$A,$K158)&gt;0.01),$L158/86400+DATE(1970,1,1)+$G$6,)</f>
        <v/>
      </c>
      <c r="B158" s="27" t="str">
        <f t="shared" si="1"/>
        <v/>
      </c>
      <c r="C158" s="14" t="str">
        <f>IF($A158&lt;&gt;"",MINIFS(Merchant!$A:$A,Merchant!$B:$B,$G$2),)</f>
        <v/>
      </c>
      <c r="D158" s="14" t="str">
        <f t="shared" si="2"/>
        <v/>
      </c>
      <c r="E158" s="14" t="str">
        <f t="shared" si="3"/>
        <v/>
      </c>
      <c r="F158" s="7" t="str">
        <f>IF($A158&lt;&gt;"",MAXIFS(Token!$C:$C,Token!$A:$A,$D158),)</f>
        <v/>
      </c>
    </row>
    <row r="159">
      <c r="A159" s="39" t="str">
        <f>IF(AND($L159*1&gt;=$G$3,$L159*1&lt;=$G$4,$I159*$J159&gt;0,OR($I159&lt;&gt;$I160,$L159-$L160&gt;25),IF(ABS($I159)&gt;10,$I159/POW(10,$J159),$J159/POW(10,$I159))*MAXIFS(Token!$C:$C,Token!$A:$A,$K159)&gt;0.01),$L159/86400+DATE(1970,1,1)+$G$6,)</f>
        <v/>
      </c>
      <c r="B159" s="27" t="str">
        <f t="shared" si="1"/>
        <v/>
      </c>
      <c r="C159" s="14" t="str">
        <f>IF($A159&lt;&gt;"",MINIFS(Merchant!$A:$A,Merchant!$B:$B,$G$2),)</f>
        <v/>
      </c>
      <c r="D159" s="14" t="str">
        <f t="shared" si="2"/>
        <v/>
      </c>
      <c r="E159" s="14" t="str">
        <f t="shared" si="3"/>
        <v/>
      </c>
      <c r="F159" s="7" t="str">
        <f>IF($A159&lt;&gt;"",MAXIFS(Token!$C:$C,Token!$A:$A,$D159),)</f>
        <v/>
      </c>
    </row>
    <row r="160">
      <c r="A160" s="39" t="str">
        <f>IF(AND($L160*1&gt;=$G$3,$L160*1&lt;=$G$4,$I160*$J160&gt;0,OR($I160&lt;&gt;$I161,$L160-$L161&gt;25),IF(ABS($I160)&gt;10,$I160/POW(10,$J160),$J160/POW(10,$I160))*MAXIFS(Token!$C:$C,Token!$A:$A,$K160)&gt;0.01),$L160/86400+DATE(1970,1,1)+$G$6,)</f>
        <v/>
      </c>
      <c r="B160" s="27" t="str">
        <f t="shared" si="1"/>
        <v/>
      </c>
      <c r="C160" s="14" t="str">
        <f>IF($A160&lt;&gt;"",MINIFS(Merchant!$A:$A,Merchant!$B:$B,$G$2),)</f>
        <v/>
      </c>
      <c r="D160" s="14" t="str">
        <f t="shared" si="2"/>
        <v/>
      </c>
      <c r="E160" s="14" t="str">
        <f t="shared" si="3"/>
        <v/>
      </c>
      <c r="F160" s="7" t="str">
        <f>IF($A160&lt;&gt;"",MAXIFS(Token!$C:$C,Token!$A:$A,$D160),)</f>
        <v/>
      </c>
    </row>
    <row r="161">
      <c r="A161" s="39" t="str">
        <f>IF(AND($L161*1&gt;=$G$3,$L161*1&lt;=$G$4,$I161*$J161&gt;0,OR($I161&lt;&gt;$I162,$L161-$L162&gt;25),IF(ABS($I161)&gt;10,$I161/POW(10,$J161),$J161/POW(10,$I161))*MAXIFS(Token!$C:$C,Token!$A:$A,$K161)&gt;0.01),$L161/86400+DATE(1970,1,1)+$G$6,)</f>
        <v/>
      </c>
      <c r="B161" s="27" t="str">
        <f t="shared" si="1"/>
        <v/>
      </c>
      <c r="C161" s="14" t="str">
        <f>IF($A161&lt;&gt;"",MINIFS(Merchant!$A:$A,Merchant!$B:$B,$G$2),)</f>
        <v/>
      </c>
      <c r="D161" s="14" t="str">
        <f t="shared" si="2"/>
        <v/>
      </c>
      <c r="E161" s="14" t="str">
        <f t="shared" si="3"/>
        <v/>
      </c>
      <c r="F161" s="7" t="str">
        <f>IF($A161&lt;&gt;"",MAXIFS(Token!$C:$C,Token!$A:$A,$D161),)</f>
        <v/>
      </c>
    </row>
    <row r="162">
      <c r="A162" s="39" t="str">
        <f>IF(AND($L162*1&gt;=$G$3,$L162*1&lt;=$G$4,$I162*$J162&gt;0,OR($I162&lt;&gt;$I163,$L162-$L163&gt;25),IF(ABS($I162)&gt;10,$I162/POW(10,$J162),$J162/POW(10,$I162))*MAXIFS(Token!$C:$C,Token!$A:$A,$K162)&gt;0.01),$L162/86400+DATE(1970,1,1)+$G$6,)</f>
        <v/>
      </c>
      <c r="B162" s="27" t="str">
        <f t="shared" si="1"/>
        <v/>
      </c>
      <c r="C162" s="14" t="str">
        <f>IF($A162&lt;&gt;"",MINIFS(Merchant!$A:$A,Merchant!$B:$B,$G$2),)</f>
        <v/>
      </c>
      <c r="D162" s="14" t="str">
        <f t="shared" si="2"/>
        <v/>
      </c>
      <c r="E162" s="14" t="str">
        <f t="shared" si="3"/>
        <v/>
      </c>
      <c r="F162" s="7" t="str">
        <f>IF($A162&lt;&gt;"",MAXIFS(Token!$C:$C,Token!$A:$A,$D162),)</f>
        <v/>
      </c>
    </row>
    <row r="163">
      <c r="A163" s="39" t="str">
        <f>IF(AND($L163*1&gt;=$G$3,$L163*1&lt;=$G$4,$I163*$J163&gt;0,OR($I163&lt;&gt;$I164,$L163-$L164&gt;25),IF(ABS($I163)&gt;10,$I163/POW(10,$J163),$J163/POW(10,$I163))*MAXIFS(Token!$C:$C,Token!$A:$A,$K163)&gt;0.01),$L163/86400+DATE(1970,1,1)+$G$6,)</f>
        <v/>
      </c>
      <c r="B163" s="27" t="str">
        <f t="shared" si="1"/>
        <v/>
      </c>
      <c r="C163" s="14" t="str">
        <f>IF($A163&lt;&gt;"",MINIFS(Merchant!$A:$A,Merchant!$B:$B,$G$2),)</f>
        <v/>
      </c>
      <c r="D163" s="14" t="str">
        <f t="shared" si="2"/>
        <v/>
      </c>
      <c r="E163" s="14" t="str">
        <f t="shared" si="3"/>
        <v/>
      </c>
      <c r="F163" s="7" t="str">
        <f>IF($A163&lt;&gt;"",MAXIFS(Token!$C:$C,Token!$A:$A,$D163),)</f>
        <v/>
      </c>
    </row>
    <row r="164">
      <c r="A164" s="39" t="str">
        <f>IF(AND($L164*1&gt;=$G$3,$L164*1&lt;=$G$4,$I164*$J164&gt;0,OR($I164&lt;&gt;$I165,$L164-$L165&gt;25),IF(ABS($I164)&gt;10,$I164/POW(10,$J164),$J164/POW(10,$I164))*MAXIFS(Token!$C:$C,Token!$A:$A,$K164)&gt;0.01),$L164/86400+DATE(1970,1,1)+$G$6,)</f>
        <v/>
      </c>
      <c r="B164" s="27" t="str">
        <f t="shared" si="1"/>
        <v/>
      </c>
      <c r="C164" s="14" t="str">
        <f>IF($A164&lt;&gt;"",MINIFS(Merchant!$A:$A,Merchant!$B:$B,$G$2),)</f>
        <v/>
      </c>
      <c r="D164" s="14" t="str">
        <f t="shared" si="2"/>
        <v/>
      </c>
      <c r="E164" s="14" t="str">
        <f t="shared" si="3"/>
        <v/>
      </c>
      <c r="F164" s="7" t="str">
        <f>IF($A164&lt;&gt;"",MAXIFS(Token!$C:$C,Token!$A:$A,$D164),)</f>
        <v/>
      </c>
    </row>
    <row r="165">
      <c r="A165" s="39" t="str">
        <f>IF(AND($L165*1&gt;=$G$3,$L165*1&lt;=$G$4,$I165*$J165&gt;0,OR($I165&lt;&gt;$I166,$L165-$L166&gt;25),IF(ABS($I165)&gt;10,$I165/POW(10,$J165),$J165/POW(10,$I165))*MAXIFS(Token!$C:$C,Token!$A:$A,$K165)&gt;0.01),$L165/86400+DATE(1970,1,1)+$G$6,)</f>
        <v/>
      </c>
      <c r="B165" s="27" t="str">
        <f t="shared" si="1"/>
        <v/>
      </c>
      <c r="C165" s="14" t="str">
        <f>IF($A165&lt;&gt;"",MINIFS(Merchant!$A:$A,Merchant!$B:$B,$G$2),)</f>
        <v/>
      </c>
      <c r="D165" s="14" t="str">
        <f t="shared" si="2"/>
        <v/>
      </c>
      <c r="E165" s="14" t="str">
        <f t="shared" si="3"/>
        <v/>
      </c>
      <c r="F165" s="7" t="str">
        <f>IF($A165&lt;&gt;"",MAXIFS(Token!$C:$C,Token!$A:$A,$D165),)</f>
        <v/>
      </c>
    </row>
    <row r="166">
      <c r="A166" s="39" t="str">
        <f>IF(AND($L166*1&gt;=$G$3,$L166*1&lt;=$G$4,$I166*$J166&gt;0,OR($I166&lt;&gt;$I167,$L166-$L167&gt;25),IF(ABS($I166)&gt;10,$I166/POW(10,$J166),$J166/POW(10,$I166))*MAXIFS(Token!$C:$C,Token!$A:$A,$K166)&gt;0.01),$L166/86400+DATE(1970,1,1)+$G$6,)</f>
        <v/>
      </c>
      <c r="B166" s="27" t="str">
        <f t="shared" si="1"/>
        <v/>
      </c>
      <c r="C166" s="14" t="str">
        <f>IF($A166&lt;&gt;"",MINIFS(Merchant!$A:$A,Merchant!$B:$B,$G$2),)</f>
        <v/>
      </c>
      <c r="D166" s="14" t="str">
        <f t="shared" si="2"/>
        <v/>
      </c>
      <c r="E166" s="14" t="str">
        <f t="shared" si="3"/>
        <v/>
      </c>
      <c r="F166" s="7" t="str">
        <f>IF($A166&lt;&gt;"",MAXIFS(Token!$C:$C,Token!$A:$A,$D166),)</f>
        <v/>
      </c>
    </row>
    <row r="167">
      <c r="A167" s="39" t="str">
        <f>IF(AND($L167*1&gt;=$G$3,$L167*1&lt;=$G$4,$I167*$J167&gt;0,OR($I167&lt;&gt;$I168,$L167-$L168&gt;25),IF(ABS($I167)&gt;10,$I167/POW(10,$J167),$J167/POW(10,$I167))*MAXIFS(Token!$C:$C,Token!$A:$A,$K167)&gt;0.01),$L167/86400+DATE(1970,1,1)+$G$6,)</f>
        <v/>
      </c>
      <c r="B167" s="27" t="str">
        <f t="shared" si="1"/>
        <v/>
      </c>
      <c r="C167" s="14" t="str">
        <f>IF($A167&lt;&gt;"",MINIFS(Merchant!$A:$A,Merchant!$B:$B,$G$2),)</f>
        <v/>
      </c>
      <c r="D167" s="14" t="str">
        <f t="shared" si="2"/>
        <v/>
      </c>
      <c r="E167" s="14" t="str">
        <f t="shared" si="3"/>
        <v/>
      </c>
      <c r="F167" s="7" t="str">
        <f>IF($A167&lt;&gt;"",MAXIFS(Token!$C:$C,Token!$A:$A,$D167),)</f>
        <v/>
      </c>
    </row>
    <row r="168">
      <c r="A168" s="39" t="str">
        <f>IF(AND($L168*1&gt;=$G$3,$L168*1&lt;=$G$4,$I168*$J168&gt;0,OR($I168&lt;&gt;$I169,$L168-$L169&gt;25),IF(ABS($I168)&gt;10,$I168/POW(10,$J168),$J168/POW(10,$I168))*MAXIFS(Token!$C:$C,Token!$A:$A,$K168)&gt;0.01),$L168/86400+DATE(1970,1,1)+$G$6,)</f>
        <v/>
      </c>
      <c r="B168" s="27" t="str">
        <f t="shared" si="1"/>
        <v/>
      </c>
      <c r="C168" s="14" t="str">
        <f>IF($A168&lt;&gt;"",MINIFS(Merchant!$A:$A,Merchant!$B:$B,$G$2),)</f>
        <v/>
      </c>
      <c r="D168" s="14" t="str">
        <f t="shared" si="2"/>
        <v/>
      </c>
      <c r="E168" s="14" t="str">
        <f t="shared" si="3"/>
        <v/>
      </c>
      <c r="F168" s="7" t="str">
        <f>IF($A168&lt;&gt;"",MAXIFS(Token!$C:$C,Token!$A:$A,$D168),)</f>
        <v/>
      </c>
    </row>
    <row r="169">
      <c r="A169" s="39" t="str">
        <f>IF(AND($L169*1&gt;=$G$3,$L169*1&lt;=$G$4,$I169*$J169&gt;0,OR($I169&lt;&gt;$I170,$L169-$L170&gt;25),IF(ABS($I169)&gt;10,$I169/POW(10,$J169),$J169/POW(10,$I169))*MAXIFS(Token!$C:$C,Token!$A:$A,$K169)&gt;0.01),$L169/86400+DATE(1970,1,1)+$G$6,)</f>
        <v/>
      </c>
      <c r="B169" s="27" t="str">
        <f t="shared" si="1"/>
        <v/>
      </c>
      <c r="C169" s="14" t="str">
        <f>IF($A169&lt;&gt;"",MINIFS(Merchant!$A:$A,Merchant!$B:$B,$G$2),)</f>
        <v/>
      </c>
      <c r="D169" s="14" t="str">
        <f t="shared" si="2"/>
        <v/>
      </c>
      <c r="E169" s="14" t="str">
        <f t="shared" si="3"/>
        <v/>
      </c>
      <c r="F169" s="7" t="str">
        <f>IF($A169&lt;&gt;"",MAXIFS(Token!$C:$C,Token!$A:$A,$D169),)</f>
        <v/>
      </c>
    </row>
    <row r="170">
      <c r="A170" s="39" t="str">
        <f>IF(AND($L170*1&gt;=$G$3,$L170*1&lt;=$G$4,$I170*$J170&gt;0,OR($I170&lt;&gt;$I171,$L170-$L171&gt;25),IF(ABS($I170)&gt;10,$I170/POW(10,$J170),$J170/POW(10,$I170))*MAXIFS(Token!$C:$C,Token!$A:$A,$K170)&gt;0.01),$L170/86400+DATE(1970,1,1)+$G$6,)</f>
        <v/>
      </c>
      <c r="B170" s="27" t="str">
        <f t="shared" si="1"/>
        <v/>
      </c>
      <c r="C170" s="14" t="str">
        <f>IF($A170&lt;&gt;"",MINIFS(Merchant!$A:$A,Merchant!$B:$B,$G$2),)</f>
        <v/>
      </c>
      <c r="D170" s="14" t="str">
        <f t="shared" si="2"/>
        <v/>
      </c>
      <c r="E170" s="14" t="str">
        <f t="shared" si="3"/>
        <v/>
      </c>
      <c r="F170" s="7" t="str">
        <f>IF($A170&lt;&gt;"",MAXIFS(Token!$C:$C,Token!$A:$A,$D170),)</f>
        <v/>
      </c>
    </row>
    <row r="171">
      <c r="A171" s="39" t="str">
        <f>IF(AND($L171*1&gt;=$G$3,$L171*1&lt;=$G$4,$I171*$J171&gt;0,OR($I171&lt;&gt;$I172,$L171-$L172&gt;25),IF(ABS($I171)&gt;10,$I171/POW(10,$J171),$J171/POW(10,$I171))*MAXIFS(Token!$C:$C,Token!$A:$A,$K171)&gt;0.01),$L171/86400+DATE(1970,1,1)+$G$6,)</f>
        <v/>
      </c>
      <c r="B171" s="27" t="str">
        <f t="shared" si="1"/>
        <v/>
      </c>
      <c r="C171" s="14" t="str">
        <f>IF($A171&lt;&gt;"",MINIFS(Merchant!$A:$A,Merchant!$B:$B,$G$2),)</f>
        <v/>
      </c>
      <c r="D171" s="14" t="str">
        <f t="shared" si="2"/>
        <v/>
      </c>
      <c r="E171" s="14" t="str">
        <f t="shared" si="3"/>
        <v/>
      </c>
      <c r="F171" s="7" t="str">
        <f>IF($A171&lt;&gt;"",MAXIFS(Token!$C:$C,Token!$A:$A,$D171),)</f>
        <v/>
      </c>
    </row>
    <row r="172">
      <c r="A172" s="39" t="str">
        <f>IF(AND($L172*1&gt;=$G$3,$L172*1&lt;=$G$4,$I172*$J172&gt;0,OR($I172&lt;&gt;$I173,$L172-$L173&gt;25),IF(ABS($I172)&gt;10,$I172/POW(10,$J172),$J172/POW(10,$I172))*MAXIFS(Token!$C:$C,Token!$A:$A,$K172)&gt;0.01),$L172/86400+DATE(1970,1,1)+$G$6,)</f>
        <v/>
      </c>
      <c r="B172" s="27" t="str">
        <f t="shared" si="1"/>
        <v/>
      </c>
      <c r="C172" s="14" t="str">
        <f>IF($A172&lt;&gt;"",MINIFS(Merchant!$A:$A,Merchant!$B:$B,$G$2),)</f>
        <v/>
      </c>
      <c r="D172" s="14" t="str">
        <f t="shared" si="2"/>
        <v/>
      </c>
      <c r="E172" s="14" t="str">
        <f t="shared" si="3"/>
        <v/>
      </c>
      <c r="F172" s="7" t="str">
        <f>IF($A172&lt;&gt;"",MAXIFS(Token!$C:$C,Token!$A:$A,$D172),)</f>
        <v/>
      </c>
    </row>
    <row r="173">
      <c r="A173" s="39" t="str">
        <f>IF(AND($L173*1&gt;=$G$3,$L173*1&lt;=$G$4,$I173*$J173&gt;0,OR($I173&lt;&gt;$I174,$L173-$L174&gt;25),IF(ABS($I173)&gt;10,$I173/POW(10,$J173),$J173/POW(10,$I173))*MAXIFS(Token!$C:$C,Token!$A:$A,$K173)&gt;0.01),$L173/86400+DATE(1970,1,1)+$G$6,)</f>
        <v/>
      </c>
      <c r="B173" s="27" t="str">
        <f t="shared" si="1"/>
        <v/>
      </c>
      <c r="C173" s="14" t="str">
        <f>IF($A173&lt;&gt;"",MINIFS(Merchant!$A:$A,Merchant!$B:$B,$G$2),)</f>
        <v/>
      </c>
      <c r="D173" s="14" t="str">
        <f t="shared" si="2"/>
        <v/>
      </c>
      <c r="E173" s="14" t="str">
        <f t="shared" si="3"/>
        <v/>
      </c>
      <c r="F173" s="7" t="str">
        <f>IF($A173&lt;&gt;"",MAXIFS(Token!$C:$C,Token!$A:$A,$D173),)</f>
        <v/>
      </c>
    </row>
    <row r="174">
      <c r="A174" s="39" t="str">
        <f>IF(AND($L174*1&gt;=$G$3,$L174*1&lt;=$G$4,$I174*$J174&gt;0,OR($I174&lt;&gt;$I175,$L174-$L175&gt;25),IF(ABS($I174)&gt;10,$I174/POW(10,$J174),$J174/POW(10,$I174))*MAXIFS(Token!$C:$C,Token!$A:$A,$K174)&gt;0.01),$L174/86400+DATE(1970,1,1)+$G$6,)</f>
        <v/>
      </c>
      <c r="B174" s="27" t="str">
        <f t="shared" si="1"/>
        <v/>
      </c>
      <c r="C174" s="14" t="str">
        <f>IF($A174&lt;&gt;"",MINIFS(Merchant!$A:$A,Merchant!$B:$B,$G$2),)</f>
        <v/>
      </c>
      <c r="D174" s="14" t="str">
        <f t="shared" si="2"/>
        <v/>
      </c>
      <c r="E174" s="14" t="str">
        <f t="shared" si="3"/>
        <v/>
      </c>
      <c r="F174" s="7" t="str">
        <f>IF($A174&lt;&gt;"",MAXIFS(Token!$C:$C,Token!$A:$A,$D174),)</f>
        <v/>
      </c>
    </row>
    <row r="175">
      <c r="A175" s="39" t="str">
        <f>IF(AND($L175*1&gt;=$G$3,$L175*1&lt;=$G$4,$I175*$J175&gt;0,OR($I175&lt;&gt;$I176,$L175-$L176&gt;25),IF(ABS($I175)&gt;10,$I175/POW(10,$J175),$J175/POW(10,$I175))*MAXIFS(Token!$C:$C,Token!$A:$A,$K175)&gt;0.01),$L175/86400+DATE(1970,1,1)+$G$6,)</f>
        <v/>
      </c>
      <c r="B175" s="27" t="str">
        <f t="shared" si="1"/>
        <v/>
      </c>
      <c r="C175" s="14" t="str">
        <f>IF($A175&lt;&gt;"",MINIFS(Merchant!$A:$A,Merchant!$B:$B,$G$2),)</f>
        <v/>
      </c>
      <c r="D175" s="14" t="str">
        <f t="shared" si="2"/>
        <v/>
      </c>
      <c r="E175" s="14" t="str">
        <f t="shared" si="3"/>
        <v/>
      </c>
      <c r="F175" s="7" t="str">
        <f>IF($A175&lt;&gt;"",MAXIFS(Token!$C:$C,Token!$A:$A,$D175),)</f>
        <v/>
      </c>
    </row>
    <row r="176">
      <c r="A176" s="39" t="str">
        <f>IF(AND($L176*1&gt;=$G$3,$L176*1&lt;=$G$4,$I176*$J176&gt;0,OR($I176&lt;&gt;$I177,$L176-$L177&gt;25),IF(ABS($I176)&gt;10,$I176/POW(10,$J176),$J176/POW(10,$I176))*MAXIFS(Token!$C:$C,Token!$A:$A,$K176)&gt;0.01),$L176/86400+DATE(1970,1,1)+$G$6,)</f>
        <v/>
      </c>
      <c r="B176" s="27" t="str">
        <f t="shared" si="1"/>
        <v/>
      </c>
      <c r="C176" s="14" t="str">
        <f>IF($A176&lt;&gt;"",MINIFS(Merchant!$A:$A,Merchant!$B:$B,$G$2),)</f>
        <v/>
      </c>
      <c r="D176" s="14" t="str">
        <f t="shared" si="2"/>
        <v/>
      </c>
      <c r="E176" s="14" t="str">
        <f t="shared" si="3"/>
        <v/>
      </c>
      <c r="F176" s="7" t="str">
        <f>IF($A176&lt;&gt;"",MAXIFS(Token!$C:$C,Token!$A:$A,$D176),)</f>
        <v/>
      </c>
    </row>
    <row r="177">
      <c r="A177" s="39" t="str">
        <f>IF(AND($L177*1&gt;=$G$3,$L177*1&lt;=$G$4,$I177*$J177&gt;0,OR($I177&lt;&gt;$I178,$L177-$L178&gt;25),IF(ABS($I177)&gt;10,$I177/POW(10,$J177),$J177/POW(10,$I177))*MAXIFS(Token!$C:$C,Token!$A:$A,$K177)&gt;0.01),$L177/86400+DATE(1970,1,1)+$G$6,)</f>
        <v/>
      </c>
      <c r="B177" s="27" t="str">
        <f t="shared" si="1"/>
        <v/>
      </c>
      <c r="C177" s="14" t="str">
        <f>IF($A177&lt;&gt;"",MINIFS(Merchant!$A:$A,Merchant!$B:$B,$G$2),)</f>
        <v/>
      </c>
      <c r="D177" s="14" t="str">
        <f t="shared" si="2"/>
        <v/>
      </c>
      <c r="E177" s="14" t="str">
        <f t="shared" si="3"/>
        <v/>
      </c>
      <c r="F177" s="7" t="str">
        <f>IF($A177&lt;&gt;"",MAXIFS(Token!$C:$C,Token!$A:$A,$D177),)</f>
        <v/>
      </c>
    </row>
    <row r="178">
      <c r="A178" s="39" t="str">
        <f>IF(AND($L178*1&gt;=$G$3,$L178*1&lt;=$G$4,$I178*$J178&gt;0,OR($I178&lt;&gt;$I179,$L178-$L179&gt;25),IF(ABS($I178)&gt;10,$I178/POW(10,$J178),$J178/POW(10,$I178))*MAXIFS(Token!$C:$C,Token!$A:$A,$K178)&gt;0.01),$L178/86400+DATE(1970,1,1)+$G$6,)</f>
        <v/>
      </c>
      <c r="B178" s="27" t="str">
        <f t="shared" si="1"/>
        <v/>
      </c>
      <c r="C178" s="14" t="str">
        <f>IF($A178&lt;&gt;"",MINIFS(Merchant!$A:$A,Merchant!$B:$B,$G$2),)</f>
        <v/>
      </c>
      <c r="D178" s="14" t="str">
        <f t="shared" si="2"/>
        <v/>
      </c>
      <c r="E178" s="14" t="str">
        <f t="shared" si="3"/>
        <v/>
      </c>
      <c r="F178" s="7" t="str">
        <f>IF($A178&lt;&gt;"",MAXIFS(Token!$C:$C,Token!$A:$A,$D178),)</f>
        <v/>
      </c>
    </row>
    <row r="179">
      <c r="A179" s="39" t="str">
        <f>IF(AND($L179*1&gt;=$G$3,$L179*1&lt;=$G$4,$I179*$J179&gt;0,OR($I179&lt;&gt;$I180,$L179-$L180&gt;25),IF(ABS($I179)&gt;10,$I179/POW(10,$J179),$J179/POW(10,$I179))*MAXIFS(Token!$C:$C,Token!$A:$A,$K179)&gt;0.01),$L179/86400+DATE(1970,1,1)+$G$6,)</f>
        <v/>
      </c>
      <c r="B179" s="27" t="str">
        <f t="shared" si="1"/>
        <v/>
      </c>
      <c r="C179" s="14" t="str">
        <f>IF($A179&lt;&gt;"",MINIFS(Merchant!$A:$A,Merchant!$B:$B,$G$2),)</f>
        <v/>
      </c>
      <c r="D179" s="14" t="str">
        <f t="shared" si="2"/>
        <v/>
      </c>
      <c r="E179" s="14" t="str">
        <f t="shared" si="3"/>
        <v/>
      </c>
      <c r="F179" s="7" t="str">
        <f>IF($A179&lt;&gt;"",MAXIFS(Token!$C:$C,Token!$A:$A,$D179),)</f>
        <v/>
      </c>
    </row>
    <row r="180">
      <c r="A180" s="39" t="str">
        <f>IF(AND($L180*1&gt;=$G$3,$L180*1&lt;=$G$4,$I180*$J180&gt;0,OR($I180&lt;&gt;$I181,$L180-$L181&gt;25),IF(ABS($I180)&gt;10,$I180/POW(10,$J180),$J180/POW(10,$I180))*MAXIFS(Token!$C:$C,Token!$A:$A,$K180)&gt;0.01),$L180/86400+DATE(1970,1,1)+$G$6,)</f>
        <v/>
      </c>
      <c r="B180" s="27" t="str">
        <f t="shared" si="1"/>
        <v/>
      </c>
      <c r="C180" s="14" t="str">
        <f>IF($A180&lt;&gt;"",MINIFS(Merchant!$A:$A,Merchant!$B:$B,$G$2),)</f>
        <v/>
      </c>
      <c r="D180" s="14" t="str">
        <f t="shared" si="2"/>
        <v/>
      </c>
      <c r="E180" s="14" t="str">
        <f t="shared" si="3"/>
        <v/>
      </c>
      <c r="F180" s="7" t="str">
        <f>IF($A180&lt;&gt;"",MAXIFS(Token!$C:$C,Token!$A:$A,$D180),)</f>
        <v/>
      </c>
    </row>
    <row r="181">
      <c r="A181" s="39" t="str">
        <f>IF(AND($L181*1&gt;=$G$3,$L181*1&lt;=$G$4,$I181*$J181&gt;0,OR($I181&lt;&gt;$I182,$L181-$L182&gt;25),IF(ABS($I181)&gt;10,$I181/POW(10,$J181),$J181/POW(10,$I181))*MAXIFS(Token!$C:$C,Token!$A:$A,$K181)&gt;0.01),$L181/86400+DATE(1970,1,1)+$G$6,)</f>
        <v/>
      </c>
      <c r="B181" s="27" t="str">
        <f t="shared" si="1"/>
        <v/>
      </c>
      <c r="C181" s="14" t="str">
        <f>IF($A181&lt;&gt;"",MINIFS(Merchant!$A:$A,Merchant!$B:$B,$G$2),)</f>
        <v/>
      </c>
      <c r="D181" s="14" t="str">
        <f t="shared" si="2"/>
        <v/>
      </c>
      <c r="E181" s="14" t="str">
        <f t="shared" si="3"/>
        <v/>
      </c>
      <c r="F181" s="7" t="str">
        <f>IF($A181&lt;&gt;"",MAXIFS(Token!$C:$C,Token!$A:$A,$D181),)</f>
        <v/>
      </c>
    </row>
    <row r="182">
      <c r="A182" s="39" t="str">
        <f>IF(AND($L182*1&gt;=$G$3,$L182*1&lt;=$G$4,$I182*$J182&gt;0,OR($I182&lt;&gt;$I183,$L182-$L183&gt;25),IF(ABS($I182)&gt;10,$I182/POW(10,$J182),$J182/POW(10,$I182))*MAXIFS(Token!$C:$C,Token!$A:$A,$K182)&gt;0.01),$L182/86400+DATE(1970,1,1)+$G$6,)</f>
        <v/>
      </c>
      <c r="B182" s="27" t="str">
        <f t="shared" si="1"/>
        <v/>
      </c>
      <c r="C182" s="14" t="str">
        <f>IF($A182&lt;&gt;"",MINIFS(Merchant!$A:$A,Merchant!$B:$B,$G$2),)</f>
        <v/>
      </c>
      <c r="D182" s="14" t="str">
        <f t="shared" si="2"/>
        <v/>
      </c>
      <c r="E182" s="14" t="str">
        <f t="shared" si="3"/>
        <v/>
      </c>
      <c r="F182" s="7" t="str">
        <f>IF($A182&lt;&gt;"",MAXIFS(Token!$C:$C,Token!$A:$A,$D182),)</f>
        <v/>
      </c>
    </row>
    <row r="183">
      <c r="A183" s="39" t="str">
        <f>IF(AND($L183*1&gt;=$G$3,$L183*1&lt;=$G$4,$I183*$J183&gt;0,OR($I183&lt;&gt;$I184,$L183-$L184&gt;25),IF(ABS($I183)&gt;10,$I183/POW(10,$J183),$J183/POW(10,$I183))*MAXIFS(Token!$C:$C,Token!$A:$A,$K183)&gt;0.01),$L183/86400+DATE(1970,1,1)+$G$6,)</f>
        <v/>
      </c>
      <c r="B183" s="27" t="str">
        <f t="shared" si="1"/>
        <v/>
      </c>
      <c r="C183" s="14" t="str">
        <f>IF($A183&lt;&gt;"",MINIFS(Merchant!$A:$A,Merchant!$B:$B,$G$2),)</f>
        <v/>
      </c>
      <c r="D183" s="14" t="str">
        <f t="shared" si="2"/>
        <v/>
      </c>
      <c r="E183" s="14" t="str">
        <f t="shared" si="3"/>
        <v/>
      </c>
      <c r="F183" s="7" t="str">
        <f>IF($A183&lt;&gt;"",MAXIFS(Token!$C:$C,Token!$A:$A,$D183),)</f>
        <v/>
      </c>
    </row>
    <row r="184">
      <c r="A184" s="39" t="str">
        <f>IF(AND($L184*1&gt;=$G$3,$L184*1&lt;=$G$4,$I184*$J184&gt;0,OR($I184&lt;&gt;$I185,$L184-$L185&gt;25),IF(ABS($I184)&gt;10,$I184/POW(10,$J184),$J184/POW(10,$I184))*MAXIFS(Token!$C:$C,Token!$A:$A,$K184)&gt;0.01),$L184/86400+DATE(1970,1,1)+$G$6,)</f>
        <v/>
      </c>
      <c r="B184" s="27" t="str">
        <f t="shared" si="1"/>
        <v/>
      </c>
      <c r="C184" s="14" t="str">
        <f>IF($A184&lt;&gt;"",MINIFS(Merchant!$A:$A,Merchant!$B:$B,$G$2),)</f>
        <v/>
      </c>
      <c r="D184" s="14" t="str">
        <f t="shared" si="2"/>
        <v/>
      </c>
      <c r="E184" s="14" t="str">
        <f t="shared" si="3"/>
        <v/>
      </c>
      <c r="F184" s="7" t="str">
        <f>IF($A184&lt;&gt;"",MAXIFS(Token!$C:$C,Token!$A:$A,$D184),)</f>
        <v/>
      </c>
    </row>
    <row r="185">
      <c r="A185" s="39" t="str">
        <f>IF(AND($L185*1&gt;=$G$3,$L185*1&lt;=$G$4,$I185*$J185&gt;0,OR($I185&lt;&gt;$I186,$L185-$L186&gt;25),IF(ABS($I185)&gt;10,$I185/POW(10,$J185),$J185/POW(10,$I185))*MAXIFS(Token!$C:$C,Token!$A:$A,$K185)&gt;0.01),$L185/86400+DATE(1970,1,1)+$G$6,)</f>
        <v/>
      </c>
      <c r="B185" s="27" t="str">
        <f t="shared" si="1"/>
        <v/>
      </c>
      <c r="C185" s="14" t="str">
        <f>IF($A185&lt;&gt;"",MINIFS(Merchant!$A:$A,Merchant!$B:$B,$G$2),)</f>
        <v/>
      </c>
      <c r="D185" s="14" t="str">
        <f t="shared" si="2"/>
        <v/>
      </c>
      <c r="E185" s="14" t="str">
        <f t="shared" si="3"/>
        <v/>
      </c>
      <c r="F185" s="7" t="str">
        <f>IF($A185&lt;&gt;"",MAXIFS(Token!$C:$C,Token!$A:$A,$D185),)</f>
        <v/>
      </c>
    </row>
    <row r="186">
      <c r="A186" s="39" t="str">
        <f>IF(AND($L186*1&gt;=$G$3,$L186*1&lt;=$G$4,$I186*$J186&gt;0,OR($I186&lt;&gt;$I187,$L186-$L187&gt;25),IF(ABS($I186)&gt;10,$I186/POW(10,$J186),$J186/POW(10,$I186))*MAXIFS(Token!$C:$C,Token!$A:$A,$K186)&gt;0.01),$L186/86400+DATE(1970,1,1)+$G$6,)</f>
        <v/>
      </c>
      <c r="B186" s="27" t="str">
        <f t="shared" si="1"/>
        <v/>
      </c>
      <c r="C186" s="14" t="str">
        <f>IF($A186&lt;&gt;"",MINIFS(Merchant!$A:$A,Merchant!$B:$B,$G$2),)</f>
        <v/>
      </c>
      <c r="D186" s="14" t="str">
        <f t="shared" si="2"/>
        <v/>
      </c>
      <c r="E186" s="14" t="str">
        <f t="shared" si="3"/>
        <v/>
      </c>
      <c r="F186" s="7" t="str">
        <f>IF($A186&lt;&gt;"",MAXIFS(Token!$C:$C,Token!$A:$A,$D186),)</f>
        <v/>
      </c>
    </row>
    <row r="187">
      <c r="A187" s="39" t="str">
        <f>IF(AND($L187*1&gt;=$G$3,$L187*1&lt;=$G$4,$I187*$J187&gt;0,OR($I187&lt;&gt;$I188,$L187-$L188&gt;25),IF(ABS($I187)&gt;10,$I187/POW(10,$J187),$J187/POW(10,$I187))*MAXIFS(Token!$C:$C,Token!$A:$A,$K187)&gt;0.01),$L187/86400+DATE(1970,1,1)+$G$6,)</f>
        <v/>
      </c>
      <c r="B187" s="27" t="str">
        <f t="shared" si="1"/>
        <v/>
      </c>
      <c r="C187" s="14" t="str">
        <f>IF($A187&lt;&gt;"",MINIFS(Merchant!$A:$A,Merchant!$B:$B,$G$2),)</f>
        <v/>
      </c>
      <c r="D187" s="14" t="str">
        <f t="shared" si="2"/>
        <v/>
      </c>
      <c r="E187" s="14" t="str">
        <f t="shared" si="3"/>
        <v/>
      </c>
      <c r="F187" s="7" t="str">
        <f>IF($A187&lt;&gt;"",MAXIFS(Token!$C:$C,Token!$A:$A,$D187),)</f>
        <v/>
      </c>
    </row>
    <row r="188">
      <c r="A188" s="39" t="str">
        <f>IF(AND($L188*1&gt;=$G$3,$L188*1&lt;=$G$4,$I188*$J188&gt;0,OR($I188&lt;&gt;$I189,$L188-$L189&gt;25),IF(ABS($I188)&gt;10,$I188/POW(10,$J188),$J188/POW(10,$I188))*MAXIFS(Token!$C:$C,Token!$A:$A,$K188)&gt;0.01),$L188/86400+DATE(1970,1,1)+$G$6,)</f>
        <v/>
      </c>
      <c r="B188" s="27" t="str">
        <f t="shared" si="1"/>
        <v/>
      </c>
      <c r="C188" s="14" t="str">
        <f>IF($A188&lt;&gt;"",MINIFS(Merchant!$A:$A,Merchant!$B:$B,$G$2),)</f>
        <v/>
      </c>
      <c r="D188" s="14" t="str">
        <f t="shared" si="2"/>
        <v/>
      </c>
      <c r="E188" s="14" t="str">
        <f t="shared" si="3"/>
        <v/>
      </c>
      <c r="F188" s="7" t="str">
        <f>IF($A188&lt;&gt;"",MAXIFS(Token!$C:$C,Token!$A:$A,$D188),)</f>
        <v/>
      </c>
    </row>
    <row r="189">
      <c r="A189" s="39" t="str">
        <f>IF(AND($L189*1&gt;=$G$3,$L189*1&lt;=$G$4,$I189*$J189&gt;0,OR($I189&lt;&gt;$I190,$L189-$L190&gt;25),IF(ABS($I189)&gt;10,$I189/POW(10,$J189),$J189/POW(10,$I189))*MAXIFS(Token!$C:$C,Token!$A:$A,$K189)&gt;0.01),$L189/86400+DATE(1970,1,1)+$G$6,)</f>
        <v/>
      </c>
      <c r="B189" s="27" t="str">
        <f t="shared" si="1"/>
        <v/>
      </c>
      <c r="C189" s="14" t="str">
        <f>IF($A189&lt;&gt;"",MINIFS(Merchant!$A:$A,Merchant!$B:$B,$G$2),)</f>
        <v/>
      </c>
      <c r="D189" s="14" t="str">
        <f t="shared" si="2"/>
        <v/>
      </c>
      <c r="E189" s="14" t="str">
        <f t="shared" si="3"/>
        <v/>
      </c>
      <c r="F189" s="7" t="str">
        <f>IF($A189&lt;&gt;"",MAXIFS(Token!$C:$C,Token!$A:$A,$D189),)</f>
        <v/>
      </c>
    </row>
    <row r="190">
      <c r="A190" s="39" t="str">
        <f>IF(AND($L190*1&gt;=$G$3,$L190*1&lt;=$G$4,$I190*$J190&gt;0,OR($I190&lt;&gt;$I191,$L190-$L191&gt;25),IF(ABS($I190)&gt;10,$I190/POW(10,$J190),$J190/POW(10,$I190))*MAXIFS(Token!$C:$C,Token!$A:$A,$K190)&gt;0.01),$L190/86400+DATE(1970,1,1)+$G$6,)</f>
        <v/>
      </c>
      <c r="B190" s="27" t="str">
        <f t="shared" si="1"/>
        <v/>
      </c>
      <c r="C190" s="14" t="str">
        <f>IF($A190&lt;&gt;"",MINIFS(Merchant!$A:$A,Merchant!$B:$B,$G$2),)</f>
        <v/>
      </c>
      <c r="D190" s="14" t="str">
        <f t="shared" si="2"/>
        <v/>
      </c>
      <c r="E190" s="14" t="str">
        <f t="shared" si="3"/>
        <v/>
      </c>
      <c r="F190" s="7" t="str">
        <f>IF($A190&lt;&gt;"",MAXIFS(Token!$C:$C,Token!$A:$A,$D190),)</f>
        <v/>
      </c>
    </row>
    <row r="191">
      <c r="A191" s="39" t="str">
        <f>IF(AND($L191*1&gt;=$G$3,$L191*1&lt;=$G$4,$I191*$J191&gt;0,OR($I191&lt;&gt;$I192,$L191-$L192&gt;25),IF(ABS($I191)&gt;10,$I191/POW(10,$J191),$J191/POW(10,$I191))*MAXIFS(Token!$C:$C,Token!$A:$A,$K191)&gt;0.01),$L191/86400+DATE(1970,1,1)+$G$6,)</f>
        <v/>
      </c>
      <c r="B191" s="27" t="str">
        <f t="shared" si="1"/>
        <v/>
      </c>
      <c r="C191" s="14" t="str">
        <f>IF($A191&lt;&gt;"",MINIFS(Merchant!$A:$A,Merchant!$B:$B,$G$2),)</f>
        <v/>
      </c>
      <c r="D191" s="14" t="str">
        <f t="shared" si="2"/>
        <v/>
      </c>
      <c r="E191" s="14" t="str">
        <f t="shared" si="3"/>
        <v/>
      </c>
      <c r="F191" s="7" t="str">
        <f>IF($A191&lt;&gt;"",MAXIFS(Token!$C:$C,Token!$A:$A,$D191),)</f>
        <v/>
      </c>
    </row>
    <row r="192">
      <c r="A192" s="39" t="str">
        <f>IF(AND($L192*1&gt;=$G$3,$L192*1&lt;=$G$4,$I192*$J192&gt;0,OR($I192&lt;&gt;$I193,$L192-$L193&gt;25),IF(ABS($I192)&gt;10,$I192/POW(10,$J192),$J192/POW(10,$I192))*MAXIFS(Token!$C:$C,Token!$A:$A,$K192)&gt;0.01),$L192/86400+DATE(1970,1,1)+$G$6,)</f>
        <v/>
      </c>
      <c r="B192" s="27" t="str">
        <f t="shared" si="1"/>
        <v/>
      </c>
      <c r="C192" s="14" t="str">
        <f>IF($A192&lt;&gt;"",MINIFS(Merchant!$A:$A,Merchant!$B:$B,$G$2),)</f>
        <v/>
      </c>
      <c r="D192" s="14" t="str">
        <f t="shared" si="2"/>
        <v/>
      </c>
      <c r="E192" s="14" t="str">
        <f t="shared" si="3"/>
        <v/>
      </c>
      <c r="F192" s="7" t="str">
        <f>IF($A192&lt;&gt;"",MAXIFS(Token!$C:$C,Token!$A:$A,$D192),)</f>
        <v/>
      </c>
    </row>
    <row r="193">
      <c r="A193" s="39" t="str">
        <f>IF(AND($L193*1&gt;=$G$3,$L193*1&lt;=$G$4,$I193*$J193&gt;0,OR($I193&lt;&gt;$I194,$L193-$L194&gt;25),IF(ABS($I193)&gt;10,$I193/POW(10,$J193),$J193/POW(10,$I193))*MAXIFS(Token!$C:$C,Token!$A:$A,$K193)&gt;0.01),$L193/86400+DATE(1970,1,1)+$G$6,)</f>
        <v/>
      </c>
      <c r="B193" s="27" t="str">
        <f t="shared" si="1"/>
        <v/>
      </c>
      <c r="C193" s="14" t="str">
        <f>IF($A193&lt;&gt;"",MINIFS(Merchant!$A:$A,Merchant!$B:$B,$G$2),)</f>
        <v/>
      </c>
      <c r="D193" s="14" t="str">
        <f t="shared" si="2"/>
        <v/>
      </c>
      <c r="E193" s="14" t="str">
        <f t="shared" si="3"/>
        <v/>
      </c>
      <c r="F193" s="7" t="str">
        <f>IF($A193&lt;&gt;"",MAXIFS(Token!$C:$C,Token!$A:$A,$D193),)</f>
        <v/>
      </c>
    </row>
    <row r="194">
      <c r="A194" s="39" t="str">
        <f>IF(AND($L194*1&gt;=$G$3,$L194*1&lt;=$G$4,$I194*$J194&gt;0,OR($I194&lt;&gt;$I195,$L194-$L195&gt;25),IF(ABS($I194)&gt;10,$I194/POW(10,$J194),$J194/POW(10,$I194))*MAXIFS(Token!$C:$C,Token!$A:$A,$K194)&gt;0.01),$L194/86400+DATE(1970,1,1)+$G$6,)</f>
        <v/>
      </c>
      <c r="B194" s="27" t="str">
        <f t="shared" si="1"/>
        <v/>
      </c>
      <c r="C194" s="14" t="str">
        <f>IF($A194&lt;&gt;"",MINIFS(Merchant!$A:$A,Merchant!$B:$B,$G$2),)</f>
        <v/>
      </c>
      <c r="D194" s="14" t="str">
        <f t="shared" si="2"/>
        <v/>
      </c>
      <c r="E194" s="14" t="str">
        <f t="shared" si="3"/>
        <v/>
      </c>
      <c r="F194" s="7" t="str">
        <f>IF($A194&lt;&gt;"",MAXIFS(Token!$C:$C,Token!$A:$A,$D194),)</f>
        <v/>
      </c>
    </row>
    <row r="195">
      <c r="A195" s="39" t="str">
        <f>IF(AND($L195*1&gt;=$G$3,$L195*1&lt;=$G$4,$I195*$J195&gt;0,OR($I195&lt;&gt;$I196,$L195-$L196&gt;25),IF(ABS($I195)&gt;10,$I195/POW(10,$J195),$J195/POW(10,$I195))*MAXIFS(Token!$C:$C,Token!$A:$A,$K195)&gt;0.01),$L195/86400+DATE(1970,1,1)+$G$6,)</f>
        <v/>
      </c>
      <c r="B195" s="27" t="str">
        <f t="shared" si="1"/>
        <v/>
      </c>
      <c r="C195" s="14" t="str">
        <f>IF($A195&lt;&gt;"",MINIFS(Merchant!$A:$A,Merchant!$B:$B,$G$2),)</f>
        <v/>
      </c>
      <c r="D195" s="14" t="str">
        <f t="shared" si="2"/>
        <v/>
      </c>
      <c r="E195" s="14" t="str">
        <f t="shared" si="3"/>
        <v/>
      </c>
      <c r="F195" s="7" t="str">
        <f>IF($A195&lt;&gt;"",MAXIFS(Token!$C:$C,Token!$A:$A,$D195),)</f>
        <v/>
      </c>
    </row>
    <row r="196">
      <c r="A196" s="39" t="str">
        <f>IF(AND($L196*1&gt;=$G$3,$L196*1&lt;=$G$4,$I196*$J196&gt;0,OR($I196&lt;&gt;$I197,$L196-$L197&gt;25),IF(ABS($I196)&gt;10,$I196/POW(10,$J196),$J196/POW(10,$I196))*MAXIFS(Token!$C:$C,Token!$A:$A,$K196)&gt;0.01),$L196/86400+DATE(1970,1,1)+$G$6,)</f>
        <v/>
      </c>
      <c r="B196" s="27" t="str">
        <f t="shared" si="1"/>
        <v/>
      </c>
      <c r="C196" s="14" t="str">
        <f>IF($A196&lt;&gt;"",MINIFS(Merchant!$A:$A,Merchant!$B:$B,$G$2),)</f>
        <v/>
      </c>
      <c r="D196" s="14" t="str">
        <f t="shared" si="2"/>
        <v/>
      </c>
      <c r="E196" s="14" t="str">
        <f t="shared" si="3"/>
        <v/>
      </c>
      <c r="F196" s="7" t="str">
        <f>IF($A196&lt;&gt;"",MAXIFS(Token!$C:$C,Token!$A:$A,$D196),)</f>
        <v/>
      </c>
    </row>
    <row r="197">
      <c r="A197" s="39" t="str">
        <f>IF(AND($L197*1&gt;=$G$3,$L197*1&lt;=$G$4,$I197*$J197&gt;0,OR($I197&lt;&gt;$I198,$L197-$L198&gt;25),IF(ABS($I197)&gt;10,$I197/POW(10,$J197),$J197/POW(10,$I197))*MAXIFS(Token!$C:$C,Token!$A:$A,$K197)&gt;0.01),$L197/86400+DATE(1970,1,1)+$G$6,)</f>
        <v/>
      </c>
      <c r="B197" s="27" t="str">
        <f t="shared" si="1"/>
        <v/>
      </c>
      <c r="C197" s="14" t="str">
        <f>IF($A197&lt;&gt;"",MINIFS(Merchant!$A:$A,Merchant!$B:$B,$G$2),)</f>
        <v/>
      </c>
      <c r="D197" s="14" t="str">
        <f t="shared" si="2"/>
        <v/>
      </c>
      <c r="E197" s="14" t="str">
        <f t="shared" si="3"/>
        <v/>
      </c>
      <c r="F197" s="7" t="str">
        <f>IF($A197&lt;&gt;"",MAXIFS(Token!$C:$C,Token!$A:$A,$D197),)</f>
        <v/>
      </c>
    </row>
    <row r="198">
      <c r="A198" s="39" t="str">
        <f>IF(AND($L198*1&gt;=$G$3,$L198*1&lt;=$G$4,$I198*$J198&gt;0,OR($I198&lt;&gt;$I199,$L198-$L199&gt;25),IF(ABS($I198)&gt;10,$I198/POW(10,$J198),$J198/POW(10,$I198))*MAXIFS(Token!$C:$C,Token!$A:$A,$K198)&gt;0.01),$L198/86400+DATE(1970,1,1)+$G$6,)</f>
        <v/>
      </c>
      <c r="B198" s="27" t="str">
        <f t="shared" si="1"/>
        <v/>
      </c>
      <c r="C198" s="14" t="str">
        <f>IF($A198&lt;&gt;"",MINIFS(Merchant!$A:$A,Merchant!$B:$B,$G$2),)</f>
        <v/>
      </c>
      <c r="D198" s="14" t="str">
        <f t="shared" si="2"/>
        <v/>
      </c>
      <c r="E198" s="14" t="str">
        <f t="shared" si="3"/>
        <v/>
      </c>
      <c r="F198" s="7" t="str">
        <f>IF($A198&lt;&gt;"",MAXIFS(Token!$C:$C,Token!$A:$A,$D198),)</f>
        <v/>
      </c>
    </row>
    <row r="199">
      <c r="A199" s="39" t="str">
        <f>IF(AND($L199*1&gt;=$G$3,$L199*1&lt;=$G$4,$I199*$J199&gt;0,OR($I199&lt;&gt;$I200,$L199-$L200&gt;25),IF(ABS($I199)&gt;10,$I199/POW(10,$J199),$J199/POW(10,$I199))*MAXIFS(Token!$C:$C,Token!$A:$A,$K199)&gt;0.01),$L199/86400+DATE(1970,1,1)+$G$6,)</f>
        <v/>
      </c>
      <c r="B199" s="27" t="str">
        <f t="shared" si="1"/>
        <v/>
      </c>
      <c r="C199" s="14" t="str">
        <f>IF($A199&lt;&gt;"",MINIFS(Merchant!$A:$A,Merchant!$B:$B,$G$2),)</f>
        <v/>
      </c>
      <c r="D199" s="14" t="str">
        <f t="shared" si="2"/>
        <v/>
      </c>
      <c r="E199" s="14" t="str">
        <f t="shared" si="3"/>
        <v/>
      </c>
      <c r="F199" s="7" t="str">
        <f>IF($A199&lt;&gt;"",MAXIFS(Token!$C:$C,Token!$A:$A,$D199),)</f>
        <v/>
      </c>
    </row>
    <row r="200">
      <c r="A200" s="39" t="str">
        <f>IF(AND($L200*1&gt;=$G$3,$L200*1&lt;=$G$4,$I200*$J200&gt;0,OR($I200&lt;&gt;$I201,$L200-$L201&gt;25),IF(ABS($I200)&gt;10,$I200/POW(10,$J200),$J200/POW(10,$I200))*MAXIFS(Token!$C:$C,Token!$A:$A,$K200)&gt;0.01),$L200/86400+DATE(1970,1,1)+$G$6,)</f>
        <v/>
      </c>
      <c r="B200" s="27" t="str">
        <f t="shared" si="1"/>
        <v/>
      </c>
      <c r="C200" s="14" t="str">
        <f>IF($A200&lt;&gt;"",MINIFS(Merchant!$A:$A,Merchant!$B:$B,$G$2),)</f>
        <v/>
      </c>
      <c r="D200" s="14" t="str">
        <f t="shared" si="2"/>
        <v/>
      </c>
      <c r="E200" s="14" t="str">
        <f t="shared" si="3"/>
        <v/>
      </c>
      <c r="F200" s="7" t="str">
        <f>IF($A200&lt;&gt;"",MAXIFS(Token!$C:$C,Token!$A:$A,$D200),)</f>
        <v/>
      </c>
    </row>
    <row r="201">
      <c r="A201" s="39" t="str">
        <f>IF(AND($L201*1&gt;=$G$3,$L201*1&lt;=$G$4,$I201*$J201&gt;0,OR($I201&lt;&gt;$I202,$L201-$L202&gt;25),IF(ABS($I201)&gt;10,$I201/POW(10,$J201),$J201/POW(10,$I201))*MAXIFS(Token!$C:$C,Token!$A:$A,$K201)&gt;0.01),$L201/86400+DATE(1970,1,1)+$G$6,)</f>
        <v/>
      </c>
      <c r="B201" s="27" t="str">
        <f t="shared" si="1"/>
        <v/>
      </c>
      <c r="C201" s="14" t="str">
        <f>IF($A201&lt;&gt;"",MINIFS(Merchant!$A:$A,Merchant!$B:$B,$G$2),)</f>
        <v/>
      </c>
      <c r="D201" s="14" t="str">
        <f t="shared" si="2"/>
        <v/>
      </c>
      <c r="E201" s="14" t="str">
        <f t="shared" si="3"/>
        <v/>
      </c>
      <c r="F201" s="7" t="str">
        <f>IF($A201&lt;&gt;"",MAXIFS(Token!$C:$C,Token!$A:$A,$D201),)</f>
        <v/>
      </c>
    </row>
    <row r="202">
      <c r="A202" s="39" t="str">
        <f>IF(AND($L202*1&gt;=$G$3,$L202*1&lt;=$G$4,$I202*$J202&gt;0,OR($I202&lt;&gt;$I203,$L202-$L203&gt;25),IF(ABS($I202)&gt;10,$I202/POW(10,$J202),$J202/POW(10,$I202))*MAXIFS(Token!$C:$C,Token!$A:$A,$K202)&gt;0.01),$L202/86400+DATE(1970,1,1)+$G$6,)</f>
        <v/>
      </c>
      <c r="B202" s="27" t="str">
        <f t="shared" si="1"/>
        <v/>
      </c>
      <c r="C202" s="14" t="str">
        <f>IF($A202&lt;&gt;"",MINIFS(Merchant!$A:$A,Merchant!$B:$B,$G$2),)</f>
        <v/>
      </c>
      <c r="D202" s="14" t="str">
        <f t="shared" si="2"/>
        <v/>
      </c>
      <c r="E202" s="14" t="str">
        <f t="shared" si="3"/>
        <v/>
      </c>
      <c r="F202" s="7" t="str">
        <f>IF($A202&lt;&gt;"",MAXIFS(Token!$C:$C,Token!$A:$A,$D202),)</f>
        <v/>
      </c>
    </row>
    <row r="203">
      <c r="A203" s="39" t="str">
        <f>IF(AND($L203*1&gt;=$G$3,$L203*1&lt;=$G$4,$I203*$J203&gt;0,OR($I203&lt;&gt;$I204,$L203-$L204&gt;25),IF(ABS($I203)&gt;10,$I203/POW(10,$J203),$J203/POW(10,$I203))*MAXIFS(Token!$C:$C,Token!$A:$A,$K203)&gt;0.01),$L203/86400+DATE(1970,1,1)+$G$6,)</f>
        <v/>
      </c>
      <c r="B203" s="27" t="str">
        <f t="shared" si="1"/>
        <v/>
      </c>
      <c r="C203" s="14" t="str">
        <f>IF($A203&lt;&gt;"",MINIFS(Merchant!$A:$A,Merchant!$B:$B,$G$2),)</f>
        <v/>
      </c>
      <c r="D203" s="14" t="str">
        <f t="shared" si="2"/>
        <v/>
      </c>
      <c r="E203" s="14" t="str">
        <f t="shared" si="3"/>
        <v/>
      </c>
      <c r="F203" s="7" t="str">
        <f>IF($A203&lt;&gt;"",MAXIFS(Token!$C:$C,Token!$A:$A,$D203),)</f>
        <v/>
      </c>
    </row>
    <row r="204">
      <c r="A204" s="39" t="str">
        <f>IF(AND($L204*1&gt;=$G$3,$L204*1&lt;=$G$4,$I204*$J204&gt;0,OR($I204&lt;&gt;$I205,$L204-$L205&gt;25),IF(ABS($I204)&gt;10,$I204/POW(10,$J204),$J204/POW(10,$I204))*MAXIFS(Token!$C:$C,Token!$A:$A,$K204)&gt;0.01),$L204/86400+DATE(1970,1,1)+$G$6,)</f>
        <v/>
      </c>
      <c r="B204" s="27" t="str">
        <f t="shared" si="1"/>
        <v/>
      </c>
      <c r="C204" s="14" t="str">
        <f>IF($A204&lt;&gt;"",MINIFS(Merchant!$A:$A,Merchant!$B:$B,$G$2),)</f>
        <v/>
      </c>
      <c r="D204" s="14" t="str">
        <f t="shared" si="2"/>
        <v/>
      </c>
      <c r="E204" s="14" t="str">
        <f t="shared" si="3"/>
        <v/>
      </c>
      <c r="F204" s="7" t="str">
        <f>IF($A204&lt;&gt;"",MAXIFS(Token!$C:$C,Token!$A:$A,$D204),)</f>
        <v/>
      </c>
    </row>
    <row r="205">
      <c r="A205" s="39" t="str">
        <f>IF(AND($L205*1&gt;=$G$3,$L205*1&lt;=$G$4,$I205*$J205&gt;0,OR($I205&lt;&gt;$I206,$L205-$L206&gt;25),IF(ABS($I205)&gt;10,$I205/POW(10,$J205),$J205/POW(10,$I205))*MAXIFS(Token!$C:$C,Token!$A:$A,$K205)&gt;0.01),$L205/86400+DATE(1970,1,1)+$G$6,)</f>
        <v/>
      </c>
      <c r="B205" s="27" t="str">
        <f t="shared" si="1"/>
        <v/>
      </c>
      <c r="C205" s="14" t="str">
        <f>IF($A205&lt;&gt;"",MINIFS(Merchant!$A:$A,Merchant!$B:$B,$G$2),)</f>
        <v/>
      </c>
      <c r="D205" s="14" t="str">
        <f t="shared" si="2"/>
        <v/>
      </c>
      <c r="E205" s="14" t="str">
        <f t="shared" si="3"/>
        <v/>
      </c>
      <c r="F205" s="7" t="str">
        <f>IF($A205&lt;&gt;"",MAXIFS(Token!$C:$C,Token!$A:$A,$D205),)</f>
        <v/>
      </c>
    </row>
    <row r="206">
      <c r="A206" s="39" t="str">
        <f>IF(AND($L206*1&gt;=$G$3,$L206*1&lt;=$G$4,$I206*$J206&gt;0,OR($I206&lt;&gt;$I207,$L206-$L207&gt;25),IF(ABS($I206)&gt;10,$I206/POW(10,$J206),$J206/POW(10,$I206))*MAXIFS(Token!$C:$C,Token!$A:$A,$K206)&gt;0.01),$L206/86400+DATE(1970,1,1)+$G$6,)</f>
        <v/>
      </c>
      <c r="B206" s="27" t="str">
        <f t="shared" si="1"/>
        <v/>
      </c>
      <c r="C206" s="14" t="str">
        <f>IF($A206&lt;&gt;"",MINIFS(Merchant!$A:$A,Merchant!$B:$B,$G$2),)</f>
        <v/>
      </c>
      <c r="D206" s="14" t="str">
        <f t="shared" si="2"/>
        <v/>
      </c>
      <c r="E206" s="14" t="str">
        <f t="shared" si="3"/>
        <v/>
      </c>
      <c r="F206" s="7" t="str">
        <f>IF($A206&lt;&gt;"",MAXIFS(Token!$C:$C,Token!$A:$A,$D206),)</f>
        <v/>
      </c>
    </row>
    <row r="207">
      <c r="A207" s="39" t="str">
        <f>IF(AND($L207*1&gt;=$G$3,$L207*1&lt;=$G$4,$I207*$J207&gt;0,OR($I207&lt;&gt;$I208,$L207-$L208&gt;25),IF(ABS($I207)&gt;10,$I207/POW(10,$J207),$J207/POW(10,$I207))*MAXIFS(Token!$C:$C,Token!$A:$A,$K207)&gt;0.01),$L207/86400+DATE(1970,1,1)+$G$6,)</f>
        <v/>
      </c>
      <c r="B207" s="27" t="str">
        <f t="shared" si="1"/>
        <v/>
      </c>
      <c r="C207" s="14" t="str">
        <f>IF($A207&lt;&gt;"",MINIFS(Merchant!$A:$A,Merchant!$B:$B,$G$2),)</f>
        <v/>
      </c>
      <c r="D207" s="14" t="str">
        <f t="shared" si="2"/>
        <v/>
      </c>
      <c r="E207" s="14" t="str">
        <f t="shared" si="3"/>
        <v/>
      </c>
      <c r="F207" s="7" t="str">
        <f>IF($A207&lt;&gt;"",MAXIFS(Token!$C:$C,Token!$A:$A,$D207),)</f>
        <v/>
      </c>
    </row>
    <row r="208">
      <c r="A208" s="39" t="str">
        <f>IF(AND($L208*1&gt;=$G$3,$L208*1&lt;=$G$4,$I208*$J208&gt;0,OR($I208&lt;&gt;$I209,$L208-$L209&gt;25),IF(ABS($I208)&gt;10,$I208/POW(10,$J208),$J208/POW(10,$I208))*MAXIFS(Token!$C:$C,Token!$A:$A,$K208)&gt;0.01),$L208/86400+DATE(1970,1,1)+$G$6,)</f>
        <v/>
      </c>
      <c r="B208" s="27" t="str">
        <f t="shared" si="1"/>
        <v/>
      </c>
      <c r="C208" s="14" t="str">
        <f>IF($A208&lt;&gt;"",MINIFS(Merchant!$A:$A,Merchant!$B:$B,$G$2),)</f>
        <v/>
      </c>
      <c r="D208" s="14" t="str">
        <f t="shared" si="2"/>
        <v/>
      </c>
      <c r="E208" s="14" t="str">
        <f t="shared" si="3"/>
        <v/>
      </c>
      <c r="F208" s="7" t="str">
        <f>IF($A208&lt;&gt;"",MAXIFS(Token!$C:$C,Token!$A:$A,$D208),)</f>
        <v/>
      </c>
    </row>
    <row r="209">
      <c r="A209" s="39" t="str">
        <f>IF(AND($L209*1&gt;=$G$3,$L209*1&lt;=$G$4,$I209*$J209&gt;0,OR($I209&lt;&gt;$I210,$L209-$L210&gt;25),IF(ABS($I209)&gt;10,$I209/POW(10,$J209),$J209/POW(10,$I209))*MAXIFS(Token!$C:$C,Token!$A:$A,$K209)&gt;0.01),$L209/86400+DATE(1970,1,1)+$G$6,)</f>
        <v/>
      </c>
      <c r="B209" s="27" t="str">
        <f t="shared" si="1"/>
        <v/>
      </c>
      <c r="C209" s="14" t="str">
        <f>IF($A209&lt;&gt;"",MINIFS(Merchant!$A:$A,Merchant!$B:$B,$G$2),)</f>
        <v/>
      </c>
      <c r="D209" s="14" t="str">
        <f t="shared" si="2"/>
        <v/>
      </c>
      <c r="E209" s="14" t="str">
        <f t="shared" si="3"/>
        <v/>
      </c>
      <c r="F209" s="7" t="str">
        <f>IF($A209&lt;&gt;"",MAXIFS(Token!$C:$C,Token!$A:$A,$D209),)</f>
        <v/>
      </c>
    </row>
    <row r="210">
      <c r="A210" s="39" t="str">
        <f>IF(AND($L210*1&gt;=$G$3,$L210*1&lt;=$G$4,$I210*$J210&gt;0,OR($I210&lt;&gt;$I211,$L210-$L211&gt;25),IF(ABS($I210)&gt;10,$I210/POW(10,$J210),$J210/POW(10,$I210))*MAXIFS(Token!$C:$C,Token!$A:$A,$K210)&gt;0.01),$L210/86400+DATE(1970,1,1)+$G$6,)</f>
        <v/>
      </c>
      <c r="B210" s="27" t="str">
        <f t="shared" si="1"/>
        <v/>
      </c>
      <c r="C210" s="14" t="str">
        <f>IF($A210&lt;&gt;"",MINIFS(Merchant!$A:$A,Merchant!$B:$B,$G$2),)</f>
        <v/>
      </c>
      <c r="D210" s="14" t="str">
        <f t="shared" si="2"/>
        <v/>
      </c>
      <c r="E210" s="14" t="str">
        <f t="shared" si="3"/>
        <v/>
      </c>
      <c r="F210" s="7" t="str">
        <f>IF($A210&lt;&gt;"",MAXIFS(Token!$C:$C,Token!$A:$A,$D210),)</f>
        <v/>
      </c>
    </row>
    <row r="211">
      <c r="A211" s="39" t="str">
        <f>IF(AND($L211*1&gt;=$G$3,$L211*1&lt;=$G$4,$I211*$J211&gt;0,OR($I211&lt;&gt;$I212,$L211-$L212&gt;25),IF(ABS($I211)&gt;10,$I211/POW(10,$J211),$J211/POW(10,$I211))*MAXIFS(Token!$C:$C,Token!$A:$A,$K211)&gt;0.01),$L211/86400+DATE(1970,1,1)+$G$6,)</f>
        <v/>
      </c>
      <c r="B211" s="27" t="str">
        <f t="shared" si="1"/>
        <v/>
      </c>
      <c r="C211" s="14" t="str">
        <f>IF($A211&lt;&gt;"",MINIFS(Merchant!$A:$A,Merchant!$B:$B,$G$2),)</f>
        <v/>
      </c>
      <c r="D211" s="14" t="str">
        <f t="shared" si="2"/>
        <v/>
      </c>
      <c r="E211" s="14" t="str">
        <f t="shared" si="3"/>
        <v/>
      </c>
      <c r="F211" s="7" t="str">
        <f>IF($A211&lt;&gt;"",MAXIFS(Token!$C:$C,Token!$A:$A,$D211),)</f>
        <v/>
      </c>
    </row>
    <row r="212">
      <c r="A212" s="39" t="str">
        <f>IF(AND($L212*1&gt;=$G$3,$L212*1&lt;=$G$4,$I212*$J212&gt;0,OR($I212&lt;&gt;$I213,$L212-$L213&gt;25),IF(ABS($I212)&gt;10,$I212/POW(10,$J212),$J212/POW(10,$I212))*MAXIFS(Token!$C:$C,Token!$A:$A,$K212)&gt;0.01),$L212/86400+DATE(1970,1,1)+$G$6,)</f>
        <v/>
      </c>
      <c r="B212" s="27" t="str">
        <f t="shared" si="1"/>
        <v/>
      </c>
      <c r="C212" s="14" t="str">
        <f>IF($A212&lt;&gt;"",MINIFS(Merchant!$A:$A,Merchant!$B:$B,$G$2),)</f>
        <v/>
      </c>
      <c r="D212" s="14" t="str">
        <f t="shared" si="2"/>
        <v/>
      </c>
      <c r="E212" s="14" t="str">
        <f t="shared" si="3"/>
        <v/>
      </c>
      <c r="F212" s="7" t="str">
        <f>IF($A212&lt;&gt;"",MAXIFS(Token!$C:$C,Token!$A:$A,$D212),)</f>
        <v/>
      </c>
    </row>
    <row r="213">
      <c r="A213" s="39" t="str">
        <f>IF(AND($L213*1&gt;=$G$3,$L213*1&lt;=$G$4,$I213*$J213&gt;0,OR($I213&lt;&gt;$I214,$L213-$L214&gt;25),IF(ABS($I213)&gt;10,$I213/POW(10,$J213),$J213/POW(10,$I213))*MAXIFS(Token!$C:$C,Token!$A:$A,$K213)&gt;0.01),$L213/86400+DATE(1970,1,1)+$G$6,)</f>
        <v/>
      </c>
      <c r="B213" s="27" t="str">
        <f t="shared" si="1"/>
        <v/>
      </c>
      <c r="C213" s="14" t="str">
        <f>IF($A213&lt;&gt;"",MINIFS(Merchant!$A:$A,Merchant!$B:$B,$G$2),)</f>
        <v/>
      </c>
      <c r="D213" s="14" t="str">
        <f t="shared" si="2"/>
        <v/>
      </c>
      <c r="E213" s="14" t="str">
        <f t="shared" si="3"/>
        <v/>
      </c>
      <c r="F213" s="7" t="str">
        <f>IF($A213&lt;&gt;"",MAXIFS(Token!$C:$C,Token!$A:$A,$D213),)</f>
        <v/>
      </c>
    </row>
    <row r="214">
      <c r="A214" s="39" t="str">
        <f>IF(AND($L214*1&gt;=$G$3,$L214*1&lt;=$G$4,$I214*$J214&gt;0,OR($I214&lt;&gt;$I215,$L214-$L215&gt;25),IF(ABS($I214)&gt;10,$I214/POW(10,$J214),$J214/POW(10,$I214))*MAXIFS(Token!$C:$C,Token!$A:$A,$K214)&gt;0.01),$L214/86400+DATE(1970,1,1)+$G$6,)</f>
        <v/>
      </c>
      <c r="B214" s="27" t="str">
        <f t="shared" si="1"/>
        <v/>
      </c>
      <c r="C214" s="14" t="str">
        <f>IF($A214&lt;&gt;"",MINIFS(Merchant!$A:$A,Merchant!$B:$B,$G$2),)</f>
        <v/>
      </c>
      <c r="D214" s="14" t="str">
        <f t="shared" si="2"/>
        <v/>
      </c>
      <c r="E214" s="14" t="str">
        <f t="shared" si="3"/>
        <v/>
      </c>
      <c r="F214" s="7" t="str">
        <f>IF($A214&lt;&gt;"",MAXIFS(Token!$C:$C,Token!$A:$A,$D214),)</f>
        <v/>
      </c>
    </row>
    <row r="215">
      <c r="A215" s="39" t="str">
        <f>IF(AND($L215*1&gt;=$G$3,$L215*1&lt;=$G$4,$I215*$J215&gt;0,OR($I215&lt;&gt;$I216,$L215-$L216&gt;25),IF(ABS($I215)&gt;10,$I215/POW(10,$J215),$J215/POW(10,$I215))*MAXIFS(Token!$C:$C,Token!$A:$A,$K215)&gt;0.01),$L215/86400+DATE(1970,1,1)+$G$6,)</f>
        <v/>
      </c>
      <c r="B215" s="27" t="str">
        <f t="shared" si="1"/>
        <v/>
      </c>
      <c r="C215" s="14" t="str">
        <f>IF($A215&lt;&gt;"",MINIFS(Merchant!$A:$A,Merchant!$B:$B,$G$2),)</f>
        <v/>
      </c>
      <c r="D215" s="14" t="str">
        <f t="shared" si="2"/>
        <v/>
      </c>
      <c r="E215" s="14" t="str">
        <f t="shared" si="3"/>
        <v/>
      </c>
      <c r="F215" s="7" t="str">
        <f>IF($A215&lt;&gt;"",MAXIFS(Token!$C:$C,Token!$A:$A,$D215),)</f>
        <v/>
      </c>
    </row>
    <row r="216">
      <c r="A216" s="39" t="str">
        <f>IF(AND($L216*1&gt;=$G$3,$L216*1&lt;=$G$4,$I216*$J216&gt;0,OR($I216&lt;&gt;$I217,$L216-$L217&gt;25),IF(ABS($I216)&gt;10,$I216/POW(10,$J216),$J216/POW(10,$I216))*MAXIFS(Token!$C:$C,Token!$A:$A,$K216)&gt;0.01),$L216/86400+DATE(1970,1,1)+$G$6,)</f>
        <v/>
      </c>
      <c r="B216" s="27" t="str">
        <f t="shared" si="1"/>
        <v/>
      </c>
      <c r="C216" s="14" t="str">
        <f>IF($A216&lt;&gt;"",MINIFS(Merchant!$A:$A,Merchant!$B:$B,$G$2),)</f>
        <v/>
      </c>
      <c r="D216" s="14" t="str">
        <f t="shared" si="2"/>
        <v/>
      </c>
      <c r="E216" s="14" t="str">
        <f t="shared" si="3"/>
        <v/>
      </c>
      <c r="F216" s="7" t="str">
        <f>IF($A216&lt;&gt;"",MAXIFS(Token!$C:$C,Token!$A:$A,$D216),)</f>
        <v/>
      </c>
    </row>
    <row r="217">
      <c r="A217" s="39" t="str">
        <f>IF(AND($L217*1&gt;=$G$3,$L217*1&lt;=$G$4,$I217*$J217&gt;0,OR($I217&lt;&gt;$I218,$L217-$L218&gt;25),IF(ABS($I217)&gt;10,$I217/POW(10,$J217),$J217/POW(10,$I217))*MAXIFS(Token!$C:$C,Token!$A:$A,$K217)&gt;0.01),$L217/86400+DATE(1970,1,1)+$G$6,)</f>
        <v/>
      </c>
      <c r="B217" s="27" t="str">
        <f t="shared" si="1"/>
        <v/>
      </c>
      <c r="C217" s="14" t="str">
        <f>IF($A217&lt;&gt;"",MINIFS(Merchant!$A:$A,Merchant!$B:$B,$G$2),)</f>
        <v/>
      </c>
      <c r="D217" s="14" t="str">
        <f t="shared" si="2"/>
        <v/>
      </c>
      <c r="E217" s="14" t="str">
        <f t="shared" si="3"/>
        <v/>
      </c>
      <c r="F217" s="7" t="str">
        <f>IF($A217&lt;&gt;"",MAXIFS(Token!$C:$C,Token!$A:$A,$D217),)</f>
        <v/>
      </c>
    </row>
    <row r="218">
      <c r="A218" s="39" t="str">
        <f>IF(AND($L218*1&gt;=$G$3,$L218*1&lt;=$G$4,$I218*$J218&gt;0,OR($I218&lt;&gt;$I219,$L218-$L219&gt;25),IF(ABS($I218)&gt;10,$I218/POW(10,$J218),$J218/POW(10,$I218))*MAXIFS(Token!$C:$C,Token!$A:$A,$K218)&gt;0.01),$L218/86400+DATE(1970,1,1)+$G$6,)</f>
        <v/>
      </c>
      <c r="B218" s="27" t="str">
        <f t="shared" si="1"/>
        <v/>
      </c>
      <c r="C218" s="14" t="str">
        <f>IF($A218&lt;&gt;"",MINIFS(Merchant!$A:$A,Merchant!$B:$B,$G$2),)</f>
        <v/>
      </c>
      <c r="D218" s="14" t="str">
        <f t="shared" si="2"/>
        <v/>
      </c>
      <c r="E218" s="14" t="str">
        <f t="shared" si="3"/>
        <v/>
      </c>
      <c r="F218" s="7" t="str">
        <f>IF($A218&lt;&gt;"",MAXIFS(Token!$C:$C,Token!$A:$A,$D218),)</f>
        <v/>
      </c>
    </row>
    <row r="219">
      <c r="A219" s="39" t="str">
        <f>IF(AND($L219*1&gt;=$G$3,$L219*1&lt;=$G$4,$I219*$J219&gt;0,OR($I219&lt;&gt;$I220,$L219-$L220&gt;25),IF(ABS($I219)&gt;10,$I219/POW(10,$J219),$J219/POW(10,$I219))*MAXIFS(Token!$C:$C,Token!$A:$A,$K219)&gt;0.01),$L219/86400+DATE(1970,1,1)+$G$6,)</f>
        <v/>
      </c>
      <c r="B219" s="27" t="str">
        <f t="shared" si="1"/>
        <v/>
      </c>
      <c r="C219" s="14" t="str">
        <f>IF($A219&lt;&gt;"",MINIFS(Merchant!$A:$A,Merchant!$B:$B,$G$2),)</f>
        <v/>
      </c>
      <c r="D219" s="14" t="str">
        <f t="shared" si="2"/>
        <v/>
      </c>
      <c r="E219" s="14" t="str">
        <f t="shared" si="3"/>
        <v/>
      </c>
      <c r="F219" s="7" t="str">
        <f>IF($A219&lt;&gt;"",MAXIFS(Token!$C:$C,Token!$A:$A,$D219),)</f>
        <v/>
      </c>
    </row>
    <row r="220">
      <c r="A220" s="39" t="str">
        <f>IF(AND($L220*1&gt;=$G$3,$L220*1&lt;=$G$4,$I220*$J220&gt;0,OR($I220&lt;&gt;$I221,$L220-$L221&gt;25),IF(ABS($I220)&gt;10,$I220/POW(10,$J220),$J220/POW(10,$I220))*MAXIFS(Token!$C:$C,Token!$A:$A,$K220)&gt;0.01),$L220/86400+DATE(1970,1,1)+$G$6,)</f>
        <v/>
      </c>
      <c r="B220" s="27" t="str">
        <f t="shared" si="1"/>
        <v/>
      </c>
      <c r="C220" s="14" t="str">
        <f>IF($A220&lt;&gt;"",MINIFS(Merchant!$A:$A,Merchant!$B:$B,$G$2),)</f>
        <v/>
      </c>
      <c r="D220" s="14" t="str">
        <f t="shared" si="2"/>
        <v/>
      </c>
      <c r="E220" s="14" t="str">
        <f t="shared" si="3"/>
        <v/>
      </c>
      <c r="F220" s="7" t="str">
        <f>IF($A220&lt;&gt;"",MAXIFS(Token!$C:$C,Token!$A:$A,$D220),)</f>
        <v/>
      </c>
    </row>
    <row r="221">
      <c r="A221" s="39" t="str">
        <f>IF(AND($L221*1&gt;=$G$3,$L221*1&lt;=$G$4,$I221*$J221&gt;0,OR($I221&lt;&gt;$I222,$L221-$L222&gt;25),IF(ABS($I221)&gt;10,$I221/POW(10,$J221),$J221/POW(10,$I221))*MAXIFS(Token!$C:$C,Token!$A:$A,$K221)&gt;0.01),$L221/86400+DATE(1970,1,1)+$G$6,)</f>
        <v/>
      </c>
      <c r="B221" s="27" t="str">
        <f t="shared" si="1"/>
        <v/>
      </c>
      <c r="C221" s="14" t="str">
        <f>IF($A221&lt;&gt;"",MINIFS(Merchant!$A:$A,Merchant!$B:$B,$G$2),)</f>
        <v/>
      </c>
      <c r="D221" s="14" t="str">
        <f t="shared" si="2"/>
        <v/>
      </c>
      <c r="E221" s="14" t="str">
        <f t="shared" si="3"/>
        <v/>
      </c>
      <c r="F221" s="7" t="str">
        <f>IF($A221&lt;&gt;"",MAXIFS(Token!$C:$C,Token!$A:$A,$D221),)</f>
        <v/>
      </c>
    </row>
    <row r="222">
      <c r="A222" s="39" t="str">
        <f>IF(AND($L222*1&gt;=$G$3,$L222*1&lt;=$G$4,$I222*$J222&gt;0,OR($I222&lt;&gt;$I223,$L222-$L223&gt;25),IF(ABS($I222)&gt;10,$I222/POW(10,$J222),$J222/POW(10,$I222))*MAXIFS(Token!$C:$C,Token!$A:$A,$K222)&gt;0.01),$L222/86400+DATE(1970,1,1)+$G$6,)</f>
        <v/>
      </c>
      <c r="B222" s="27" t="str">
        <f t="shared" si="1"/>
        <v/>
      </c>
      <c r="C222" s="14" t="str">
        <f>IF($A222&lt;&gt;"",MINIFS(Merchant!$A:$A,Merchant!$B:$B,$G$2),)</f>
        <v/>
      </c>
      <c r="D222" s="14" t="str">
        <f t="shared" si="2"/>
        <v/>
      </c>
      <c r="E222" s="14" t="str">
        <f t="shared" si="3"/>
        <v/>
      </c>
      <c r="F222" s="7" t="str">
        <f>IF($A222&lt;&gt;"",MAXIFS(Token!$C:$C,Token!$A:$A,$D222),)</f>
        <v/>
      </c>
    </row>
    <row r="223">
      <c r="A223" s="39" t="str">
        <f>IF(AND($L223*1&gt;=$G$3,$L223*1&lt;=$G$4,$I223*$J223&gt;0,OR($I223&lt;&gt;$I224,$L223-$L224&gt;25),IF(ABS($I223)&gt;10,$I223/POW(10,$J223),$J223/POW(10,$I223))*MAXIFS(Token!$C:$C,Token!$A:$A,$K223)&gt;0.01),$L223/86400+DATE(1970,1,1)+$G$6,)</f>
        <v/>
      </c>
      <c r="B223" s="27" t="str">
        <f t="shared" si="1"/>
        <v/>
      </c>
      <c r="C223" s="14" t="str">
        <f>IF($A223&lt;&gt;"",MINIFS(Merchant!$A:$A,Merchant!$B:$B,$G$2),)</f>
        <v/>
      </c>
      <c r="D223" s="14" t="str">
        <f t="shared" si="2"/>
        <v/>
      </c>
      <c r="E223" s="14" t="str">
        <f t="shared" si="3"/>
        <v/>
      </c>
      <c r="F223" s="7" t="str">
        <f>IF($A223&lt;&gt;"",MAXIFS(Token!$C:$C,Token!$A:$A,$D223),)</f>
        <v/>
      </c>
    </row>
    <row r="224">
      <c r="A224" s="39" t="str">
        <f>IF(AND($L224*1&gt;=$G$3,$L224*1&lt;=$G$4,$I224*$J224&gt;0,OR($I224&lt;&gt;$I225,$L224-$L225&gt;25),IF(ABS($I224)&gt;10,$I224/POW(10,$J224),$J224/POW(10,$I224))*MAXIFS(Token!$C:$C,Token!$A:$A,$K224)&gt;0.01),$L224/86400+DATE(1970,1,1)+$G$6,)</f>
        <v/>
      </c>
      <c r="B224" s="27" t="str">
        <f t="shared" si="1"/>
        <v/>
      </c>
      <c r="C224" s="14" t="str">
        <f>IF($A224&lt;&gt;"",MINIFS(Merchant!$A:$A,Merchant!$B:$B,$G$2),)</f>
        <v/>
      </c>
      <c r="D224" s="14" t="str">
        <f t="shared" si="2"/>
        <v/>
      </c>
      <c r="E224" s="14" t="str">
        <f t="shared" si="3"/>
        <v/>
      </c>
      <c r="F224" s="7" t="str">
        <f>IF($A224&lt;&gt;"",MAXIFS(Token!$C:$C,Token!$A:$A,$D224),)</f>
        <v/>
      </c>
    </row>
    <row r="225">
      <c r="A225" s="39" t="str">
        <f>IF(AND($L225*1&gt;=$G$3,$L225*1&lt;=$G$4,$I225*$J225&gt;0,OR($I225&lt;&gt;$I226,$L225-$L226&gt;25),IF(ABS($I225)&gt;10,$I225/POW(10,$J225),$J225/POW(10,$I225))*MAXIFS(Token!$C:$C,Token!$A:$A,$K225)&gt;0.01),$L225/86400+DATE(1970,1,1)+$G$6,)</f>
        <v/>
      </c>
      <c r="B225" s="27" t="str">
        <f t="shared" si="1"/>
        <v/>
      </c>
      <c r="C225" s="14" t="str">
        <f>IF($A225&lt;&gt;"",MINIFS(Merchant!$A:$A,Merchant!$B:$B,$G$2),)</f>
        <v/>
      </c>
      <c r="D225" s="14" t="str">
        <f t="shared" si="2"/>
        <v/>
      </c>
      <c r="E225" s="14" t="str">
        <f t="shared" si="3"/>
        <v/>
      </c>
      <c r="F225" s="7" t="str">
        <f>IF($A225&lt;&gt;"",MAXIFS(Token!$C:$C,Token!$A:$A,$D225),)</f>
        <v/>
      </c>
    </row>
    <row r="226">
      <c r="A226" s="39" t="str">
        <f>IF(AND($L226*1&gt;=$G$3,$L226*1&lt;=$G$4,$I226*$J226&gt;0,OR($I226&lt;&gt;$I227,$L226-$L227&gt;25),IF(ABS($I226)&gt;10,$I226/POW(10,$J226),$J226/POW(10,$I226))*MAXIFS(Token!$C:$C,Token!$A:$A,$K226)&gt;0.01),$L226/86400+DATE(1970,1,1)+$G$6,)</f>
        <v/>
      </c>
      <c r="B226" s="27" t="str">
        <f t="shared" si="1"/>
        <v/>
      </c>
      <c r="C226" s="14" t="str">
        <f>IF($A226&lt;&gt;"",MINIFS(Merchant!$A:$A,Merchant!$B:$B,$G$2),)</f>
        <v/>
      </c>
      <c r="D226" s="14" t="str">
        <f t="shared" si="2"/>
        <v/>
      </c>
      <c r="E226" s="14" t="str">
        <f t="shared" si="3"/>
        <v/>
      </c>
      <c r="F226" s="7" t="str">
        <f>IF($A226&lt;&gt;"",MAXIFS(Token!$C:$C,Token!$A:$A,$D226),)</f>
        <v/>
      </c>
    </row>
    <row r="227">
      <c r="A227" s="39" t="str">
        <f>IF(AND($L227*1&gt;=$G$3,$L227*1&lt;=$G$4,$I227*$J227&gt;0,OR($I227&lt;&gt;$I228,$L227-$L228&gt;25),IF(ABS($I227)&gt;10,$I227/POW(10,$J227),$J227/POW(10,$I227))*MAXIFS(Token!$C:$C,Token!$A:$A,$K227)&gt;0.01),$L227/86400+DATE(1970,1,1)+$G$6,)</f>
        <v/>
      </c>
      <c r="B227" s="27" t="str">
        <f t="shared" si="1"/>
        <v/>
      </c>
      <c r="C227" s="14" t="str">
        <f>IF($A227&lt;&gt;"",MINIFS(Merchant!$A:$A,Merchant!$B:$B,$G$2),)</f>
        <v/>
      </c>
      <c r="D227" s="14" t="str">
        <f t="shared" si="2"/>
        <v/>
      </c>
      <c r="E227" s="14" t="str">
        <f t="shared" si="3"/>
        <v/>
      </c>
      <c r="F227" s="7" t="str">
        <f>IF($A227&lt;&gt;"",MAXIFS(Token!$C:$C,Token!$A:$A,$D227),)</f>
        <v/>
      </c>
    </row>
    <row r="228">
      <c r="A228" s="39" t="str">
        <f>IF(AND($L228*1&gt;=$G$3,$L228*1&lt;=$G$4,$I228*$J228&gt;0,OR($I228&lt;&gt;$I229,$L228-$L229&gt;25),IF(ABS($I228)&gt;10,$I228/POW(10,$J228),$J228/POW(10,$I228))*MAXIFS(Token!$C:$C,Token!$A:$A,$K228)&gt;0.01),$L228/86400+DATE(1970,1,1)+$G$6,)</f>
        <v/>
      </c>
      <c r="B228" s="27" t="str">
        <f t="shared" si="1"/>
        <v/>
      </c>
      <c r="C228" s="14" t="str">
        <f>IF($A228&lt;&gt;"",MINIFS(Merchant!$A:$A,Merchant!$B:$B,$G$2),)</f>
        <v/>
      </c>
      <c r="D228" s="14" t="str">
        <f t="shared" si="2"/>
        <v/>
      </c>
      <c r="E228" s="14" t="str">
        <f t="shared" si="3"/>
        <v/>
      </c>
      <c r="F228" s="7" t="str">
        <f>IF($A228&lt;&gt;"",MAXIFS(Token!$C:$C,Token!$A:$A,$D228),)</f>
        <v/>
      </c>
    </row>
    <row r="229">
      <c r="A229" s="39" t="str">
        <f>IF(AND($L229*1&gt;=$G$3,$L229*1&lt;=$G$4,$I229*$J229&gt;0,OR($I229&lt;&gt;$I230,$L229-$L230&gt;25),IF(ABS($I229)&gt;10,$I229/POW(10,$J229),$J229/POW(10,$I229))*MAXIFS(Token!$C:$C,Token!$A:$A,$K229)&gt;0.01),$L229/86400+DATE(1970,1,1)+$G$6,)</f>
        <v/>
      </c>
      <c r="B229" s="27" t="str">
        <f t="shared" si="1"/>
        <v/>
      </c>
      <c r="C229" s="14" t="str">
        <f>IF($A229&lt;&gt;"",MINIFS(Merchant!$A:$A,Merchant!$B:$B,$G$2),)</f>
        <v/>
      </c>
      <c r="D229" s="14" t="str">
        <f t="shared" si="2"/>
        <v/>
      </c>
      <c r="E229" s="14" t="str">
        <f t="shared" si="3"/>
        <v/>
      </c>
      <c r="F229" s="7" t="str">
        <f>IF($A229&lt;&gt;"",MAXIFS(Token!$C:$C,Token!$A:$A,$D229),)</f>
        <v/>
      </c>
    </row>
    <row r="230">
      <c r="A230" s="39" t="str">
        <f>IF(AND($L230*1&gt;=$G$3,$L230*1&lt;=$G$4,$I230*$J230&gt;0,OR($I230&lt;&gt;$I231,$L230-$L231&gt;25),IF(ABS($I230)&gt;10,$I230/POW(10,$J230),$J230/POW(10,$I230))*MAXIFS(Token!$C:$C,Token!$A:$A,$K230)&gt;0.01),$L230/86400+DATE(1970,1,1)+$G$6,)</f>
        <v/>
      </c>
      <c r="B230" s="27" t="str">
        <f t="shared" si="1"/>
        <v/>
      </c>
      <c r="C230" s="14" t="str">
        <f>IF($A230&lt;&gt;"",MINIFS(Merchant!$A:$A,Merchant!$B:$B,$G$2),)</f>
        <v/>
      </c>
      <c r="D230" s="14" t="str">
        <f t="shared" si="2"/>
        <v/>
      </c>
      <c r="E230" s="14" t="str">
        <f t="shared" si="3"/>
        <v/>
      </c>
      <c r="F230" s="7" t="str">
        <f>IF($A230&lt;&gt;"",MAXIFS(Token!$C:$C,Token!$A:$A,$D230),)</f>
        <v/>
      </c>
    </row>
    <row r="231">
      <c r="A231" s="39" t="str">
        <f>IF(AND($L231*1&gt;=$G$3,$L231*1&lt;=$G$4,$I231*$J231&gt;0,OR($I231&lt;&gt;$I232,$L231-$L232&gt;25),IF(ABS($I231)&gt;10,$I231/POW(10,$J231),$J231/POW(10,$I231))*MAXIFS(Token!$C:$C,Token!$A:$A,$K231)&gt;0.01),$L231/86400+DATE(1970,1,1)+$G$6,)</f>
        <v/>
      </c>
      <c r="B231" s="27" t="str">
        <f t="shared" si="1"/>
        <v/>
      </c>
      <c r="C231" s="14" t="str">
        <f>IF($A231&lt;&gt;"",MINIFS(Merchant!$A:$A,Merchant!$B:$B,$G$2),)</f>
        <v/>
      </c>
      <c r="D231" s="14" t="str">
        <f t="shared" si="2"/>
        <v/>
      </c>
      <c r="E231" s="14" t="str">
        <f t="shared" si="3"/>
        <v/>
      </c>
      <c r="F231" s="7" t="str">
        <f>IF($A231&lt;&gt;"",MAXIFS(Token!$C:$C,Token!$A:$A,$D231),)</f>
        <v/>
      </c>
    </row>
    <row r="232">
      <c r="A232" s="39" t="str">
        <f>IF(AND($L232*1&gt;=$G$3,$L232*1&lt;=$G$4,$I232*$J232&gt;0,OR($I232&lt;&gt;$I233,$L232-$L233&gt;25),IF(ABS($I232)&gt;10,$I232/POW(10,$J232),$J232/POW(10,$I232))*MAXIFS(Token!$C:$C,Token!$A:$A,$K232)&gt;0.01),$L232/86400+DATE(1970,1,1)+$G$6,)</f>
        <v/>
      </c>
      <c r="B232" s="27" t="str">
        <f t="shared" si="1"/>
        <v/>
      </c>
      <c r="C232" s="14" t="str">
        <f>IF($A232&lt;&gt;"",MINIFS(Merchant!$A:$A,Merchant!$B:$B,$G$2),)</f>
        <v/>
      </c>
      <c r="D232" s="14" t="str">
        <f t="shared" si="2"/>
        <v/>
      </c>
      <c r="E232" s="14" t="str">
        <f t="shared" si="3"/>
        <v/>
      </c>
      <c r="F232" s="7" t="str">
        <f>IF($A232&lt;&gt;"",MAXIFS(Token!$C:$C,Token!$A:$A,$D232),)</f>
        <v/>
      </c>
    </row>
    <row r="233">
      <c r="A233" s="39" t="str">
        <f>IF(AND($L233*1&gt;=$G$3,$L233*1&lt;=$G$4,$I233*$J233&gt;0,OR($I233&lt;&gt;$I234,$L233-$L234&gt;25),IF(ABS($I233)&gt;10,$I233/POW(10,$J233),$J233/POW(10,$I233))*MAXIFS(Token!$C:$C,Token!$A:$A,$K233)&gt;0.01),$L233/86400+DATE(1970,1,1)+$G$6,)</f>
        <v/>
      </c>
      <c r="B233" s="27" t="str">
        <f t="shared" si="1"/>
        <v/>
      </c>
      <c r="C233" s="14" t="str">
        <f>IF($A233&lt;&gt;"",MINIFS(Merchant!$A:$A,Merchant!$B:$B,$G$2),)</f>
        <v/>
      </c>
      <c r="D233" s="14" t="str">
        <f t="shared" si="2"/>
        <v/>
      </c>
      <c r="E233" s="14" t="str">
        <f t="shared" si="3"/>
        <v/>
      </c>
      <c r="F233" s="7" t="str">
        <f>IF($A233&lt;&gt;"",MAXIFS(Token!$C:$C,Token!$A:$A,$D233),)</f>
        <v/>
      </c>
    </row>
    <row r="234">
      <c r="A234" s="39" t="str">
        <f>IF(AND($L234*1&gt;=$G$3,$L234*1&lt;=$G$4,$I234*$J234&gt;0,OR($I234&lt;&gt;$I235,$L234-$L235&gt;25),IF(ABS($I234)&gt;10,$I234/POW(10,$J234),$J234/POW(10,$I234))*MAXIFS(Token!$C:$C,Token!$A:$A,$K234)&gt;0.01),$L234/86400+DATE(1970,1,1)+$G$6,)</f>
        <v/>
      </c>
      <c r="B234" s="27" t="str">
        <f t="shared" si="1"/>
        <v/>
      </c>
      <c r="C234" s="14" t="str">
        <f>IF($A234&lt;&gt;"",MINIFS(Merchant!$A:$A,Merchant!$B:$B,$G$2),)</f>
        <v/>
      </c>
      <c r="D234" s="14" t="str">
        <f t="shared" si="2"/>
        <v/>
      </c>
      <c r="E234" s="14" t="str">
        <f t="shared" si="3"/>
        <v/>
      </c>
      <c r="F234" s="7" t="str">
        <f>IF($A234&lt;&gt;"",MAXIFS(Token!$C:$C,Token!$A:$A,$D234),)</f>
        <v/>
      </c>
    </row>
    <row r="235">
      <c r="A235" s="39" t="str">
        <f>IF(AND($L235*1&gt;=$G$3,$L235*1&lt;=$G$4,$I235*$J235&gt;0,OR($I235&lt;&gt;$I236,$L235-$L236&gt;25),IF(ABS($I235)&gt;10,$I235/POW(10,$J235),$J235/POW(10,$I235))*MAXIFS(Token!$C:$C,Token!$A:$A,$K235)&gt;0.01),$L235/86400+DATE(1970,1,1)+$G$6,)</f>
        <v/>
      </c>
      <c r="B235" s="27" t="str">
        <f t="shared" si="1"/>
        <v/>
      </c>
      <c r="C235" s="14" t="str">
        <f>IF($A235&lt;&gt;"",MINIFS(Merchant!$A:$A,Merchant!$B:$B,$G$2),)</f>
        <v/>
      </c>
      <c r="D235" s="14" t="str">
        <f t="shared" si="2"/>
        <v/>
      </c>
      <c r="E235" s="14" t="str">
        <f t="shared" si="3"/>
        <v/>
      </c>
      <c r="F235" s="7" t="str">
        <f>IF($A235&lt;&gt;"",MAXIFS(Token!$C:$C,Token!$A:$A,$D235),)</f>
        <v/>
      </c>
    </row>
    <row r="236">
      <c r="A236" s="39" t="str">
        <f>IF(AND($L236*1&gt;=$G$3,$L236*1&lt;=$G$4,$I236*$J236&gt;0,OR($I236&lt;&gt;$I237,$L236-$L237&gt;25),IF(ABS($I236)&gt;10,$I236/POW(10,$J236),$J236/POW(10,$I236))*MAXIFS(Token!$C:$C,Token!$A:$A,$K236)&gt;0.01),$L236/86400+DATE(1970,1,1)+$G$6,)</f>
        <v/>
      </c>
      <c r="B236" s="27" t="str">
        <f t="shared" si="1"/>
        <v/>
      </c>
      <c r="C236" s="14" t="str">
        <f>IF($A236&lt;&gt;"",MINIFS(Merchant!$A:$A,Merchant!$B:$B,$G$2),)</f>
        <v/>
      </c>
      <c r="D236" s="14" t="str">
        <f t="shared" si="2"/>
        <v/>
      </c>
      <c r="E236" s="14" t="str">
        <f t="shared" si="3"/>
        <v/>
      </c>
      <c r="F236" s="7" t="str">
        <f>IF($A236&lt;&gt;"",MAXIFS(Token!$C:$C,Token!$A:$A,$D236),)</f>
        <v/>
      </c>
    </row>
    <row r="237">
      <c r="A237" s="39" t="str">
        <f>IF(AND($L237*1&gt;=$G$3,$L237*1&lt;=$G$4,$I237*$J237&gt;0,OR($I237&lt;&gt;$I238,$L237-$L238&gt;25),IF(ABS($I237)&gt;10,$I237/POW(10,$J237),$J237/POW(10,$I237))*MAXIFS(Token!$C:$C,Token!$A:$A,$K237)&gt;0.01),$L237/86400+DATE(1970,1,1)+$G$6,)</f>
        <v/>
      </c>
      <c r="B237" s="27" t="str">
        <f t="shared" si="1"/>
        <v/>
      </c>
      <c r="C237" s="14" t="str">
        <f>IF($A237&lt;&gt;"",MINIFS(Merchant!$A:$A,Merchant!$B:$B,$G$2),)</f>
        <v/>
      </c>
      <c r="D237" s="14" t="str">
        <f t="shared" si="2"/>
        <v/>
      </c>
      <c r="E237" s="14" t="str">
        <f t="shared" si="3"/>
        <v/>
      </c>
      <c r="F237" s="7" t="str">
        <f>IF($A237&lt;&gt;"",MAXIFS(Token!$C:$C,Token!$A:$A,$D237),)</f>
        <v/>
      </c>
    </row>
    <row r="238">
      <c r="A238" s="39" t="str">
        <f>IF(AND($L238*1&gt;=$G$3,$L238*1&lt;=$G$4,$I238*$J238&gt;0,OR($I238&lt;&gt;$I239,$L238-$L239&gt;25),IF(ABS($I238)&gt;10,$I238/POW(10,$J238),$J238/POW(10,$I238))*MAXIFS(Token!$C:$C,Token!$A:$A,$K238)&gt;0.01),$L238/86400+DATE(1970,1,1)+$G$6,)</f>
        <v/>
      </c>
      <c r="B238" s="27" t="str">
        <f t="shared" si="1"/>
        <v/>
      </c>
      <c r="C238" s="14" t="str">
        <f>IF($A238&lt;&gt;"",MINIFS(Merchant!$A:$A,Merchant!$B:$B,$G$2),)</f>
        <v/>
      </c>
      <c r="D238" s="14" t="str">
        <f t="shared" si="2"/>
        <v/>
      </c>
      <c r="E238" s="14" t="str">
        <f t="shared" si="3"/>
        <v/>
      </c>
      <c r="F238" s="7" t="str">
        <f>IF($A238&lt;&gt;"",MAXIFS(Token!$C:$C,Token!$A:$A,$D238),)</f>
        <v/>
      </c>
    </row>
    <row r="239">
      <c r="A239" s="39" t="str">
        <f>IF(AND($L239*1&gt;=$G$3,$L239*1&lt;=$G$4,$I239*$J239&gt;0,OR($I239&lt;&gt;$I240,$L239-$L240&gt;25),IF(ABS($I239)&gt;10,$I239/POW(10,$J239),$J239/POW(10,$I239))*MAXIFS(Token!$C:$C,Token!$A:$A,$K239)&gt;0.01),$L239/86400+DATE(1970,1,1)+$G$6,)</f>
        <v/>
      </c>
      <c r="B239" s="27" t="str">
        <f t="shared" si="1"/>
        <v/>
      </c>
      <c r="C239" s="14" t="str">
        <f>IF($A239&lt;&gt;"",MINIFS(Merchant!$A:$A,Merchant!$B:$B,$G$2),)</f>
        <v/>
      </c>
      <c r="D239" s="14" t="str">
        <f t="shared" si="2"/>
        <v/>
      </c>
      <c r="E239" s="14" t="str">
        <f t="shared" si="3"/>
        <v/>
      </c>
      <c r="F239" s="7" t="str">
        <f>IF($A239&lt;&gt;"",MAXIFS(Token!$C:$C,Token!$A:$A,$D239),)</f>
        <v/>
      </c>
    </row>
    <row r="240">
      <c r="A240" s="39" t="str">
        <f>IF(AND($L240*1&gt;=$G$3,$L240*1&lt;=$G$4,$I240*$J240&gt;0,OR($I240&lt;&gt;$I241,$L240-$L241&gt;25),IF(ABS($I240)&gt;10,$I240/POW(10,$J240),$J240/POW(10,$I240))*MAXIFS(Token!$C:$C,Token!$A:$A,$K240)&gt;0.01),$L240/86400+DATE(1970,1,1)+$G$6,)</f>
        <v/>
      </c>
      <c r="B240" s="27" t="str">
        <f t="shared" si="1"/>
        <v/>
      </c>
      <c r="C240" s="14" t="str">
        <f>IF($A240&lt;&gt;"",MINIFS(Merchant!$A:$A,Merchant!$B:$B,$G$2),)</f>
        <v/>
      </c>
      <c r="D240" s="14" t="str">
        <f t="shared" si="2"/>
        <v/>
      </c>
      <c r="E240" s="14" t="str">
        <f t="shared" si="3"/>
        <v/>
      </c>
      <c r="F240" s="7" t="str">
        <f>IF($A240&lt;&gt;"",MAXIFS(Token!$C:$C,Token!$A:$A,$D240),)</f>
        <v/>
      </c>
    </row>
    <row r="241">
      <c r="A241" s="39" t="str">
        <f>IF(AND($L241*1&gt;=$G$3,$L241*1&lt;=$G$4,$I241*$J241&gt;0,OR($I241&lt;&gt;$I242,$L241-$L242&gt;25),IF(ABS($I241)&gt;10,$I241/POW(10,$J241),$J241/POW(10,$I241))*MAXIFS(Token!$C:$C,Token!$A:$A,$K241)&gt;0.01),$L241/86400+DATE(1970,1,1)+$G$6,)</f>
        <v/>
      </c>
      <c r="B241" s="27" t="str">
        <f t="shared" si="1"/>
        <v/>
      </c>
      <c r="C241" s="14" t="str">
        <f>IF($A241&lt;&gt;"",MINIFS(Merchant!$A:$A,Merchant!$B:$B,$G$2),)</f>
        <v/>
      </c>
      <c r="D241" s="14" t="str">
        <f t="shared" si="2"/>
        <v/>
      </c>
      <c r="E241" s="14" t="str">
        <f t="shared" si="3"/>
        <v/>
      </c>
      <c r="F241" s="7" t="str">
        <f>IF($A241&lt;&gt;"",MAXIFS(Token!$C:$C,Token!$A:$A,$D241),)</f>
        <v/>
      </c>
    </row>
    <row r="242">
      <c r="A242" s="39" t="str">
        <f>IF(AND($L242*1&gt;=$G$3,$L242*1&lt;=$G$4,$I242*$J242&gt;0,OR($I242&lt;&gt;$I243,$L242-$L243&gt;25),IF(ABS($I242)&gt;10,$I242/POW(10,$J242),$J242/POW(10,$I242))*MAXIFS(Token!$C:$C,Token!$A:$A,$K242)&gt;0.01),$L242/86400+DATE(1970,1,1)+$G$6,)</f>
        <v/>
      </c>
      <c r="B242" s="27" t="str">
        <f t="shared" si="1"/>
        <v/>
      </c>
      <c r="C242" s="14" t="str">
        <f>IF($A242&lt;&gt;"",MINIFS(Merchant!$A:$A,Merchant!$B:$B,$G$2),)</f>
        <v/>
      </c>
      <c r="D242" s="14" t="str">
        <f t="shared" si="2"/>
        <v/>
      </c>
      <c r="E242" s="14" t="str">
        <f t="shared" si="3"/>
        <v/>
      </c>
      <c r="F242" s="7" t="str">
        <f>IF($A242&lt;&gt;"",MAXIFS(Token!$C:$C,Token!$A:$A,$D242),)</f>
        <v/>
      </c>
    </row>
    <row r="243">
      <c r="A243" s="39" t="str">
        <f>IF(AND($L243*1&gt;=$G$3,$L243*1&lt;=$G$4,$I243*$J243&gt;0,OR($I243&lt;&gt;$I244,$L243-$L244&gt;25),IF(ABS($I243)&gt;10,$I243/POW(10,$J243),$J243/POW(10,$I243))*MAXIFS(Token!$C:$C,Token!$A:$A,$K243)&gt;0.01),$L243/86400+DATE(1970,1,1)+$G$6,)</f>
        <v/>
      </c>
      <c r="B243" s="27" t="str">
        <f t="shared" si="1"/>
        <v/>
      </c>
      <c r="C243" s="14" t="str">
        <f>IF($A243&lt;&gt;"",MINIFS(Merchant!$A:$A,Merchant!$B:$B,$G$2),)</f>
        <v/>
      </c>
      <c r="D243" s="14" t="str">
        <f t="shared" si="2"/>
        <v/>
      </c>
      <c r="E243" s="14" t="str">
        <f t="shared" si="3"/>
        <v/>
      </c>
      <c r="F243" s="7" t="str">
        <f>IF($A243&lt;&gt;"",MAXIFS(Token!$C:$C,Token!$A:$A,$D243),)</f>
        <v/>
      </c>
    </row>
    <row r="244">
      <c r="A244" s="39" t="str">
        <f>IF(AND($L244*1&gt;=$G$3,$L244*1&lt;=$G$4,$I244*$J244&gt;0,OR($I244&lt;&gt;$I245,$L244-$L245&gt;25),IF(ABS($I244)&gt;10,$I244/POW(10,$J244),$J244/POW(10,$I244))*MAXIFS(Token!$C:$C,Token!$A:$A,$K244)&gt;0.01),$L244/86400+DATE(1970,1,1)+$G$6,)</f>
        <v/>
      </c>
      <c r="B244" s="27" t="str">
        <f t="shared" si="1"/>
        <v/>
      </c>
      <c r="C244" s="14" t="str">
        <f>IF($A244&lt;&gt;"",MINIFS(Merchant!$A:$A,Merchant!$B:$B,$G$2),)</f>
        <v/>
      </c>
      <c r="D244" s="14" t="str">
        <f t="shared" si="2"/>
        <v/>
      </c>
      <c r="E244" s="14" t="str">
        <f t="shared" si="3"/>
        <v/>
      </c>
      <c r="F244" s="7" t="str">
        <f>IF($A244&lt;&gt;"",MAXIFS(Token!$C:$C,Token!$A:$A,$D244),)</f>
        <v/>
      </c>
    </row>
    <row r="245">
      <c r="A245" s="39" t="str">
        <f>IF(AND($L245*1&gt;=$G$3,$L245*1&lt;=$G$4,$I245*$J245&gt;0,OR($I245&lt;&gt;$I246,$L245-$L246&gt;25),IF(ABS($I245)&gt;10,$I245/POW(10,$J245),$J245/POW(10,$I245))*MAXIFS(Token!$C:$C,Token!$A:$A,$K245)&gt;0.01),$L245/86400+DATE(1970,1,1)+$G$6,)</f>
        <v/>
      </c>
      <c r="B245" s="27" t="str">
        <f t="shared" si="1"/>
        <v/>
      </c>
      <c r="C245" s="14" t="str">
        <f>IF($A245&lt;&gt;"",MINIFS(Merchant!$A:$A,Merchant!$B:$B,$G$2),)</f>
        <v/>
      </c>
      <c r="D245" s="14" t="str">
        <f t="shared" si="2"/>
        <v/>
      </c>
      <c r="E245" s="14" t="str">
        <f t="shared" si="3"/>
        <v/>
      </c>
      <c r="F245" s="7" t="str">
        <f>IF($A245&lt;&gt;"",MAXIFS(Token!$C:$C,Token!$A:$A,$D245),)</f>
        <v/>
      </c>
    </row>
    <row r="246">
      <c r="A246" s="39" t="str">
        <f>IF(AND($L246*1&gt;=$G$3,$L246*1&lt;=$G$4,$I246*$J246&gt;0,OR($I246&lt;&gt;$I247,$L246-$L247&gt;25),IF(ABS($I246)&gt;10,$I246/POW(10,$J246),$J246/POW(10,$I246))*MAXIFS(Token!$C:$C,Token!$A:$A,$K246)&gt;0.01),$L246/86400+DATE(1970,1,1)+$G$6,)</f>
        <v/>
      </c>
      <c r="B246" s="27" t="str">
        <f t="shared" si="1"/>
        <v/>
      </c>
      <c r="C246" s="14" t="str">
        <f>IF($A246&lt;&gt;"",MINIFS(Merchant!$A:$A,Merchant!$B:$B,$G$2),)</f>
        <v/>
      </c>
      <c r="D246" s="14" t="str">
        <f t="shared" si="2"/>
        <v/>
      </c>
      <c r="E246" s="14" t="str">
        <f t="shared" si="3"/>
        <v/>
      </c>
      <c r="F246" s="7" t="str">
        <f>IF($A246&lt;&gt;"",MAXIFS(Token!$C:$C,Token!$A:$A,$D246),)</f>
        <v/>
      </c>
    </row>
    <row r="247">
      <c r="A247" s="39" t="str">
        <f>IF(AND($L247*1&gt;=$G$3,$L247*1&lt;=$G$4,$I247*$J247&gt;0,OR($I247&lt;&gt;$I248,$L247-$L248&gt;25),IF(ABS($I247)&gt;10,$I247/POW(10,$J247),$J247/POW(10,$I247))*MAXIFS(Token!$C:$C,Token!$A:$A,$K247)&gt;0.01),$L247/86400+DATE(1970,1,1)+$G$6,)</f>
        <v/>
      </c>
      <c r="B247" s="27" t="str">
        <f t="shared" si="1"/>
        <v/>
      </c>
      <c r="C247" s="14" t="str">
        <f>IF($A247&lt;&gt;"",MINIFS(Merchant!$A:$A,Merchant!$B:$B,$G$2),)</f>
        <v/>
      </c>
      <c r="D247" s="14" t="str">
        <f t="shared" si="2"/>
        <v/>
      </c>
      <c r="E247" s="14" t="str">
        <f t="shared" si="3"/>
        <v/>
      </c>
      <c r="F247" s="7" t="str">
        <f>IF($A247&lt;&gt;"",MAXIFS(Token!$C:$C,Token!$A:$A,$D247),)</f>
        <v/>
      </c>
    </row>
    <row r="248">
      <c r="A248" s="39" t="str">
        <f>IF(AND($L248*1&gt;=$G$3,$L248*1&lt;=$G$4,$I248*$J248&gt;0,OR($I248&lt;&gt;$I249,$L248-$L249&gt;25),IF(ABS($I248)&gt;10,$I248/POW(10,$J248),$J248/POW(10,$I248))*MAXIFS(Token!$C:$C,Token!$A:$A,$K248)&gt;0.01),$L248/86400+DATE(1970,1,1)+$G$6,)</f>
        <v/>
      </c>
      <c r="B248" s="27" t="str">
        <f t="shared" si="1"/>
        <v/>
      </c>
      <c r="C248" s="14" t="str">
        <f>IF($A248&lt;&gt;"",MINIFS(Merchant!$A:$A,Merchant!$B:$B,$G$2),)</f>
        <v/>
      </c>
      <c r="D248" s="14" t="str">
        <f t="shared" si="2"/>
        <v/>
      </c>
      <c r="E248" s="14" t="str">
        <f t="shared" si="3"/>
        <v/>
      </c>
      <c r="F248" s="7" t="str">
        <f>IF($A248&lt;&gt;"",MAXIFS(Token!$C:$C,Token!$A:$A,$D248),)</f>
        <v/>
      </c>
    </row>
    <row r="249">
      <c r="A249" s="39" t="str">
        <f>IF(AND($L249*1&gt;=$G$3,$L249*1&lt;=$G$4,$I249*$J249&gt;0,OR($I249&lt;&gt;$I250,$L249-$L250&gt;25),IF(ABS($I249)&gt;10,$I249/POW(10,$J249),$J249/POW(10,$I249))*MAXIFS(Token!$C:$C,Token!$A:$A,$K249)&gt;0.01),$L249/86400+DATE(1970,1,1)+$G$6,)</f>
        <v/>
      </c>
      <c r="B249" s="27" t="str">
        <f t="shared" si="1"/>
        <v/>
      </c>
      <c r="C249" s="14" t="str">
        <f>IF($A249&lt;&gt;"",MINIFS(Merchant!$A:$A,Merchant!$B:$B,$G$2),)</f>
        <v/>
      </c>
      <c r="D249" s="14" t="str">
        <f t="shared" si="2"/>
        <v/>
      </c>
      <c r="E249" s="14" t="str">
        <f t="shared" si="3"/>
        <v/>
      </c>
      <c r="F249" s="7" t="str">
        <f>IF($A249&lt;&gt;"",MAXIFS(Token!$C:$C,Token!$A:$A,$D249),)</f>
        <v/>
      </c>
    </row>
    <row r="250">
      <c r="A250" s="39" t="str">
        <f>IF(AND($L250*1&gt;=$G$3,$L250*1&lt;=$G$4,$I250*$J250&gt;0,OR($I250&lt;&gt;$I251,$L250-$L251&gt;25),IF(ABS($I250)&gt;10,$I250/POW(10,$J250),$J250/POW(10,$I250))*MAXIFS(Token!$C:$C,Token!$A:$A,$K250)&gt;0.01),$L250/86400+DATE(1970,1,1)+$G$6,)</f>
        <v/>
      </c>
      <c r="B250" s="27" t="str">
        <f t="shared" si="1"/>
        <v/>
      </c>
      <c r="C250" s="14" t="str">
        <f>IF($A250&lt;&gt;"",MINIFS(Merchant!$A:$A,Merchant!$B:$B,$G$2),)</f>
        <v/>
      </c>
      <c r="D250" s="14" t="str">
        <f t="shared" si="2"/>
        <v/>
      </c>
      <c r="E250" s="14" t="str">
        <f t="shared" si="3"/>
        <v/>
      </c>
      <c r="F250" s="7" t="str">
        <f>IF($A250&lt;&gt;"",MAXIFS(Token!$C:$C,Token!$A:$A,$D250),)</f>
        <v/>
      </c>
    </row>
    <row r="251">
      <c r="A251" s="39" t="str">
        <f>IF(AND($L251*1&gt;=$G$3,$L251*1&lt;=$G$4,$I251*$J251&gt;0,OR($I251&lt;&gt;$I252,$L251-$L252&gt;25),IF(ABS($I251)&gt;10,$I251/POW(10,$J251),$J251/POW(10,$I251))*MAXIFS(Token!$C:$C,Token!$A:$A,$K251)&gt;0.01),$L251/86400+DATE(1970,1,1)+$G$6,)</f>
        <v/>
      </c>
      <c r="B251" s="27" t="str">
        <f t="shared" si="1"/>
        <v/>
      </c>
      <c r="C251" s="14" t="str">
        <f>IF($A251&lt;&gt;"",MINIFS(Merchant!$A:$A,Merchant!$B:$B,$G$2),)</f>
        <v/>
      </c>
      <c r="D251" s="14" t="str">
        <f t="shared" si="2"/>
        <v/>
      </c>
      <c r="E251" s="14" t="str">
        <f t="shared" si="3"/>
        <v/>
      </c>
      <c r="F251" s="7" t="str">
        <f>IF($A251&lt;&gt;"",MAXIFS(Token!$C:$C,Token!$A:$A,$D251),)</f>
        <v/>
      </c>
    </row>
    <row r="252">
      <c r="A252" s="39" t="str">
        <f>IF(AND($L252*1&gt;=$G$3,$L252*1&lt;=$G$4,$I252*$J252&gt;0,OR($I252&lt;&gt;$I253,$L252-$L253&gt;25),IF(ABS($I252)&gt;10,$I252/POW(10,$J252),$J252/POW(10,$I252))*MAXIFS(Token!$C:$C,Token!$A:$A,$K252)&gt;0.01),$L252/86400+DATE(1970,1,1)+$G$6,)</f>
        <v/>
      </c>
      <c r="B252" s="27" t="str">
        <f t="shared" si="1"/>
        <v/>
      </c>
      <c r="C252" s="14" t="str">
        <f>IF($A252&lt;&gt;"",MINIFS(Merchant!$A:$A,Merchant!$B:$B,$G$2),)</f>
        <v/>
      </c>
      <c r="D252" s="14" t="str">
        <f t="shared" si="2"/>
        <v/>
      </c>
      <c r="E252" s="14" t="str">
        <f t="shared" si="3"/>
        <v/>
      </c>
      <c r="F252" s="7" t="str">
        <f>IF($A252&lt;&gt;"",MAXIFS(Token!$C:$C,Token!$A:$A,$D252),)</f>
        <v/>
      </c>
    </row>
    <row r="253">
      <c r="A253" s="39" t="str">
        <f>IF(AND($L253*1&gt;=$G$3,$L253*1&lt;=$G$4,$I253*$J253&gt;0,OR($I253&lt;&gt;$I254,$L253-$L254&gt;25),IF(ABS($I253)&gt;10,$I253/POW(10,$J253),$J253/POW(10,$I253))*MAXIFS(Token!$C:$C,Token!$A:$A,$K253)&gt;0.01),$L253/86400+DATE(1970,1,1)+$G$6,)</f>
        <v/>
      </c>
      <c r="B253" s="27" t="str">
        <f t="shared" si="1"/>
        <v/>
      </c>
      <c r="C253" s="14" t="str">
        <f>IF($A253&lt;&gt;"",MINIFS(Merchant!$A:$A,Merchant!$B:$B,$G$2),)</f>
        <v/>
      </c>
      <c r="D253" s="14" t="str">
        <f t="shared" si="2"/>
        <v/>
      </c>
      <c r="E253" s="14" t="str">
        <f t="shared" si="3"/>
        <v/>
      </c>
      <c r="F253" s="7" t="str">
        <f>IF($A253&lt;&gt;"",MAXIFS(Token!$C:$C,Token!$A:$A,$D253),)</f>
        <v/>
      </c>
    </row>
    <row r="254">
      <c r="A254" s="39" t="str">
        <f>IF(AND($L254*1&gt;=$G$3,$L254*1&lt;=$G$4,$I254*$J254&gt;0,OR($I254&lt;&gt;$I255,$L254-$L255&gt;25),IF(ABS($I254)&gt;10,$I254/POW(10,$J254),$J254/POW(10,$I254))*MAXIFS(Token!$C:$C,Token!$A:$A,$K254)&gt;0.01),$L254/86400+DATE(1970,1,1)+$G$6,)</f>
        <v/>
      </c>
      <c r="B254" s="27" t="str">
        <f t="shared" si="1"/>
        <v/>
      </c>
      <c r="C254" s="14" t="str">
        <f>IF($A254&lt;&gt;"",MINIFS(Merchant!$A:$A,Merchant!$B:$B,$G$2),)</f>
        <v/>
      </c>
      <c r="D254" s="14" t="str">
        <f t="shared" si="2"/>
        <v/>
      </c>
      <c r="E254" s="14" t="str">
        <f t="shared" si="3"/>
        <v/>
      </c>
      <c r="F254" s="7" t="str">
        <f>IF($A254&lt;&gt;"",MAXIFS(Token!$C:$C,Token!$A:$A,$D254),)</f>
        <v/>
      </c>
    </row>
    <row r="255">
      <c r="A255" s="39" t="str">
        <f>IF(AND($L255*1&gt;=$G$3,$L255*1&lt;=$G$4,$I255*$J255&gt;0,OR($I255&lt;&gt;$I256,$L255-$L256&gt;25),IF(ABS($I255)&gt;10,$I255/POW(10,$J255),$J255/POW(10,$I255))*MAXIFS(Token!$C:$C,Token!$A:$A,$K255)&gt;0.01),$L255/86400+DATE(1970,1,1)+$G$6,)</f>
        <v/>
      </c>
      <c r="B255" s="27" t="str">
        <f t="shared" si="1"/>
        <v/>
      </c>
      <c r="C255" s="14" t="str">
        <f>IF($A255&lt;&gt;"",MINIFS(Merchant!$A:$A,Merchant!$B:$B,$G$2),)</f>
        <v/>
      </c>
      <c r="D255" s="14" t="str">
        <f t="shared" si="2"/>
        <v/>
      </c>
      <c r="E255" s="14" t="str">
        <f t="shared" si="3"/>
        <v/>
      </c>
      <c r="F255" s="7" t="str">
        <f>IF($A255&lt;&gt;"",MAXIFS(Token!$C:$C,Token!$A:$A,$D255),)</f>
        <v/>
      </c>
    </row>
    <row r="256">
      <c r="A256" s="39" t="str">
        <f>IF(AND($L256*1&gt;=$G$3,$L256*1&lt;=$G$4,$I256*$J256&gt;0,OR($I256&lt;&gt;$I257,$L256-$L257&gt;25),IF(ABS($I256)&gt;10,$I256/POW(10,$J256),$J256/POW(10,$I256))*MAXIFS(Token!$C:$C,Token!$A:$A,$K256)&gt;0.01),$L256/86400+DATE(1970,1,1)+$G$6,)</f>
        <v/>
      </c>
      <c r="B256" s="27" t="str">
        <f t="shared" si="1"/>
        <v/>
      </c>
      <c r="C256" s="14" t="str">
        <f>IF($A256&lt;&gt;"",MINIFS(Merchant!$A:$A,Merchant!$B:$B,$G$2),)</f>
        <v/>
      </c>
      <c r="D256" s="14" t="str">
        <f t="shared" si="2"/>
        <v/>
      </c>
      <c r="E256" s="14" t="str">
        <f t="shared" si="3"/>
        <v/>
      </c>
      <c r="F256" s="7" t="str">
        <f>IF($A256&lt;&gt;"",MAXIFS(Token!$C:$C,Token!$A:$A,$D256),)</f>
        <v/>
      </c>
    </row>
    <row r="257">
      <c r="A257" s="39" t="str">
        <f>IF(AND($L257*1&gt;=$G$3,$L257*1&lt;=$G$4,$I257*$J257&gt;0,OR($I257&lt;&gt;$I258,$L257-$L258&gt;25),IF(ABS($I257)&gt;10,$I257/POW(10,$J257),$J257/POW(10,$I257))*MAXIFS(Token!$C:$C,Token!$A:$A,$K257)&gt;0.01),$L257/86400+DATE(1970,1,1)+$G$6,)</f>
        <v/>
      </c>
      <c r="B257" s="27" t="str">
        <f t="shared" si="1"/>
        <v/>
      </c>
      <c r="C257" s="14" t="str">
        <f>IF($A257&lt;&gt;"",MINIFS(Merchant!$A:$A,Merchant!$B:$B,$G$2),)</f>
        <v/>
      </c>
      <c r="D257" s="14" t="str">
        <f t="shared" si="2"/>
        <v/>
      </c>
      <c r="E257" s="14" t="str">
        <f t="shared" si="3"/>
        <v/>
      </c>
      <c r="F257" s="7" t="str">
        <f>IF($A257&lt;&gt;"",MAXIFS(Token!$C:$C,Token!$A:$A,$D257),)</f>
        <v/>
      </c>
    </row>
    <row r="258">
      <c r="A258" s="39" t="str">
        <f>IF(AND($L258*1&gt;=$G$3,$L258*1&lt;=$G$4,$I258*$J258&gt;0,OR($I258&lt;&gt;$I259,$L258-$L259&gt;25),IF(ABS($I258)&gt;10,$I258/POW(10,$J258),$J258/POW(10,$I258))*MAXIFS(Token!$C:$C,Token!$A:$A,$K258)&gt;0.01),$L258/86400+DATE(1970,1,1)+$G$6,)</f>
        <v/>
      </c>
      <c r="B258" s="27" t="str">
        <f t="shared" si="1"/>
        <v/>
      </c>
      <c r="C258" s="14" t="str">
        <f>IF($A258&lt;&gt;"",MINIFS(Merchant!$A:$A,Merchant!$B:$B,$G$2),)</f>
        <v/>
      </c>
      <c r="D258" s="14" t="str">
        <f t="shared" si="2"/>
        <v/>
      </c>
      <c r="E258" s="14" t="str">
        <f t="shared" si="3"/>
        <v/>
      </c>
      <c r="F258" s="7" t="str">
        <f>IF($A258&lt;&gt;"",MAXIFS(Token!$C:$C,Token!$A:$A,$D258),)</f>
        <v/>
      </c>
    </row>
    <row r="259">
      <c r="A259" s="39" t="str">
        <f>IF(AND($L259*1&gt;=$G$3,$L259*1&lt;=$G$4,$I259*$J259&gt;0,OR($I259&lt;&gt;$I260,$L259-$L260&gt;25),IF(ABS($I259)&gt;10,$I259/POW(10,$J259),$J259/POW(10,$I259))*MAXIFS(Token!$C:$C,Token!$A:$A,$K259)&gt;0.01),$L259/86400+DATE(1970,1,1)+$G$6,)</f>
        <v/>
      </c>
      <c r="B259" s="27" t="str">
        <f t="shared" si="1"/>
        <v/>
      </c>
      <c r="C259" s="14" t="str">
        <f>IF($A259&lt;&gt;"",MINIFS(Merchant!$A:$A,Merchant!$B:$B,$G$2),)</f>
        <v/>
      </c>
      <c r="D259" s="14" t="str">
        <f t="shared" si="2"/>
        <v/>
      </c>
      <c r="E259" s="14" t="str">
        <f t="shared" si="3"/>
        <v/>
      </c>
      <c r="F259" s="7" t="str">
        <f>IF($A259&lt;&gt;"",MAXIFS(Token!$C:$C,Token!$A:$A,$D259),)</f>
        <v/>
      </c>
    </row>
    <row r="260">
      <c r="A260" s="39" t="str">
        <f>IF(AND($L260*1&gt;=$G$3,$L260*1&lt;=$G$4,$I260*$J260&gt;0,OR($I260&lt;&gt;$I261,$L260-$L261&gt;25),IF(ABS($I260)&gt;10,$I260/POW(10,$J260),$J260/POW(10,$I260))*MAXIFS(Token!$C:$C,Token!$A:$A,$K260)&gt;0.01),$L260/86400+DATE(1970,1,1)+$G$6,)</f>
        <v/>
      </c>
      <c r="B260" s="27" t="str">
        <f t="shared" si="1"/>
        <v/>
      </c>
      <c r="C260" s="14" t="str">
        <f>IF($A260&lt;&gt;"",MINIFS(Merchant!$A:$A,Merchant!$B:$B,$G$2),)</f>
        <v/>
      </c>
      <c r="D260" s="14" t="str">
        <f t="shared" si="2"/>
        <v/>
      </c>
      <c r="E260" s="14" t="str">
        <f t="shared" si="3"/>
        <v/>
      </c>
      <c r="F260" s="7" t="str">
        <f>IF($A260&lt;&gt;"",MAXIFS(Token!$C:$C,Token!$A:$A,$D260),)</f>
        <v/>
      </c>
    </row>
    <row r="261">
      <c r="A261" s="39" t="str">
        <f>IF(AND($L261*1&gt;=$G$3,$L261*1&lt;=$G$4,$I261*$J261&gt;0,OR($I261&lt;&gt;$I262,$L261-$L262&gt;25),IF(ABS($I261)&gt;10,$I261/POW(10,$J261),$J261/POW(10,$I261))*MAXIFS(Token!$C:$C,Token!$A:$A,$K261)&gt;0.01),$L261/86400+DATE(1970,1,1)+$G$6,)</f>
        <v/>
      </c>
      <c r="B261" s="27" t="str">
        <f t="shared" si="1"/>
        <v/>
      </c>
      <c r="C261" s="14" t="str">
        <f>IF($A261&lt;&gt;"",MINIFS(Merchant!$A:$A,Merchant!$B:$B,$G$2),)</f>
        <v/>
      </c>
      <c r="D261" s="14" t="str">
        <f t="shared" si="2"/>
        <v/>
      </c>
      <c r="E261" s="14" t="str">
        <f t="shared" si="3"/>
        <v/>
      </c>
      <c r="F261" s="7" t="str">
        <f>IF($A261&lt;&gt;"",MAXIFS(Token!$C:$C,Token!$A:$A,$D261),)</f>
        <v/>
      </c>
    </row>
    <row r="262">
      <c r="A262" s="39" t="str">
        <f>IF(AND($L262*1&gt;=$G$3,$L262*1&lt;=$G$4,$I262*$J262&gt;0,OR($I262&lt;&gt;$I263,$L262-$L263&gt;25),IF(ABS($I262)&gt;10,$I262/POW(10,$J262),$J262/POW(10,$I262))*MAXIFS(Token!$C:$C,Token!$A:$A,$K262)&gt;0.01),$L262/86400+DATE(1970,1,1)+$G$6,)</f>
        <v/>
      </c>
      <c r="B262" s="27" t="str">
        <f t="shared" si="1"/>
        <v/>
      </c>
      <c r="C262" s="14" t="str">
        <f>IF($A262&lt;&gt;"",MINIFS(Merchant!$A:$A,Merchant!$B:$B,$G$2),)</f>
        <v/>
      </c>
      <c r="D262" s="14" t="str">
        <f t="shared" si="2"/>
        <v/>
      </c>
      <c r="E262" s="14" t="str">
        <f t="shared" si="3"/>
        <v/>
      </c>
      <c r="F262" s="7" t="str">
        <f>IF($A262&lt;&gt;"",MAXIFS(Token!$C:$C,Token!$A:$A,$D262),)</f>
        <v/>
      </c>
    </row>
    <row r="263">
      <c r="A263" s="39" t="str">
        <f>IF(AND($L263*1&gt;=$G$3,$L263*1&lt;=$G$4,$I263*$J263&gt;0,OR($I263&lt;&gt;$I264,$L263-$L264&gt;25),IF(ABS($I263)&gt;10,$I263/POW(10,$J263),$J263/POW(10,$I263))*MAXIFS(Token!$C:$C,Token!$A:$A,$K263)&gt;0.01),$L263/86400+DATE(1970,1,1)+$G$6,)</f>
        <v/>
      </c>
      <c r="B263" s="27" t="str">
        <f t="shared" si="1"/>
        <v/>
      </c>
      <c r="C263" s="14" t="str">
        <f>IF($A263&lt;&gt;"",MINIFS(Merchant!$A:$A,Merchant!$B:$B,$G$2),)</f>
        <v/>
      </c>
      <c r="D263" s="14" t="str">
        <f t="shared" si="2"/>
        <v/>
      </c>
      <c r="E263" s="14" t="str">
        <f t="shared" si="3"/>
        <v/>
      </c>
      <c r="F263" s="7" t="str">
        <f>IF($A263&lt;&gt;"",MAXIFS(Token!$C:$C,Token!$A:$A,$D263),)</f>
        <v/>
      </c>
    </row>
    <row r="264">
      <c r="A264" s="39" t="str">
        <f>IF(AND($L264*1&gt;=$G$3,$L264*1&lt;=$G$4,$I264*$J264&gt;0,OR($I264&lt;&gt;$I265,$L264-$L265&gt;25),IF(ABS($I264)&gt;10,$I264/POW(10,$J264),$J264/POW(10,$I264))*MAXIFS(Token!$C:$C,Token!$A:$A,$K264)&gt;0.01),$L264/86400+DATE(1970,1,1)+$G$6,)</f>
        <v/>
      </c>
      <c r="B264" s="27" t="str">
        <f t="shared" si="1"/>
        <v/>
      </c>
      <c r="C264" s="14" t="str">
        <f>IF($A264&lt;&gt;"",MINIFS(Merchant!$A:$A,Merchant!$B:$B,$G$2),)</f>
        <v/>
      </c>
      <c r="D264" s="14" t="str">
        <f t="shared" si="2"/>
        <v/>
      </c>
      <c r="E264" s="14" t="str">
        <f t="shared" si="3"/>
        <v/>
      </c>
      <c r="F264" s="7" t="str">
        <f>IF($A264&lt;&gt;"",MAXIFS(Token!$C:$C,Token!$A:$A,$D264),)</f>
        <v/>
      </c>
    </row>
    <row r="265">
      <c r="A265" s="39" t="str">
        <f>IF(AND($L265*1&gt;=$G$3,$L265*1&lt;=$G$4,$I265*$J265&gt;0,OR($I265&lt;&gt;$I266,$L265-$L266&gt;25),IF(ABS($I265)&gt;10,$I265/POW(10,$J265),$J265/POW(10,$I265))*MAXIFS(Token!$C:$C,Token!$A:$A,$K265)&gt;0.01),$L265/86400+DATE(1970,1,1)+$G$6,)</f>
        <v/>
      </c>
      <c r="B265" s="27" t="str">
        <f t="shared" si="1"/>
        <v/>
      </c>
      <c r="C265" s="14" t="str">
        <f>IF($A265&lt;&gt;"",MINIFS(Merchant!$A:$A,Merchant!$B:$B,$G$2),)</f>
        <v/>
      </c>
      <c r="D265" s="14" t="str">
        <f t="shared" si="2"/>
        <v/>
      </c>
      <c r="E265" s="14" t="str">
        <f t="shared" si="3"/>
        <v/>
      </c>
      <c r="F265" s="7" t="str">
        <f>IF($A265&lt;&gt;"",MAXIFS(Token!$C:$C,Token!$A:$A,$D265),)</f>
        <v/>
      </c>
    </row>
    <row r="266">
      <c r="A266" s="39" t="str">
        <f>IF(AND($L266*1&gt;=$G$3,$L266*1&lt;=$G$4,$I266*$J266&gt;0,OR($I266&lt;&gt;$I267,$L266-$L267&gt;25),IF(ABS($I266)&gt;10,$I266/POW(10,$J266),$J266/POW(10,$I266))*MAXIFS(Token!$C:$C,Token!$A:$A,$K266)&gt;0.01),$L266/86400+DATE(1970,1,1)+$G$6,)</f>
        <v/>
      </c>
      <c r="B266" s="27" t="str">
        <f t="shared" si="1"/>
        <v/>
      </c>
      <c r="C266" s="14" t="str">
        <f>IF($A266&lt;&gt;"",MINIFS(Merchant!$A:$A,Merchant!$B:$B,$G$2),)</f>
        <v/>
      </c>
      <c r="D266" s="14" t="str">
        <f t="shared" si="2"/>
        <v/>
      </c>
      <c r="E266" s="14" t="str">
        <f t="shared" si="3"/>
        <v/>
      </c>
      <c r="F266" s="7" t="str">
        <f>IF($A266&lt;&gt;"",MAXIFS(Token!$C:$C,Token!$A:$A,$D266),)</f>
        <v/>
      </c>
    </row>
    <row r="267">
      <c r="A267" s="39" t="str">
        <f>IF(AND($L267*1&gt;=$G$3,$L267*1&lt;=$G$4,$I267*$J267&gt;0,OR($I267&lt;&gt;$I268,$L267-$L268&gt;25),IF(ABS($I267)&gt;10,$I267/POW(10,$J267),$J267/POW(10,$I267))*MAXIFS(Token!$C:$C,Token!$A:$A,$K267)&gt;0.01),$L267/86400+DATE(1970,1,1)+$G$6,)</f>
        <v/>
      </c>
      <c r="B267" s="27" t="str">
        <f t="shared" si="1"/>
        <v/>
      </c>
      <c r="C267" s="14" t="str">
        <f>IF($A267&lt;&gt;"",MINIFS(Merchant!$A:$A,Merchant!$B:$B,$G$2),)</f>
        <v/>
      </c>
      <c r="D267" s="14" t="str">
        <f t="shared" si="2"/>
        <v/>
      </c>
      <c r="E267" s="14" t="str">
        <f t="shared" si="3"/>
        <v/>
      </c>
      <c r="F267" s="7" t="str">
        <f>IF($A267&lt;&gt;"",MAXIFS(Token!$C:$C,Token!$A:$A,$D267),)</f>
        <v/>
      </c>
    </row>
    <row r="268">
      <c r="A268" s="39" t="str">
        <f>IF(AND($L268*1&gt;=$G$3,$L268*1&lt;=$G$4,$I268*$J268&gt;0,OR($I268&lt;&gt;$I269,$L268-$L269&gt;25),IF(ABS($I268)&gt;10,$I268/POW(10,$J268),$J268/POW(10,$I268))*MAXIFS(Token!$C:$C,Token!$A:$A,$K268)&gt;0.01),$L268/86400+DATE(1970,1,1)+$G$6,)</f>
        <v/>
      </c>
      <c r="B268" s="27" t="str">
        <f t="shared" si="1"/>
        <v/>
      </c>
      <c r="C268" s="14" t="str">
        <f>IF($A268&lt;&gt;"",MINIFS(Merchant!$A:$A,Merchant!$B:$B,$G$2),)</f>
        <v/>
      </c>
      <c r="D268" s="14" t="str">
        <f t="shared" si="2"/>
        <v/>
      </c>
      <c r="E268" s="14" t="str">
        <f t="shared" si="3"/>
        <v/>
      </c>
      <c r="F268" s="7" t="str">
        <f>IF($A268&lt;&gt;"",MAXIFS(Token!$C:$C,Token!$A:$A,$D268),)</f>
        <v/>
      </c>
    </row>
    <row r="269">
      <c r="A269" s="39" t="str">
        <f>IF(AND($L269*1&gt;=$G$3,$L269*1&lt;=$G$4,$I269*$J269&gt;0,OR($I269&lt;&gt;$I270,$L269-$L270&gt;25),IF(ABS($I269)&gt;10,$I269/POW(10,$J269),$J269/POW(10,$I269))*MAXIFS(Token!$C:$C,Token!$A:$A,$K269)&gt;0.01),$L269/86400+DATE(1970,1,1)+$G$6,)</f>
        <v/>
      </c>
      <c r="B269" s="27" t="str">
        <f t="shared" si="1"/>
        <v/>
      </c>
      <c r="C269" s="14" t="str">
        <f>IF($A269&lt;&gt;"",MINIFS(Merchant!$A:$A,Merchant!$B:$B,$G$2),)</f>
        <v/>
      </c>
      <c r="D269" s="14" t="str">
        <f t="shared" si="2"/>
        <v/>
      </c>
      <c r="E269" s="14" t="str">
        <f t="shared" si="3"/>
        <v/>
      </c>
      <c r="F269" s="7" t="str">
        <f>IF($A269&lt;&gt;"",MAXIFS(Token!$C:$C,Token!$A:$A,$D269),)</f>
        <v/>
      </c>
    </row>
    <row r="270">
      <c r="A270" s="39" t="str">
        <f>IF(AND($L270*1&gt;=$G$3,$L270*1&lt;=$G$4,$I270*$J270&gt;0,OR($I270&lt;&gt;$I271,$L270-$L271&gt;25),IF(ABS($I270)&gt;10,$I270/POW(10,$J270),$J270/POW(10,$I270))*MAXIFS(Token!$C:$C,Token!$A:$A,$K270)&gt;0.01),$L270/86400+DATE(1970,1,1)+$G$6,)</f>
        <v/>
      </c>
      <c r="B270" s="27" t="str">
        <f t="shared" si="1"/>
        <v/>
      </c>
      <c r="C270" s="14" t="str">
        <f>IF($A270&lt;&gt;"",MINIFS(Merchant!$A:$A,Merchant!$B:$B,$G$2),)</f>
        <v/>
      </c>
      <c r="D270" s="14" t="str">
        <f t="shared" si="2"/>
        <v/>
      </c>
      <c r="E270" s="14" t="str">
        <f t="shared" si="3"/>
        <v/>
      </c>
      <c r="F270" s="7" t="str">
        <f>IF($A270&lt;&gt;"",MAXIFS(Token!$C:$C,Token!$A:$A,$D270),)</f>
        <v/>
      </c>
    </row>
    <row r="271">
      <c r="A271" s="39" t="str">
        <f>IF(AND($L271*1&gt;=$G$3,$L271*1&lt;=$G$4,$I271*$J271&gt;0,OR($I271&lt;&gt;$I272,$L271-$L272&gt;25),IF(ABS($I271)&gt;10,$I271/POW(10,$J271),$J271/POW(10,$I271))*MAXIFS(Token!$C:$C,Token!$A:$A,$K271)&gt;0.01),$L271/86400+DATE(1970,1,1)+$G$6,)</f>
        <v/>
      </c>
      <c r="B271" s="27" t="str">
        <f t="shared" si="1"/>
        <v/>
      </c>
      <c r="C271" s="14" t="str">
        <f>IF($A271&lt;&gt;"",MINIFS(Merchant!$A:$A,Merchant!$B:$B,$G$2),)</f>
        <v/>
      </c>
      <c r="D271" s="14" t="str">
        <f t="shared" si="2"/>
        <v/>
      </c>
      <c r="E271" s="14" t="str">
        <f t="shared" si="3"/>
        <v/>
      </c>
      <c r="F271" s="7" t="str">
        <f>IF($A271&lt;&gt;"",MAXIFS(Token!$C:$C,Token!$A:$A,$D271),)</f>
        <v/>
      </c>
    </row>
    <row r="272">
      <c r="A272" s="39" t="str">
        <f>IF(AND($L272*1&gt;=$G$3,$L272*1&lt;=$G$4,$I272*$J272&gt;0,OR($I272&lt;&gt;$I273,$L272-$L273&gt;25),IF(ABS($I272)&gt;10,$I272/POW(10,$J272),$J272/POW(10,$I272))*MAXIFS(Token!$C:$C,Token!$A:$A,$K272)&gt;0.01),$L272/86400+DATE(1970,1,1)+$G$6,)</f>
        <v/>
      </c>
      <c r="B272" s="27" t="str">
        <f t="shared" si="1"/>
        <v/>
      </c>
      <c r="C272" s="14" t="str">
        <f>IF($A272&lt;&gt;"",MINIFS(Merchant!$A:$A,Merchant!$B:$B,$G$2),)</f>
        <v/>
      </c>
      <c r="D272" s="14" t="str">
        <f t="shared" si="2"/>
        <v/>
      </c>
      <c r="E272" s="14" t="str">
        <f t="shared" si="3"/>
        <v/>
      </c>
      <c r="F272" s="7" t="str">
        <f>IF($A272&lt;&gt;"",MAXIFS(Token!$C:$C,Token!$A:$A,$D272),)</f>
        <v/>
      </c>
    </row>
    <row r="273">
      <c r="A273" s="39" t="str">
        <f>IF(AND($L273*1&gt;=$G$3,$L273*1&lt;=$G$4,$I273*$J273&gt;0,OR($I273&lt;&gt;$I274,$L273-$L274&gt;25),IF(ABS($I273)&gt;10,$I273/POW(10,$J273),$J273/POW(10,$I273))*MAXIFS(Token!$C:$C,Token!$A:$A,$K273)&gt;0.01),$L273/86400+DATE(1970,1,1)+$G$6,)</f>
        <v/>
      </c>
      <c r="B273" s="27" t="str">
        <f t="shared" si="1"/>
        <v/>
      </c>
      <c r="C273" s="14" t="str">
        <f>IF($A273&lt;&gt;"",MINIFS(Merchant!$A:$A,Merchant!$B:$B,$G$2),)</f>
        <v/>
      </c>
      <c r="D273" s="14" t="str">
        <f t="shared" si="2"/>
        <v/>
      </c>
      <c r="E273" s="14" t="str">
        <f t="shared" si="3"/>
        <v/>
      </c>
      <c r="F273" s="7" t="str">
        <f>IF($A273&lt;&gt;"",MAXIFS(Token!$C:$C,Token!$A:$A,$D273),)</f>
        <v/>
      </c>
    </row>
    <row r="274">
      <c r="A274" s="39" t="str">
        <f>IF(AND($L274*1&gt;=$G$3,$L274*1&lt;=$G$4,$I274*$J274&gt;0,OR($I274&lt;&gt;$I275,$L274-$L275&gt;25),IF(ABS($I274)&gt;10,$I274/POW(10,$J274),$J274/POW(10,$I274))*MAXIFS(Token!$C:$C,Token!$A:$A,$K274)&gt;0.01),$L274/86400+DATE(1970,1,1)+$G$6,)</f>
        <v/>
      </c>
      <c r="B274" s="27" t="str">
        <f t="shared" si="1"/>
        <v/>
      </c>
      <c r="C274" s="14" t="str">
        <f>IF($A274&lt;&gt;"",MINIFS(Merchant!$A:$A,Merchant!$B:$B,$G$2),)</f>
        <v/>
      </c>
      <c r="D274" s="14" t="str">
        <f t="shared" si="2"/>
        <v/>
      </c>
      <c r="E274" s="14" t="str">
        <f t="shared" si="3"/>
        <v/>
      </c>
      <c r="F274" s="7" t="str">
        <f>IF($A274&lt;&gt;"",MAXIFS(Token!$C:$C,Token!$A:$A,$D274),)</f>
        <v/>
      </c>
    </row>
    <row r="275">
      <c r="A275" s="39" t="str">
        <f>IF(AND($L275*1&gt;=$G$3,$L275*1&lt;=$G$4,$I275*$J275&gt;0,OR($I275&lt;&gt;$I276,$L275-$L276&gt;25),IF(ABS($I275)&gt;10,$I275/POW(10,$J275),$J275/POW(10,$I275))*MAXIFS(Token!$C:$C,Token!$A:$A,$K275)&gt;0.01),$L275/86400+DATE(1970,1,1)+$G$6,)</f>
        <v/>
      </c>
      <c r="B275" s="27" t="str">
        <f t="shared" si="1"/>
        <v/>
      </c>
      <c r="C275" s="14" t="str">
        <f>IF($A275&lt;&gt;"",MINIFS(Merchant!$A:$A,Merchant!$B:$B,$G$2),)</f>
        <v/>
      </c>
      <c r="D275" s="14" t="str">
        <f t="shared" si="2"/>
        <v/>
      </c>
      <c r="E275" s="14" t="str">
        <f t="shared" si="3"/>
        <v/>
      </c>
      <c r="F275" s="7" t="str">
        <f>IF($A275&lt;&gt;"",MAXIFS(Token!$C:$C,Token!$A:$A,$D275),)</f>
        <v/>
      </c>
    </row>
    <row r="276">
      <c r="A276" s="39" t="str">
        <f>IF(AND($L276*1&gt;=$G$3,$L276*1&lt;=$G$4,$I276*$J276&gt;0,OR($I276&lt;&gt;$I277,$L276-$L277&gt;25),IF(ABS($I276)&gt;10,$I276/POW(10,$J276),$J276/POW(10,$I276))*MAXIFS(Token!$C:$C,Token!$A:$A,$K276)&gt;0.01),$L276/86400+DATE(1970,1,1)+$G$6,)</f>
        <v/>
      </c>
      <c r="B276" s="27" t="str">
        <f t="shared" si="1"/>
        <v/>
      </c>
      <c r="C276" s="14" t="str">
        <f>IF($A276&lt;&gt;"",MINIFS(Merchant!$A:$A,Merchant!$B:$B,$G$2),)</f>
        <v/>
      </c>
      <c r="D276" s="14" t="str">
        <f t="shared" si="2"/>
        <v/>
      </c>
      <c r="E276" s="14" t="str">
        <f t="shared" si="3"/>
        <v/>
      </c>
      <c r="F276" s="7" t="str">
        <f>IF($A276&lt;&gt;"",MAXIFS(Token!$C:$C,Token!$A:$A,$D276),)</f>
        <v/>
      </c>
    </row>
    <row r="277">
      <c r="A277" s="39" t="str">
        <f>IF(AND($L277*1&gt;=$G$3,$L277*1&lt;=$G$4,$I277*$J277&gt;0,OR($I277&lt;&gt;$I278,$L277-$L278&gt;25),IF(ABS($I277)&gt;10,$I277/POW(10,$J277),$J277/POW(10,$I277))*MAXIFS(Token!$C:$C,Token!$A:$A,$K277)&gt;0.01),$L277/86400+DATE(1970,1,1)+$G$6,)</f>
        <v/>
      </c>
      <c r="B277" s="27" t="str">
        <f t="shared" si="1"/>
        <v/>
      </c>
      <c r="C277" s="14" t="str">
        <f>IF($A277&lt;&gt;"",MINIFS(Merchant!$A:$A,Merchant!$B:$B,$G$2),)</f>
        <v/>
      </c>
      <c r="D277" s="14" t="str">
        <f t="shared" si="2"/>
        <v/>
      </c>
      <c r="E277" s="14" t="str">
        <f t="shared" si="3"/>
        <v/>
      </c>
      <c r="F277" s="7" t="str">
        <f>IF($A277&lt;&gt;"",MAXIFS(Token!$C:$C,Token!$A:$A,$D277),)</f>
        <v/>
      </c>
    </row>
    <row r="278">
      <c r="A278" s="39" t="str">
        <f>IF(AND($L278*1&gt;=$G$3,$L278*1&lt;=$G$4,$I278*$J278&gt;0,OR($I278&lt;&gt;$I279,$L278-$L279&gt;25),IF(ABS($I278)&gt;10,$I278/POW(10,$J278),$J278/POW(10,$I278))*MAXIFS(Token!$C:$C,Token!$A:$A,$K278)&gt;0.01),$L278/86400+DATE(1970,1,1)+$G$6,)</f>
        <v/>
      </c>
      <c r="B278" s="27" t="str">
        <f t="shared" si="1"/>
        <v/>
      </c>
      <c r="C278" s="14" t="str">
        <f>IF($A278&lt;&gt;"",MINIFS(Merchant!$A:$A,Merchant!$B:$B,$G$2),)</f>
        <v/>
      </c>
      <c r="D278" s="14" t="str">
        <f t="shared" si="2"/>
        <v/>
      </c>
      <c r="E278" s="14" t="str">
        <f t="shared" si="3"/>
        <v/>
      </c>
      <c r="F278" s="7" t="str">
        <f>IF($A278&lt;&gt;"",MAXIFS(Token!$C:$C,Token!$A:$A,$D278),)</f>
        <v/>
      </c>
    </row>
    <row r="279">
      <c r="A279" s="39" t="str">
        <f>IF(AND($L279*1&gt;=$G$3,$L279*1&lt;=$G$4,$I279*$J279&gt;0,OR($I279&lt;&gt;$I280,$L279-$L280&gt;25),IF(ABS($I279)&gt;10,$I279/POW(10,$J279),$J279/POW(10,$I279))*MAXIFS(Token!$C:$C,Token!$A:$A,$K279)&gt;0.01),$L279/86400+DATE(1970,1,1)+$G$6,)</f>
        <v/>
      </c>
      <c r="B279" s="27" t="str">
        <f t="shared" si="1"/>
        <v/>
      </c>
      <c r="C279" s="14" t="str">
        <f>IF($A279&lt;&gt;"",MINIFS(Merchant!$A:$A,Merchant!$B:$B,$G$2),)</f>
        <v/>
      </c>
      <c r="D279" s="14" t="str">
        <f t="shared" si="2"/>
        <v/>
      </c>
      <c r="E279" s="14" t="str">
        <f t="shared" si="3"/>
        <v/>
      </c>
      <c r="F279" s="7" t="str">
        <f>IF($A279&lt;&gt;"",MAXIFS(Token!$C:$C,Token!$A:$A,$D279),)</f>
        <v/>
      </c>
    </row>
    <row r="280">
      <c r="A280" s="39" t="str">
        <f>IF(AND($L280*1&gt;=$G$3,$L280*1&lt;=$G$4,$I280*$J280&gt;0,OR($I280&lt;&gt;$I281,$L280-$L281&gt;25),IF(ABS($I280)&gt;10,$I280/POW(10,$J280),$J280/POW(10,$I280))*MAXIFS(Token!$C:$C,Token!$A:$A,$K280)&gt;0.01),$L280/86400+DATE(1970,1,1)+$G$6,)</f>
        <v/>
      </c>
      <c r="B280" s="27" t="str">
        <f t="shared" si="1"/>
        <v/>
      </c>
      <c r="C280" s="14" t="str">
        <f>IF($A280&lt;&gt;"",MINIFS(Merchant!$A:$A,Merchant!$B:$B,$G$2),)</f>
        <v/>
      </c>
      <c r="D280" s="14" t="str">
        <f t="shared" si="2"/>
        <v/>
      </c>
      <c r="E280" s="14" t="str">
        <f t="shared" si="3"/>
        <v/>
      </c>
      <c r="F280" s="7" t="str">
        <f>IF($A280&lt;&gt;"",MAXIFS(Token!$C:$C,Token!$A:$A,$D280),)</f>
        <v/>
      </c>
    </row>
    <row r="281">
      <c r="A281" s="39" t="str">
        <f>IF(AND($L281*1&gt;=$G$3,$L281*1&lt;=$G$4,$I281*$J281&gt;0,OR($I281&lt;&gt;$I282,$L281-$L282&gt;25),IF(ABS($I281)&gt;10,$I281/POW(10,$J281),$J281/POW(10,$I281))*MAXIFS(Token!$C:$C,Token!$A:$A,$K281)&gt;0.01),$L281/86400+DATE(1970,1,1)+$G$6,)</f>
        <v/>
      </c>
      <c r="B281" s="27" t="str">
        <f t="shared" si="1"/>
        <v/>
      </c>
      <c r="C281" s="14" t="str">
        <f>IF($A281&lt;&gt;"",MINIFS(Merchant!$A:$A,Merchant!$B:$B,$G$2),)</f>
        <v/>
      </c>
      <c r="D281" s="14" t="str">
        <f t="shared" si="2"/>
        <v/>
      </c>
      <c r="E281" s="14" t="str">
        <f t="shared" si="3"/>
        <v/>
      </c>
      <c r="F281" s="7" t="str">
        <f>IF($A281&lt;&gt;"",MAXIFS(Token!$C:$C,Token!$A:$A,$D281),)</f>
        <v/>
      </c>
    </row>
    <row r="282">
      <c r="A282" s="39" t="str">
        <f>IF(AND($L282*1&gt;=$G$3,$L282*1&lt;=$G$4,$I282*$J282&gt;0,OR($I282&lt;&gt;$I283,$L282-$L283&gt;25),IF(ABS($I282)&gt;10,$I282/POW(10,$J282),$J282/POW(10,$I282))*MAXIFS(Token!$C:$C,Token!$A:$A,$K282)&gt;0.01),$L282/86400+DATE(1970,1,1)+$G$6,)</f>
        <v/>
      </c>
      <c r="B282" s="27" t="str">
        <f t="shared" si="1"/>
        <v/>
      </c>
      <c r="C282" s="14" t="str">
        <f>IF($A282&lt;&gt;"",MINIFS(Merchant!$A:$A,Merchant!$B:$B,$G$2),)</f>
        <v/>
      </c>
      <c r="D282" s="14" t="str">
        <f t="shared" si="2"/>
        <v/>
      </c>
      <c r="E282" s="14" t="str">
        <f t="shared" si="3"/>
        <v/>
      </c>
      <c r="F282" s="7" t="str">
        <f>IF($A282&lt;&gt;"",MAXIFS(Token!$C:$C,Token!$A:$A,$D282),)</f>
        <v/>
      </c>
    </row>
    <row r="283">
      <c r="A283" s="39" t="str">
        <f>IF(AND($L283*1&gt;=$G$3,$L283*1&lt;=$G$4,$I283*$J283&gt;0,OR($I283&lt;&gt;$I284,$L283-$L284&gt;25),IF(ABS($I283)&gt;10,$I283/POW(10,$J283),$J283/POW(10,$I283))*MAXIFS(Token!$C:$C,Token!$A:$A,$K283)&gt;0.01),$L283/86400+DATE(1970,1,1)+$G$6,)</f>
        <v/>
      </c>
      <c r="B283" s="27" t="str">
        <f t="shared" si="1"/>
        <v/>
      </c>
      <c r="C283" s="14" t="str">
        <f>IF($A283&lt;&gt;"",MINIFS(Merchant!$A:$A,Merchant!$B:$B,$G$2),)</f>
        <v/>
      </c>
      <c r="D283" s="14" t="str">
        <f t="shared" si="2"/>
        <v/>
      </c>
      <c r="E283" s="14" t="str">
        <f t="shared" si="3"/>
        <v/>
      </c>
      <c r="F283" s="7" t="str">
        <f>IF($A283&lt;&gt;"",MAXIFS(Token!$C:$C,Token!$A:$A,$D283),)</f>
        <v/>
      </c>
    </row>
    <row r="284">
      <c r="A284" s="39" t="str">
        <f>IF(AND($L284*1&gt;=$G$3,$L284*1&lt;=$G$4,$I284*$J284&gt;0,OR($I284&lt;&gt;$I285,$L284-$L285&gt;25),IF(ABS($I284)&gt;10,$I284/POW(10,$J284),$J284/POW(10,$I284))*MAXIFS(Token!$C:$C,Token!$A:$A,$K284)&gt;0.01),$L284/86400+DATE(1970,1,1)+$G$6,)</f>
        <v/>
      </c>
      <c r="B284" s="27" t="str">
        <f t="shared" si="1"/>
        <v/>
      </c>
      <c r="C284" s="14" t="str">
        <f>IF($A284&lt;&gt;"",MINIFS(Merchant!$A:$A,Merchant!$B:$B,$G$2),)</f>
        <v/>
      </c>
      <c r="D284" s="14" t="str">
        <f t="shared" si="2"/>
        <v/>
      </c>
      <c r="E284" s="14" t="str">
        <f t="shared" si="3"/>
        <v/>
      </c>
      <c r="F284" s="7" t="str">
        <f>IF($A284&lt;&gt;"",MAXIFS(Token!$C:$C,Token!$A:$A,$D284),)</f>
        <v/>
      </c>
    </row>
    <row r="285">
      <c r="A285" s="39" t="str">
        <f>IF(AND($L285*1&gt;=$G$3,$L285*1&lt;=$G$4,$I285*$J285&gt;0,OR($I285&lt;&gt;$I286,$L285-$L286&gt;25),IF(ABS($I285)&gt;10,$I285/POW(10,$J285),$J285/POW(10,$I285))*MAXIFS(Token!$C:$C,Token!$A:$A,$K285)&gt;0.01),$L285/86400+DATE(1970,1,1)+$G$6,)</f>
        <v/>
      </c>
      <c r="B285" s="27" t="str">
        <f t="shared" si="1"/>
        <v/>
      </c>
      <c r="C285" s="14" t="str">
        <f>IF($A285&lt;&gt;"",MINIFS(Merchant!$A:$A,Merchant!$B:$B,$G$2),)</f>
        <v/>
      </c>
      <c r="D285" s="14" t="str">
        <f t="shared" si="2"/>
        <v/>
      </c>
      <c r="E285" s="14" t="str">
        <f t="shared" si="3"/>
        <v/>
      </c>
      <c r="F285" s="7" t="str">
        <f>IF($A285&lt;&gt;"",MAXIFS(Token!$C:$C,Token!$A:$A,$D285),)</f>
        <v/>
      </c>
    </row>
    <row r="286">
      <c r="A286" s="39" t="str">
        <f>IF(AND($L286*1&gt;=$G$3,$L286*1&lt;=$G$4,$I286*$J286&gt;0,OR($I286&lt;&gt;$I287,$L286-$L287&gt;25),IF(ABS($I286)&gt;10,$I286/POW(10,$J286),$J286/POW(10,$I286))*MAXIFS(Token!$C:$C,Token!$A:$A,$K286)&gt;0.01),$L286/86400+DATE(1970,1,1)+$G$6,)</f>
        <v/>
      </c>
      <c r="B286" s="27" t="str">
        <f t="shared" si="1"/>
        <v/>
      </c>
      <c r="C286" s="14" t="str">
        <f>IF($A286&lt;&gt;"",MINIFS(Merchant!$A:$A,Merchant!$B:$B,$G$2),)</f>
        <v/>
      </c>
      <c r="D286" s="14" t="str">
        <f t="shared" si="2"/>
        <v/>
      </c>
      <c r="E286" s="14" t="str">
        <f t="shared" si="3"/>
        <v/>
      </c>
      <c r="F286" s="7" t="str">
        <f>IF($A286&lt;&gt;"",MAXIFS(Token!$C:$C,Token!$A:$A,$D286),)</f>
        <v/>
      </c>
    </row>
    <row r="287">
      <c r="A287" s="39" t="str">
        <f>IF(AND($L287*1&gt;=$G$3,$L287*1&lt;=$G$4,$I287*$J287&gt;0,OR($I287&lt;&gt;$I288,$L287-$L288&gt;25),IF(ABS($I287)&gt;10,$I287/POW(10,$J287),$J287/POW(10,$I287))*MAXIFS(Token!$C:$C,Token!$A:$A,$K287)&gt;0.01),$L287/86400+DATE(1970,1,1)+$G$6,)</f>
        <v/>
      </c>
      <c r="B287" s="27" t="str">
        <f t="shared" si="1"/>
        <v/>
      </c>
      <c r="C287" s="14" t="str">
        <f>IF($A287&lt;&gt;"",MINIFS(Merchant!$A:$A,Merchant!$B:$B,$G$2),)</f>
        <v/>
      </c>
      <c r="D287" s="14" t="str">
        <f t="shared" si="2"/>
        <v/>
      </c>
      <c r="E287" s="14" t="str">
        <f t="shared" si="3"/>
        <v/>
      </c>
      <c r="F287" s="7" t="str">
        <f>IF($A287&lt;&gt;"",MAXIFS(Token!$C:$C,Token!$A:$A,$D287),)</f>
        <v/>
      </c>
    </row>
    <row r="288">
      <c r="A288" s="39" t="str">
        <f>IF(AND($L288*1&gt;=$G$3,$L288*1&lt;=$G$4,$I288*$J288&gt;0,OR($I288&lt;&gt;$I289,$L288-$L289&gt;25),IF(ABS($I288)&gt;10,$I288/POW(10,$J288),$J288/POW(10,$I288))*MAXIFS(Token!$C:$C,Token!$A:$A,$K288)&gt;0.01),$L288/86400+DATE(1970,1,1)+$G$6,)</f>
        <v/>
      </c>
      <c r="B288" s="27" t="str">
        <f t="shared" si="1"/>
        <v/>
      </c>
      <c r="C288" s="14" t="str">
        <f>IF($A288&lt;&gt;"",MINIFS(Merchant!$A:$A,Merchant!$B:$B,$G$2),)</f>
        <v/>
      </c>
      <c r="D288" s="14" t="str">
        <f t="shared" si="2"/>
        <v/>
      </c>
      <c r="E288" s="14" t="str">
        <f t="shared" si="3"/>
        <v/>
      </c>
      <c r="F288" s="7" t="str">
        <f>IF($A288&lt;&gt;"",MAXIFS(Token!$C:$C,Token!$A:$A,$D288),)</f>
        <v/>
      </c>
    </row>
    <row r="289">
      <c r="A289" s="39" t="str">
        <f>IF(AND($L289*1&gt;=$G$3,$L289*1&lt;=$G$4,$I289*$J289&gt;0,OR($I289&lt;&gt;$I290,$L289-$L290&gt;25),IF(ABS($I289)&gt;10,$I289/POW(10,$J289),$J289/POW(10,$I289))*MAXIFS(Token!$C:$C,Token!$A:$A,$K289)&gt;0.01),$L289/86400+DATE(1970,1,1)+$G$6,)</f>
        <v/>
      </c>
      <c r="B289" s="27" t="str">
        <f t="shared" si="1"/>
        <v/>
      </c>
      <c r="C289" s="14" t="str">
        <f>IF($A289&lt;&gt;"",MINIFS(Merchant!$A:$A,Merchant!$B:$B,$G$2),)</f>
        <v/>
      </c>
      <c r="D289" s="14" t="str">
        <f t="shared" si="2"/>
        <v/>
      </c>
      <c r="E289" s="14" t="str">
        <f t="shared" si="3"/>
        <v/>
      </c>
      <c r="F289" s="7" t="str">
        <f>IF($A289&lt;&gt;"",MAXIFS(Token!$C:$C,Token!$A:$A,$D289),)</f>
        <v/>
      </c>
    </row>
    <row r="290">
      <c r="A290" s="39" t="str">
        <f>IF(AND($L290*1&gt;=$G$3,$L290*1&lt;=$G$4,$I290*$J290&gt;0,OR($I290&lt;&gt;$I291,$L290-$L291&gt;25),IF(ABS($I290)&gt;10,$I290/POW(10,$J290),$J290/POW(10,$I290))*MAXIFS(Token!$C:$C,Token!$A:$A,$K290)&gt;0.01),$L290/86400+DATE(1970,1,1)+$G$6,)</f>
        <v/>
      </c>
      <c r="B290" s="27" t="str">
        <f t="shared" si="1"/>
        <v/>
      </c>
      <c r="C290" s="14" t="str">
        <f>IF($A290&lt;&gt;"",MINIFS(Merchant!$A:$A,Merchant!$B:$B,$G$2),)</f>
        <v/>
      </c>
      <c r="D290" s="14" t="str">
        <f t="shared" si="2"/>
        <v/>
      </c>
      <c r="E290" s="14" t="str">
        <f t="shared" si="3"/>
        <v/>
      </c>
      <c r="F290" s="7" t="str">
        <f>IF($A290&lt;&gt;"",MAXIFS(Token!$C:$C,Token!$A:$A,$D290),)</f>
        <v/>
      </c>
    </row>
    <row r="291">
      <c r="A291" s="39" t="str">
        <f>IF(AND($L291*1&gt;=$G$3,$L291*1&lt;=$G$4,$I291*$J291&gt;0,OR($I291&lt;&gt;$I292,$L291-$L292&gt;25),IF(ABS($I291)&gt;10,$I291/POW(10,$J291),$J291/POW(10,$I291))*MAXIFS(Token!$C:$C,Token!$A:$A,$K291)&gt;0.01),$L291/86400+DATE(1970,1,1)+$G$6,)</f>
        <v/>
      </c>
      <c r="B291" s="27" t="str">
        <f t="shared" si="1"/>
        <v/>
      </c>
      <c r="C291" s="14" t="str">
        <f>IF($A291&lt;&gt;"",MINIFS(Merchant!$A:$A,Merchant!$B:$B,$G$2),)</f>
        <v/>
      </c>
      <c r="D291" s="14" t="str">
        <f t="shared" si="2"/>
        <v/>
      </c>
      <c r="E291" s="14" t="str">
        <f t="shared" si="3"/>
        <v/>
      </c>
      <c r="F291" s="7" t="str">
        <f>IF($A291&lt;&gt;"",MAXIFS(Token!$C:$C,Token!$A:$A,$D291),)</f>
        <v/>
      </c>
    </row>
    <row r="292">
      <c r="A292" s="39" t="str">
        <f>IF(AND($L292*1&gt;=$G$3,$L292*1&lt;=$G$4,$I292*$J292&gt;0,OR($I292&lt;&gt;$I293,$L292-$L293&gt;25),IF(ABS($I292)&gt;10,$I292/POW(10,$J292),$J292/POW(10,$I292))*MAXIFS(Token!$C:$C,Token!$A:$A,$K292)&gt;0.01),$L292/86400+DATE(1970,1,1)+$G$6,)</f>
        <v/>
      </c>
      <c r="B292" s="27" t="str">
        <f t="shared" si="1"/>
        <v/>
      </c>
      <c r="C292" s="14" t="str">
        <f>IF($A292&lt;&gt;"",MINIFS(Merchant!$A:$A,Merchant!$B:$B,$G$2),)</f>
        <v/>
      </c>
      <c r="D292" s="14" t="str">
        <f t="shared" si="2"/>
        <v/>
      </c>
      <c r="E292" s="14" t="str">
        <f t="shared" si="3"/>
        <v/>
      </c>
      <c r="F292" s="7" t="str">
        <f>IF($A292&lt;&gt;"",MAXIFS(Token!$C:$C,Token!$A:$A,$D292),)</f>
        <v/>
      </c>
    </row>
    <row r="293">
      <c r="A293" s="39" t="str">
        <f>IF(AND($L293*1&gt;=$G$3,$L293*1&lt;=$G$4,$I293*$J293&gt;0,OR($I293&lt;&gt;$I294,$L293-$L294&gt;25),IF(ABS($I293)&gt;10,$I293/POW(10,$J293),$J293/POW(10,$I293))*MAXIFS(Token!$C:$C,Token!$A:$A,$K293)&gt;0.01),$L293/86400+DATE(1970,1,1)+$G$6,)</f>
        <v/>
      </c>
      <c r="B293" s="27" t="str">
        <f t="shared" si="1"/>
        <v/>
      </c>
      <c r="C293" s="14" t="str">
        <f>IF($A293&lt;&gt;"",MINIFS(Merchant!$A:$A,Merchant!$B:$B,$G$2),)</f>
        <v/>
      </c>
      <c r="D293" s="14" t="str">
        <f t="shared" si="2"/>
        <v/>
      </c>
      <c r="E293" s="14" t="str">
        <f t="shared" si="3"/>
        <v/>
      </c>
      <c r="F293" s="7" t="str">
        <f>IF($A293&lt;&gt;"",MAXIFS(Token!$C:$C,Token!$A:$A,$D293),)</f>
        <v/>
      </c>
    </row>
    <row r="294">
      <c r="A294" s="39" t="str">
        <f>IF(AND($L294*1&gt;=$G$3,$L294*1&lt;=$G$4,$I294*$J294&gt;0,OR($I294&lt;&gt;$I295,$L294-$L295&gt;25),IF(ABS($I294)&gt;10,$I294/POW(10,$J294),$J294/POW(10,$I294))*MAXIFS(Token!$C:$C,Token!$A:$A,$K294)&gt;0.01),$L294/86400+DATE(1970,1,1)+$G$6,)</f>
        <v/>
      </c>
      <c r="B294" s="27" t="str">
        <f t="shared" si="1"/>
        <v/>
      </c>
      <c r="C294" s="14" t="str">
        <f>IF($A294&lt;&gt;"",MINIFS(Merchant!$A:$A,Merchant!$B:$B,$G$2),)</f>
        <v/>
      </c>
      <c r="D294" s="14" t="str">
        <f t="shared" si="2"/>
        <v/>
      </c>
      <c r="E294" s="14" t="str">
        <f t="shared" si="3"/>
        <v/>
      </c>
      <c r="F294" s="7" t="str">
        <f>IF($A294&lt;&gt;"",MAXIFS(Token!$C:$C,Token!$A:$A,$D294),)</f>
        <v/>
      </c>
    </row>
    <row r="295">
      <c r="A295" s="39" t="str">
        <f>IF(AND($L295*1&gt;=$G$3,$L295*1&lt;=$G$4,$I295*$J295&gt;0,OR($I295&lt;&gt;$I296,$L295-$L296&gt;25),IF(ABS($I295)&gt;10,$I295/POW(10,$J295),$J295/POW(10,$I295))*MAXIFS(Token!$C:$C,Token!$A:$A,$K295)&gt;0.01),$L295/86400+DATE(1970,1,1)+$G$6,)</f>
        <v/>
      </c>
      <c r="B295" s="27" t="str">
        <f t="shared" si="1"/>
        <v/>
      </c>
      <c r="C295" s="14" t="str">
        <f>IF($A295&lt;&gt;"",MINIFS(Merchant!$A:$A,Merchant!$B:$B,$G$2),)</f>
        <v/>
      </c>
      <c r="D295" s="14" t="str">
        <f t="shared" si="2"/>
        <v/>
      </c>
      <c r="E295" s="14" t="str">
        <f t="shared" si="3"/>
        <v/>
      </c>
      <c r="F295" s="7" t="str">
        <f>IF($A295&lt;&gt;"",MAXIFS(Token!$C:$C,Token!$A:$A,$D295),)</f>
        <v/>
      </c>
    </row>
    <row r="296">
      <c r="A296" s="39" t="str">
        <f>IF(AND($L296*1&gt;=$G$3,$L296*1&lt;=$G$4,$I296*$J296&gt;0,OR($I296&lt;&gt;$I297,$L296-$L297&gt;25),IF(ABS($I296)&gt;10,$I296/POW(10,$J296),$J296/POW(10,$I296))*MAXIFS(Token!$C:$C,Token!$A:$A,$K296)&gt;0.01),$L296/86400+DATE(1970,1,1)+$G$6,)</f>
        <v/>
      </c>
      <c r="B296" s="27" t="str">
        <f t="shared" si="1"/>
        <v/>
      </c>
      <c r="C296" s="14" t="str">
        <f>IF($A296&lt;&gt;"",MINIFS(Merchant!$A:$A,Merchant!$B:$B,$G$2),)</f>
        <v/>
      </c>
      <c r="D296" s="14" t="str">
        <f t="shared" si="2"/>
        <v/>
      </c>
      <c r="E296" s="14" t="str">
        <f t="shared" si="3"/>
        <v/>
      </c>
      <c r="F296" s="7" t="str">
        <f>IF($A296&lt;&gt;"",MAXIFS(Token!$C:$C,Token!$A:$A,$D296),)</f>
        <v/>
      </c>
    </row>
    <row r="297">
      <c r="A297" s="39" t="str">
        <f>IF(AND($L297*1&gt;=$G$3,$L297*1&lt;=$G$4,$I297*$J297&gt;0,OR($I297&lt;&gt;$I298,$L297-$L298&gt;25),IF(ABS($I297)&gt;10,$I297/POW(10,$J297),$J297/POW(10,$I297))*MAXIFS(Token!$C:$C,Token!$A:$A,$K297)&gt;0.01),$L297/86400+DATE(1970,1,1)+$G$6,)</f>
        <v/>
      </c>
      <c r="B297" s="27" t="str">
        <f t="shared" si="1"/>
        <v/>
      </c>
      <c r="C297" s="14" t="str">
        <f>IF($A297&lt;&gt;"",MINIFS(Merchant!$A:$A,Merchant!$B:$B,$G$2),)</f>
        <v/>
      </c>
      <c r="D297" s="14" t="str">
        <f t="shared" si="2"/>
        <v/>
      </c>
      <c r="E297" s="14" t="str">
        <f t="shared" si="3"/>
        <v/>
      </c>
      <c r="F297" s="7" t="str">
        <f>IF($A297&lt;&gt;"",MAXIFS(Token!$C:$C,Token!$A:$A,$D297),)</f>
        <v/>
      </c>
    </row>
    <row r="298">
      <c r="A298" s="39" t="str">
        <f>IF(AND($L298*1&gt;=$G$3,$L298*1&lt;=$G$4,$I298*$J298&gt;0,OR($I298&lt;&gt;$I299,$L298-$L299&gt;25),IF(ABS($I298)&gt;10,$I298/POW(10,$J298),$J298/POW(10,$I298))*MAXIFS(Token!$C:$C,Token!$A:$A,$K298)&gt;0.01),$L298/86400+DATE(1970,1,1)+$G$6,)</f>
        <v/>
      </c>
      <c r="B298" s="27" t="str">
        <f t="shared" si="1"/>
        <v/>
      </c>
      <c r="C298" s="14" t="str">
        <f>IF($A298&lt;&gt;"",MINIFS(Merchant!$A:$A,Merchant!$B:$B,$G$2),)</f>
        <v/>
      </c>
      <c r="D298" s="14" t="str">
        <f t="shared" si="2"/>
        <v/>
      </c>
      <c r="E298" s="14" t="str">
        <f t="shared" si="3"/>
        <v/>
      </c>
      <c r="F298" s="7" t="str">
        <f>IF($A298&lt;&gt;"",MAXIFS(Token!$C:$C,Token!$A:$A,$D298),)</f>
        <v/>
      </c>
    </row>
    <row r="299">
      <c r="A299" s="39" t="str">
        <f>IF(AND($L299*1&gt;=$G$3,$L299*1&lt;=$G$4,$I299*$J299&gt;0,OR($I299&lt;&gt;$I300,$L299-$L300&gt;25),IF(ABS($I299)&gt;10,$I299/POW(10,$J299),$J299/POW(10,$I299))*MAXIFS(Token!$C:$C,Token!$A:$A,$K299)&gt;0.01),$L299/86400+DATE(1970,1,1)+$G$6,)</f>
        <v/>
      </c>
      <c r="B299" s="27" t="str">
        <f t="shared" si="1"/>
        <v/>
      </c>
      <c r="C299" s="14" t="str">
        <f>IF($A299&lt;&gt;"",MINIFS(Merchant!$A:$A,Merchant!$B:$B,$G$2),)</f>
        <v/>
      </c>
      <c r="D299" s="14" t="str">
        <f t="shared" si="2"/>
        <v/>
      </c>
      <c r="E299" s="14" t="str">
        <f t="shared" si="3"/>
        <v/>
      </c>
      <c r="F299" s="7" t="str">
        <f>IF($A299&lt;&gt;"",MAXIFS(Token!$C:$C,Token!$A:$A,$D299),)</f>
        <v/>
      </c>
    </row>
    <row r="300">
      <c r="A300" s="39" t="str">
        <f>IF(AND($L300*1&gt;=$G$3,$L300*1&lt;=$G$4,$I300*$J300&gt;0,OR($I300&lt;&gt;$I301,$L300-$L301&gt;25),IF(ABS($I300)&gt;10,$I300/POW(10,$J300),$J300/POW(10,$I300))*MAXIFS(Token!$C:$C,Token!$A:$A,$K300)&gt;0.01),$L300/86400+DATE(1970,1,1)+$G$6,)</f>
        <v/>
      </c>
      <c r="B300" s="27" t="str">
        <f t="shared" si="1"/>
        <v/>
      </c>
      <c r="C300" s="14" t="str">
        <f>IF($A300&lt;&gt;"",MINIFS(Merchant!$A:$A,Merchant!$B:$B,$G$2),)</f>
        <v/>
      </c>
      <c r="D300" s="14" t="str">
        <f t="shared" si="2"/>
        <v/>
      </c>
      <c r="E300" s="14" t="str">
        <f t="shared" si="3"/>
        <v/>
      </c>
      <c r="F300" s="7" t="str">
        <f>IF($A300&lt;&gt;"",MAXIFS(Token!$C:$C,Token!$A:$A,$D300),)</f>
        <v/>
      </c>
    </row>
    <row r="301">
      <c r="A301" s="39" t="str">
        <f>IF(AND($L301*1&gt;=$G$3,$L301*1&lt;=$G$4,$I301*$J301&gt;0,OR($I301&lt;&gt;$I302,$L301-$L302&gt;25),IF(ABS($I301)&gt;10,$I301/POW(10,$J301),$J301/POW(10,$I301))*MAXIFS(Token!$C:$C,Token!$A:$A,$K301)&gt;0.01),$L301/86400+DATE(1970,1,1)+$G$6,)</f>
        <v/>
      </c>
      <c r="B301" s="27" t="str">
        <f t="shared" si="1"/>
        <v/>
      </c>
      <c r="C301" s="14" t="str">
        <f>IF($A301&lt;&gt;"",MINIFS(Merchant!$A:$A,Merchant!$B:$B,$G$2),)</f>
        <v/>
      </c>
      <c r="D301" s="14" t="str">
        <f t="shared" si="2"/>
        <v/>
      </c>
      <c r="E301" s="14" t="str">
        <f t="shared" si="3"/>
        <v/>
      </c>
      <c r="F301" s="7" t="str">
        <f>IF($A301&lt;&gt;"",MAXIFS(Token!$C:$C,Token!$A:$A,$D301),)</f>
        <v/>
      </c>
    </row>
    <row r="302">
      <c r="A302" s="39" t="str">
        <f>IF(AND($L302*1&gt;=$G$3,$L302*1&lt;=$G$4,$I302*$J302&gt;0,OR($I302&lt;&gt;$I303,$L302-$L303&gt;25),IF(ABS($I302)&gt;10,$I302/POW(10,$J302),$J302/POW(10,$I302))*MAXIFS(Token!$C:$C,Token!$A:$A,$K302)&gt;0.01),$L302/86400+DATE(1970,1,1)+$G$6,)</f>
        <v/>
      </c>
      <c r="B302" s="27" t="str">
        <f t="shared" si="1"/>
        <v/>
      </c>
      <c r="C302" s="14" t="str">
        <f>IF($A302&lt;&gt;"",MINIFS(Merchant!$A:$A,Merchant!$B:$B,$G$2),)</f>
        <v/>
      </c>
      <c r="D302" s="14" t="str">
        <f t="shared" si="2"/>
        <v/>
      </c>
      <c r="E302" s="14" t="str">
        <f t="shared" si="3"/>
        <v/>
      </c>
      <c r="F302" s="7" t="str">
        <f>IF($A302&lt;&gt;"",MAXIFS(Token!$C:$C,Token!$A:$A,$D302),)</f>
        <v/>
      </c>
    </row>
    <row r="303">
      <c r="A303" s="39" t="str">
        <f>IF(AND($L303*1&gt;=$G$3,$L303*1&lt;=$G$4,$I303*$J303&gt;0,OR($I303&lt;&gt;$I304,$L303-$L304&gt;25),IF(ABS($I303)&gt;10,$I303/POW(10,$J303),$J303/POW(10,$I303))*MAXIFS(Token!$C:$C,Token!$A:$A,$K303)&gt;0.01),$L303/86400+DATE(1970,1,1)+$G$6,)</f>
        <v/>
      </c>
      <c r="B303" s="27" t="str">
        <f t="shared" si="1"/>
        <v/>
      </c>
      <c r="C303" s="14" t="str">
        <f>IF($A303&lt;&gt;"",MINIFS(Merchant!$A:$A,Merchant!$B:$B,$G$2),)</f>
        <v/>
      </c>
      <c r="D303" s="14" t="str">
        <f t="shared" si="2"/>
        <v/>
      </c>
      <c r="E303" s="14" t="str">
        <f t="shared" si="3"/>
        <v/>
      </c>
      <c r="F303" s="7" t="str">
        <f>IF($A303&lt;&gt;"",MAXIFS(Token!$C:$C,Token!$A:$A,$D303),)</f>
        <v/>
      </c>
    </row>
    <row r="304">
      <c r="A304" s="39" t="str">
        <f>IF(AND($L304*1&gt;=$G$3,$L304*1&lt;=$G$4,$I304*$J304&gt;0,OR($I304&lt;&gt;$I305,$L304-$L305&gt;25),IF(ABS($I304)&gt;10,$I304/POW(10,$J304),$J304/POW(10,$I304))*MAXIFS(Token!$C:$C,Token!$A:$A,$K304)&gt;0.01),$L304/86400+DATE(1970,1,1)+$G$6,)</f>
        <v/>
      </c>
      <c r="B304" s="27" t="str">
        <f t="shared" si="1"/>
        <v/>
      </c>
      <c r="C304" s="14" t="str">
        <f>IF($A304&lt;&gt;"",MINIFS(Merchant!$A:$A,Merchant!$B:$B,$G$2),)</f>
        <v/>
      </c>
      <c r="D304" s="14" t="str">
        <f t="shared" si="2"/>
        <v/>
      </c>
      <c r="E304" s="14" t="str">
        <f t="shared" si="3"/>
        <v/>
      </c>
      <c r="F304" s="7" t="str">
        <f>IF($A304&lt;&gt;"",MAXIFS(Token!$C:$C,Token!$A:$A,$D304),)</f>
        <v/>
      </c>
    </row>
    <row r="305">
      <c r="A305" s="39" t="str">
        <f>IF(AND($L305*1&gt;=$G$3,$L305*1&lt;=$G$4,$I305*$J305&gt;0,OR($I305&lt;&gt;$I306,$L305-$L306&gt;25),IF(ABS($I305)&gt;10,$I305/POW(10,$J305),$J305/POW(10,$I305))*MAXIFS(Token!$C:$C,Token!$A:$A,$K305)&gt;0.01),$L305/86400+DATE(1970,1,1)+$G$6,)</f>
        <v/>
      </c>
      <c r="B305" s="27" t="str">
        <f t="shared" si="1"/>
        <v/>
      </c>
      <c r="C305" s="14" t="str">
        <f>IF($A305&lt;&gt;"",MINIFS(Merchant!$A:$A,Merchant!$B:$B,$G$2),)</f>
        <v/>
      </c>
      <c r="D305" s="14" t="str">
        <f t="shared" si="2"/>
        <v/>
      </c>
      <c r="E305" s="14" t="str">
        <f t="shared" si="3"/>
        <v/>
      </c>
      <c r="F305" s="7" t="str">
        <f>IF($A305&lt;&gt;"",MAXIFS(Token!$C:$C,Token!$A:$A,$D305),)</f>
        <v/>
      </c>
    </row>
    <row r="306">
      <c r="A306" s="39" t="str">
        <f>IF(AND($L306*1&gt;=$G$3,$L306*1&lt;=$G$4,$I306*$J306&gt;0,OR($I306&lt;&gt;$I307,$L306-$L307&gt;25),IF(ABS($I306)&gt;10,$I306/POW(10,$J306),$J306/POW(10,$I306))*MAXIFS(Token!$C:$C,Token!$A:$A,$K306)&gt;0.01),$L306/86400+DATE(1970,1,1)+$G$6,)</f>
        <v/>
      </c>
      <c r="B306" s="27" t="str">
        <f t="shared" si="1"/>
        <v/>
      </c>
      <c r="C306" s="14" t="str">
        <f>IF($A306&lt;&gt;"",MINIFS(Merchant!$A:$A,Merchant!$B:$B,$G$2),)</f>
        <v/>
      </c>
      <c r="D306" s="14" t="str">
        <f t="shared" si="2"/>
        <v/>
      </c>
      <c r="E306" s="14" t="str">
        <f t="shared" si="3"/>
        <v/>
      </c>
      <c r="F306" s="7" t="str">
        <f>IF($A306&lt;&gt;"",MAXIFS(Token!$C:$C,Token!$A:$A,$D306),)</f>
        <v/>
      </c>
    </row>
    <row r="307">
      <c r="A307" s="39" t="str">
        <f>IF(AND($L307*1&gt;=$G$3,$L307*1&lt;=$G$4,$I307*$J307&gt;0,OR($I307&lt;&gt;$I308,$L307-$L308&gt;25),IF(ABS($I307)&gt;10,$I307/POW(10,$J307),$J307/POW(10,$I307))*MAXIFS(Token!$C:$C,Token!$A:$A,$K307)&gt;0.01),$L307/86400+DATE(1970,1,1)+$G$6,)</f>
        <v/>
      </c>
      <c r="B307" s="27" t="str">
        <f t="shared" si="1"/>
        <v/>
      </c>
      <c r="C307" s="14" t="str">
        <f>IF($A307&lt;&gt;"",MINIFS(Merchant!$A:$A,Merchant!$B:$B,$G$2),)</f>
        <v/>
      </c>
      <c r="D307" s="14" t="str">
        <f t="shared" si="2"/>
        <v/>
      </c>
      <c r="E307" s="14" t="str">
        <f t="shared" si="3"/>
        <v/>
      </c>
      <c r="F307" s="7" t="str">
        <f>IF($A307&lt;&gt;"",MAXIFS(Token!$C:$C,Token!$A:$A,$D307),)</f>
        <v/>
      </c>
    </row>
    <row r="308">
      <c r="A308" s="39" t="str">
        <f>IF(AND($L308*1&gt;=$G$3,$L308*1&lt;=$G$4,$I308*$J308&gt;0,OR($I308&lt;&gt;$I309,$L308-$L309&gt;25),IF(ABS($I308)&gt;10,$I308/POW(10,$J308),$J308/POW(10,$I308))*MAXIFS(Token!$C:$C,Token!$A:$A,$K308)&gt;0.01),$L308/86400+DATE(1970,1,1)+$G$6,)</f>
        <v/>
      </c>
      <c r="B308" s="27" t="str">
        <f t="shared" si="1"/>
        <v/>
      </c>
      <c r="C308" s="14" t="str">
        <f>IF($A308&lt;&gt;"",MINIFS(Merchant!$A:$A,Merchant!$B:$B,$G$2),)</f>
        <v/>
      </c>
      <c r="D308" s="14" t="str">
        <f t="shared" si="2"/>
        <v/>
      </c>
      <c r="E308" s="14" t="str">
        <f t="shared" si="3"/>
        <v/>
      </c>
      <c r="F308" s="7" t="str">
        <f>IF($A308&lt;&gt;"",MAXIFS(Token!$C:$C,Token!$A:$A,$D308),)</f>
        <v/>
      </c>
    </row>
    <row r="309">
      <c r="A309" s="39" t="str">
        <f>IF(AND($L309*1&gt;=$G$3,$L309*1&lt;=$G$4,$I309*$J309&gt;0,OR($I309&lt;&gt;$I310,$L309-$L310&gt;25),IF(ABS($I309)&gt;10,$I309/POW(10,$J309),$J309/POW(10,$I309))*MAXIFS(Token!$C:$C,Token!$A:$A,$K309)&gt;0.01),$L309/86400+DATE(1970,1,1)+$G$6,)</f>
        <v/>
      </c>
      <c r="B309" s="27" t="str">
        <f t="shared" si="1"/>
        <v/>
      </c>
      <c r="C309" s="14" t="str">
        <f>IF($A309&lt;&gt;"",MINIFS(Merchant!$A:$A,Merchant!$B:$B,$G$2),)</f>
        <v/>
      </c>
      <c r="D309" s="14" t="str">
        <f t="shared" si="2"/>
        <v/>
      </c>
      <c r="E309" s="14" t="str">
        <f t="shared" si="3"/>
        <v/>
      </c>
      <c r="F309" s="7" t="str">
        <f>IF($A309&lt;&gt;"",MAXIFS(Token!$C:$C,Token!$A:$A,$D309),)</f>
        <v/>
      </c>
    </row>
    <row r="310">
      <c r="A310" s="39" t="str">
        <f>IF(AND($L310*1&gt;=$G$3,$L310*1&lt;=$G$4,$I310*$J310&gt;0,OR($I310&lt;&gt;$I311,$L310-$L311&gt;25),IF(ABS($I310)&gt;10,$I310/POW(10,$J310),$J310/POW(10,$I310))*MAXIFS(Token!$C:$C,Token!$A:$A,$K310)&gt;0.01),$L310/86400+DATE(1970,1,1)+$G$6,)</f>
        <v/>
      </c>
      <c r="B310" s="27" t="str">
        <f t="shared" si="1"/>
        <v/>
      </c>
      <c r="C310" s="14" t="str">
        <f>IF($A310&lt;&gt;"",MINIFS(Merchant!$A:$A,Merchant!$B:$B,$G$2),)</f>
        <v/>
      </c>
      <c r="D310" s="14" t="str">
        <f t="shared" si="2"/>
        <v/>
      </c>
      <c r="E310" s="14" t="str">
        <f t="shared" si="3"/>
        <v/>
      </c>
      <c r="F310" s="7" t="str">
        <f>IF($A310&lt;&gt;"",MAXIFS(Token!$C:$C,Token!$A:$A,$D310),)</f>
        <v/>
      </c>
    </row>
    <row r="311">
      <c r="A311" s="39" t="str">
        <f>IF(AND($L311*1&gt;=$G$3,$L311*1&lt;=$G$4,$I311*$J311&gt;0,OR($I311&lt;&gt;$I312,$L311-$L312&gt;25),IF(ABS($I311)&gt;10,$I311/POW(10,$J311),$J311/POW(10,$I311))*MAXIFS(Token!$C:$C,Token!$A:$A,$K311)&gt;0.01),$L311/86400+DATE(1970,1,1)+$G$6,)</f>
        <v/>
      </c>
      <c r="B311" s="27" t="str">
        <f t="shared" si="1"/>
        <v/>
      </c>
      <c r="C311" s="14" t="str">
        <f>IF($A311&lt;&gt;"",MINIFS(Merchant!$A:$A,Merchant!$B:$B,$G$2),)</f>
        <v/>
      </c>
      <c r="D311" s="14" t="str">
        <f t="shared" si="2"/>
        <v/>
      </c>
      <c r="E311" s="14" t="str">
        <f t="shared" si="3"/>
        <v/>
      </c>
      <c r="F311" s="7" t="str">
        <f>IF($A311&lt;&gt;"",MAXIFS(Token!$C:$C,Token!$A:$A,$D311),)</f>
        <v/>
      </c>
    </row>
    <row r="312">
      <c r="A312" s="39" t="str">
        <f>IF(AND($L312*1&gt;=$G$3,$L312*1&lt;=$G$4,$I312*$J312&gt;0,OR($I312&lt;&gt;$I313,$L312-$L313&gt;25),IF(ABS($I312)&gt;10,$I312/POW(10,$J312),$J312/POW(10,$I312))*MAXIFS(Token!$C:$C,Token!$A:$A,$K312)&gt;0.01),$L312/86400+DATE(1970,1,1)+$G$6,)</f>
        <v/>
      </c>
      <c r="B312" s="27" t="str">
        <f t="shared" si="1"/>
        <v/>
      </c>
      <c r="C312" s="14" t="str">
        <f>IF($A312&lt;&gt;"",MINIFS(Merchant!$A:$A,Merchant!$B:$B,$G$2),)</f>
        <v/>
      </c>
      <c r="D312" s="14" t="str">
        <f t="shared" si="2"/>
        <v/>
      </c>
      <c r="E312" s="14" t="str">
        <f t="shared" si="3"/>
        <v/>
      </c>
      <c r="F312" s="7" t="str">
        <f>IF($A312&lt;&gt;"",MAXIFS(Token!$C:$C,Token!$A:$A,$D312),)</f>
        <v/>
      </c>
    </row>
    <row r="313">
      <c r="A313" s="39" t="str">
        <f>IF(AND($L313*1&gt;=$G$3,$L313*1&lt;=$G$4,$I313*$J313&gt;0,OR($I313&lt;&gt;$I314,$L313-$L314&gt;25),IF(ABS($I313)&gt;10,$I313/POW(10,$J313),$J313/POW(10,$I313))*MAXIFS(Token!$C:$C,Token!$A:$A,$K313)&gt;0.01),$L313/86400+DATE(1970,1,1)+$G$6,)</f>
        <v/>
      </c>
      <c r="B313" s="27" t="str">
        <f t="shared" si="1"/>
        <v/>
      </c>
      <c r="C313" s="14" t="str">
        <f>IF($A313&lt;&gt;"",MINIFS(Merchant!$A:$A,Merchant!$B:$B,$G$2),)</f>
        <v/>
      </c>
      <c r="D313" s="14" t="str">
        <f t="shared" si="2"/>
        <v/>
      </c>
      <c r="E313" s="14" t="str">
        <f t="shared" si="3"/>
        <v/>
      </c>
      <c r="F313" s="7" t="str">
        <f>IF($A313&lt;&gt;"",MAXIFS(Token!$C:$C,Token!$A:$A,$D313),)</f>
        <v/>
      </c>
    </row>
    <row r="314">
      <c r="A314" s="39" t="str">
        <f>IF(AND($L314*1&gt;=$G$3,$L314*1&lt;=$G$4,$I314*$J314&gt;0,OR($I314&lt;&gt;$I315,$L314-$L315&gt;25),IF(ABS($I314)&gt;10,$I314/POW(10,$J314),$J314/POW(10,$I314))*MAXIFS(Token!$C:$C,Token!$A:$A,$K314)&gt;0.01),$L314/86400+DATE(1970,1,1)+$G$6,)</f>
        <v/>
      </c>
      <c r="B314" s="27" t="str">
        <f t="shared" si="1"/>
        <v/>
      </c>
      <c r="C314" s="14" t="str">
        <f>IF($A314&lt;&gt;"",MINIFS(Merchant!$A:$A,Merchant!$B:$B,$G$2),)</f>
        <v/>
      </c>
      <c r="D314" s="14" t="str">
        <f t="shared" si="2"/>
        <v/>
      </c>
      <c r="E314" s="14" t="str">
        <f t="shared" si="3"/>
        <v/>
      </c>
      <c r="F314" s="7" t="str">
        <f>IF($A314&lt;&gt;"",MAXIFS(Token!$C:$C,Token!$A:$A,$D314),)</f>
        <v/>
      </c>
    </row>
    <row r="315">
      <c r="A315" s="39" t="str">
        <f>IF(AND($L315*1&gt;=$G$3,$L315*1&lt;=$G$4,$I315*$J315&gt;0,OR($I315&lt;&gt;$I316,$L315-$L316&gt;25),IF(ABS($I315)&gt;10,$I315/POW(10,$J315),$J315/POW(10,$I315))*MAXIFS(Token!$C:$C,Token!$A:$A,$K315)&gt;0.01),$L315/86400+DATE(1970,1,1)+$G$6,)</f>
        <v/>
      </c>
      <c r="B315" s="27" t="str">
        <f t="shared" si="1"/>
        <v/>
      </c>
      <c r="C315" s="14" t="str">
        <f>IF($A315&lt;&gt;"",MINIFS(Merchant!$A:$A,Merchant!$B:$B,$G$2),)</f>
        <v/>
      </c>
      <c r="D315" s="14" t="str">
        <f t="shared" si="2"/>
        <v/>
      </c>
      <c r="E315" s="14" t="str">
        <f t="shared" si="3"/>
        <v/>
      </c>
      <c r="F315" s="7" t="str">
        <f>IF($A315&lt;&gt;"",MAXIFS(Token!$C:$C,Token!$A:$A,$D315),)</f>
        <v/>
      </c>
    </row>
    <row r="316">
      <c r="A316" s="39" t="str">
        <f>IF(AND($L316*1&gt;=$G$3,$L316*1&lt;=$G$4,$I316*$J316&gt;0,OR($I316&lt;&gt;$I317,$L316-$L317&gt;25),IF(ABS($I316)&gt;10,$I316/POW(10,$J316),$J316/POW(10,$I316))*MAXIFS(Token!$C:$C,Token!$A:$A,$K316)&gt;0.01),$L316/86400+DATE(1970,1,1)+$G$6,)</f>
        <v/>
      </c>
      <c r="B316" s="27" t="str">
        <f t="shared" si="1"/>
        <v/>
      </c>
      <c r="C316" s="14" t="str">
        <f>IF($A316&lt;&gt;"",MINIFS(Merchant!$A:$A,Merchant!$B:$B,$G$2),)</f>
        <v/>
      </c>
      <c r="D316" s="14" t="str">
        <f t="shared" si="2"/>
        <v/>
      </c>
      <c r="E316" s="14" t="str">
        <f t="shared" si="3"/>
        <v/>
      </c>
      <c r="F316" s="7" t="str">
        <f>IF($A316&lt;&gt;"",MAXIFS(Token!$C:$C,Token!$A:$A,$D316),)</f>
        <v/>
      </c>
    </row>
    <row r="317">
      <c r="A317" s="39" t="str">
        <f>IF(AND($L317*1&gt;=$G$3,$L317*1&lt;=$G$4,$I317*$J317&gt;0,OR($I317&lt;&gt;$I318,$L317-$L318&gt;25),IF(ABS($I317)&gt;10,$I317/POW(10,$J317),$J317/POW(10,$I317))*MAXIFS(Token!$C:$C,Token!$A:$A,$K317)&gt;0.01),$L317/86400+DATE(1970,1,1)+$G$6,)</f>
        <v/>
      </c>
      <c r="B317" s="27" t="str">
        <f t="shared" si="1"/>
        <v/>
      </c>
      <c r="C317" s="14" t="str">
        <f>IF($A317&lt;&gt;"",MINIFS(Merchant!$A:$A,Merchant!$B:$B,$G$2),)</f>
        <v/>
      </c>
      <c r="D317" s="14" t="str">
        <f t="shared" si="2"/>
        <v/>
      </c>
      <c r="E317" s="14" t="str">
        <f t="shared" si="3"/>
        <v/>
      </c>
      <c r="F317" s="7" t="str">
        <f>IF($A317&lt;&gt;"",MAXIFS(Token!$C:$C,Token!$A:$A,$D317),)</f>
        <v/>
      </c>
    </row>
    <row r="318">
      <c r="A318" s="39" t="str">
        <f>IF(AND($L318*1&gt;=$G$3,$L318*1&lt;=$G$4,$I318*$J318&gt;0,OR($I318&lt;&gt;$I319,$L318-$L319&gt;25),IF(ABS($I318)&gt;10,$I318/POW(10,$J318),$J318/POW(10,$I318))*MAXIFS(Token!$C:$C,Token!$A:$A,$K318)&gt;0.01),$L318/86400+DATE(1970,1,1)+$G$6,)</f>
        <v/>
      </c>
      <c r="B318" s="27" t="str">
        <f t="shared" si="1"/>
        <v/>
      </c>
      <c r="C318" s="14" t="str">
        <f>IF($A318&lt;&gt;"",MINIFS(Merchant!$A:$A,Merchant!$B:$B,$G$2),)</f>
        <v/>
      </c>
      <c r="D318" s="14" t="str">
        <f t="shared" si="2"/>
        <v/>
      </c>
      <c r="E318" s="14" t="str">
        <f t="shared" si="3"/>
        <v/>
      </c>
      <c r="F318" s="7" t="str">
        <f>IF($A318&lt;&gt;"",MAXIFS(Token!$C:$C,Token!$A:$A,$D318),)</f>
        <v/>
      </c>
    </row>
    <row r="319">
      <c r="A319" s="39" t="str">
        <f>IF(AND($L319*1&gt;=$G$3,$L319*1&lt;=$G$4,$I319*$J319&gt;0,OR($I319&lt;&gt;$I320,$L319-$L320&gt;25),IF(ABS($I319)&gt;10,$I319/POW(10,$J319),$J319/POW(10,$I319))*MAXIFS(Token!$C:$C,Token!$A:$A,$K319)&gt;0.01),$L319/86400+DATE(1970,1,1)+$G$6,)</f>
        <v/>
      </c>
      <c r="B319" s="27" t="str">
        <f t="shared" si="1"/>
        <v/>
      </c>
      <c r="C319" s="14" t="str">
        <f>IF($A319&lt;&gt;"",MINIFS(Merchant!$A:$A,Merchant!$B:$B,$G$2),)</f>
        <v/>
      </c>
      <c r="D319" s="14" t="str">
        <f t="shared" si="2"/>
        <v/>
      </c>
      <c r="E319" s="14" t="str">
        <f t="shared" si="3"/>
        <v/>
      </c>
      <c r="F319" s="7" t="str">
        <f>IF($A319&lt;&gt;"",MAXIFS(Token!$C:$C,Token!$A:$A,$D319),)</f>
        <v/>
      </c>
    </row>
    <row r="320">
      <c r="A320" s="39" t="str">
        <f>IF(AND($L320*1&gt;=$G$3,$L320*1&lt;=$G$4,$I320*$J320&gt;0,OR($I320&lt;&gt;$I321,$L320-$L321&gt;25),IF(ABS($I320)&gt;10,$I320/POW(10,$J320),$J320/POW(10,$I320))*MAXIFS(Token!$C:$C,Token!$A:$A,$K320)&gt;0.01),$L320/86400+DATE(1970,1,1)+$G$6,)</f>
        <v/>
      </c>
      <c r="B320" s="27" t="str">
        <f t="shared" si="1"/>
        <v/>
      </c>
      <c r="C320" s="14" t="str">
        <f>IF($A320&lt;&gt;"",MINIFS(Merchant!$A:$A,Merchant!$B:$B,$G$2),)</f>
        <v/>
      </c>
      <c r="D320" s="14" t="str">
        <f t="shared" si="2"/>
        <v/>
      </c>
      <c r="E320" s="14" t="str">
        <f t="shared" si="3"/>
        <v/>
      </c>
      <c r="F320" s="7" t="str">
        <f>IF($A320&lt;&gt;"",MAXIFS(Token!$C:$C,Token!$A:$A,$D320),)</f>
        <v/>
      </c>
    </row>
    <row r="321">
      <c r="A321" s="39" t="str">
        <f>IF(AND($L321*1&gt;=$G$3,$L321*1&lt;=$G$4,$I321*$J321&gt;0,OR($I321&lt;&gt;$I322,$L321-$L322&gt;25),IF(ABS($I321)&gt;10,$I321/POW(10,$J321),$J321/POW(10,$I321))*MAXIFS(Token!$C:$C,Token!$A:$A,$K321)&gt;0.01),$L321/86400+DATE(1970,1,1)+$G$6,)</f>
        <v/>
      </c>
      <c r="B321" s="27" t="str">
        <f t="shared" si="1"/>
        <v/>
      </c>
      <c r="C321" s="14" t="str">
        <f>IF($A321&lt;&gt;"",MINIFS(Merchant!$A:$A,Merchant!$B:$B,$G$2),)</f>
        <v/>
      </c>
      <c r="D321" s="14" t="str">
        <f t="shared" si="2"/>
        <v/>
      </c>
      <c r="E321" s="14" t="str">
        <f t="shared" si="3"/>
        <v/>
      </c>
      <c r="F321" s="7" t="str">
        <f>IF($A321&lt;&gt;"",MAXIFS(Token!$C:$C,Token!$A:$A,$D321),)</f>
        <v/>
      </c>
    </row>
    <row r="322">
      <c r="A322" s="39" t="str">
        <f>IF(AND($L322*1&gt;=$G$3,$L322*1&lt;=$G$4,$I322*$J322&gt;0,OR($I322&lt;&gt;$I323,$L322-$L323&gt;25),IF(ABS($I322)&gt;10,$I322/POW(10,$J322),$J322/POW(10,$I322))*MAXIFS(Token!$C:$C,Token!$A:$A,$K322)&gt;0.01),$L322/86400+DATE(1970,1,1)+$G$6,)</f>
        <v/>
      </c>
      <c r="B322" s="27" t="str">
        <f t="shared" si="1"/>
        <v/>
      </c>
      <c r="C322" s="14" t="str">
        <f>IF($A322&lt;&gt;"",MINIFS(Merchant!$A:$A,Merchant!$B:$B,$G$2),)</f>
        <v/>
      </c>
      <c r="D322" s="14" t="str">
        <f t="shared" si="2"/>
        <v/>
      </c>
      <c r="E322" s="14" t="str">
        <f t="shared" si="3"/>
        <v/>
      </c>
      <c r="F322" s="7" t="str">
        <f>IF($A322&lt;&gt;"",MAXIFS(Token!$C:$C,Token!$A:$A,$D322),)</f>
        <v/>
      </c>
    </row>
    <row r="323">
      <c r="A323" s="39" t="str">
        <f>IF(AND($L323*1&gt;=$G$3,$L323*1&lt;=$G$4,$I323*$J323&gt;0,OR($I323&lt;&gt;$I324,$L323-$L324&gt;25),IF(ABS($I323)&gt;10,$I323/POW(10,$J323),$J323/POW(10,$I323))*MAXIFS(Token!$C:$C,Token!$A:$A,$K323)&gt;0.01),$L323/86400+DATE(1970,1,1)+$G$6,)</f>
        <v/>
      </c>
      <c r="B323" s="27" t="str">
        <f t="shared" si="1"/>
        <v/>
      </c>
      <c r="C323" s="14" t="str">
        <f>IF($A323&lt;&gt;"",MINIFS(Merchant!$A:$A,Merchant!$B:$B,$G$2),)</f>
        <v/>
      </c>
      <c r="D323" s="14" t="str">
        <f t="shared" si="2"/>
        <v/>
      </c>
      <c r="E323" s="14" t="str">
        <f t="shared" si="3"/>
        <v/>
      </c>
      <c r="F323" s="7" t="str">
        <f>IF($A323&lt;&gt;"",MAXIFS(Token!$C:$C,Token!$A:$A,$D323),)</f>
        <v/>
      </c>
    </row>
    <row r="324">
      <c r="A324" s="39" t="str">
        <f>IF(AND($L324*1&gt;=$G$3,$L324*1&lt;=$G$4,$I324*$J324&gt;0,OR($I324&lt;&gt;$I325,$L324-$L325&gt;25),IF(ABS($I324)&gt;10,$I324/POW(10,$J324),$J324/POW(10,$I324))*MAXIFS(Token!$C:$C,Token!$A:$A,$K324)&gt;0.01),$L324/86400+DATE(1970,1,1)+$G$6,)</f>
        <v/>
      </c>
      <c r="B324" s="27" t="str">
        <f t="shared" si="1"/>
        <v/>
      </c>
      <c r="C324" s="14" t="str">
        <f>IF($A324&lt;&gt;"",MINIFS(Merchant!$A:$A,Merchant!$B:$B,$G$2),)</f>
        <v/>
      </c>
      <c r="D324" s="14" t="str">
        <f t="shared" si="2"/>
        <v/>
      </c>
      <c r="E324" s="14" t="str">
        <f t="shared" si="3"/>
        <v/>
      </c>
      <c r="F324" s="7" t="str">
        <f>IF($A324&lt;&gt;"",MAXIFS(Token!$C:$C,Token!$A:$A,$D324),)</f>
        <v/>
      </c>
    </row>
    <row r="325">
      <c r="A325" s="39" t="str">
        <f>IF(AND($L325*1&gt;=$G$3,$L325*1&lt;=$G$4,$I325*$J325&gt;0,OR($I325&lt;&gt;$I326,$L325-$L326&gt;25),IF(ABS($I325)&gt;10,$I325/POW(10,$J325),$J325/POW(10,$I325))*MAXIFS(Token!$C:$C,Token!$A:$A,$K325)&gt;0.01),$L325/86400+DATE(1970,1,1)+$G$6,)</f>
        <v/>
      </c>
      <c r="B325" s="27" t="str">
        <f t="shared" si="1"/>
        <v/>
      </c>
      <c r="C325" s="14" t="str">
        <f>IF($A325&lt;&gt;"",MINIFS(Merchant!$A:$A,Merchant!$B:$B,$G$2),)</f>
        <v/>
      </c>
      <c r="D325" s="14" t="str">
        <f t="shared" si="2"/>
        <v/>
      </c>
      <c r="E325" s="14" t="str">
        <f t="shared" si="3"/>
        <v/>
      </c>
      <c r="F325" s="7" t="str">
        <f>IF($A325&lt;&gt;"",MAXIFS(Token!$C:$C,Token!$A:$A,$D325),)</f>
        <v/>
      </c>
    </row>
    <row r="326">
      <c r="A326" s="39" t="str">
        <f>IF(AND($L326*1&gt;=$G$3,$L326*1&lt;=$G$4,$I326*$J326&gt;0,OR($I326&lt;&gt;$I327,$L326-$L327&gt;25),IF(ABS($I326)&gt;10,$I326/POW(10,$J326),$J326/POW(10,$I326))*MAXIFS(Token!$C:$C,Token!$A:$A,$K326)&gt;0.01),$L326/86400+DATE(1970,1,1)+$G$6,)</f>
        <v/>
      </c>
      <c r="B326" s="27" t="str">
        <f t="shared" si="1"/>
        <v/>
      </c>
      <c r="C326" s="14" t="str">
        <f>IF($A326&lt;&gt;"",MINIFS(Merchant!$A:$A,Merchant!$B:$B,$G$2),)</f>
        <v/>
      </c>
      <c r="D326" s="14" t="str">
        <f t="shared" si="2"/>
        <v/>
      </c>
      <c r="E326" s="14" t="str">
        <f t="shared" si="3"/>
        <v/>
      </c>
      <c r="F326" s="7" t="str">
        <f>IF($A326&lt;&gt;"",MAXIFS(Token!$C:$C,Token!$A:$A,$D326),)</f>
        <v/>
      </c>
    </row>
    <row r="327">
      <c r="A327" s="39" t="str">
        <f>IF(AND($L327*1&gt;=$G$3,$L327*1&lt;=$G$4,$I327*$J327&gt;0,OR($I327&lt;&gt;$I328,$L327-$L328&gt;25),IF(ABS($I327)&gt;10,$I327/POW(10,$J327),$J327/POW(10,$I327))*MAXIFS(Token!$C:$C,Token!$A:$A,$K327)&gt;0.01),$L327/86400+DATE(1970,1,1)+$G$6,)</f>
        <v/>
      </c>
      <c r="B327" s="27" t="str">
        <f t="shared" si="1"/>
        <v/>
      </c>
      <c r="C327" s="14" t="str">
        <f>IF($A327&lt;&gt;"",MINIFS(Merchant!$A:$A,Merchant!$B:$B,$G$2),)</f>
        <v/>
      </c>
      <c r="D327" s="14" t="str">
        <f t="shared" si="2"/>
        <v/>
      </c>
      <c r="E327" s="14" t="str">
        <f t="shared" si="3"/>
        <v/>
      </c>
      <c r="F327" s="7" t="str">
        <f>IF($A327&lt;&gt;"",MAXIFS(Token!$C:$C,Token!$A:$A,$D327),)</f>
        <v/>
      </c>
    </row>
    <row r="328">
      <c r="A328" s="39" t="str">
        <f>IF(AND($L328*1&gt;=$G$3,$L328*1&lt;=$G$4,$I328*$J328&gt;0,OR($I328&lt;&gt;$I329,$L328-$L329&gt;25),IF(ABS($I328)&gt;10,$I328/POW(10,$J328),$J328/POW(10,$I328))*MAXIFS(Token!$C:$C,Token!$A:$A,$K328)&gt;0.01),$L328/86400+DATE(1970,1,1)+$G$6,)</f>
        <v/>
      </c>
      <c r="B328" s="27" t="str">
        <f t="shared" si="1"/>
        <v/>
      </c>
      <c r="C328" s="14" t="str">
        <f>IF($A328&lt;&gt;"",MINIFS(Merchant!$A:$A,Merchant!$B:$B,$G$2),)</f>
        <v/>
      </c>
      <c r="D328" s="14" t="str">
        <f t="shared" si="2"/>
        <v/>
      </c>
      <c r="E328" s="14" t="str">
        <f t="shared" si="3"/>
        <v/>
      </c>
      <c r="F328" s="7" t="str">
        <f>IF($A328&lt;&gt;"",MAXIFS(Token!$C:$C,Token!$A:$A,$D328),)</f>
        <v/>
      </c>
    </row>
    <row r="329">
      <c r="A329" s="39" t="str">
        <f>IF(AND($L329*1&gt;=$G$3,$L329*1&lt;=$G$4,$I329*$J329&gt;0,OR($I329&lt;&gt;$I330,$L329-$L330&gt;25),IF(ABS($I329)&gt;10,$I329/POW(10,$J329),$J329/POW(10,$I329))*MAXIFS(Token!$C:$C,Token!$A:$A,$K329)&gt;0.01),$L329/86400+DATE(1970,1,1)+$G$6,)</f>
        <v/>
      </c>
      <c r="B329" s="27" t="str">
        <f t="shared" si="1"/>
        <v/>
      </c>
      <c r="C329" s="14" t="str">
        <f>IF($A329&lt;&gt;"",MINIFS(Merchant!$A:$A,Merchant!$B:$B,$G$2),)</f>
        <v/>
      </c>
      <c r="D329" s="14" t="str">
        <f t="shared" si="2"/>
        <v/>
      </c>
      <c r="E329" s="14" t="str">
        <f t="shared" si="3"/>
        <v/>
      </c>
      <c r="F329" s="7" t="str">
        <f>IF($A329&lt;&gt;"",MAXIFS(Token!$C:$C,Token!$A:$A,$D329),)</f>
        <v/>
      </c>
    </row>
    <row r="330">
      <c r="A330" s="39" t="str">
        <f>IF(AND($L330*1&gt;=$G$3,$L330*1&lt;=$G$4,$I330*$J330&gt;0,OR($I330&lt;&gt;$I331,$L330-$L331&gt;25),IF(ABS($I330)&gt;10,$I330/POW(10,$J330),$J330/POW(10,$I330))*MAXIFS(Token!$C:$C,Token!$A:$A,$K330)&gt;0.01),$L330/86400+DATE(1970,1,1)+$G$6,)</f>
        <v/>
      </c>
      <c r="B330" s="27" t="str">
        <f t="shared" si="1"/>
        <v/>
      </c>
      <c r="C330" s="14" t="str">
        <f>IF($A330&lt;&gt;"",MINIFS(Merchant!$A:$A,Merchant!$B:$B,$G$2),)</f>
        <v/>
      </c>
      <c r="D330" s="14" t="str">
        <f t="shared" si="2"/>
        <v/>
      </c>
      <c r="E330" s="14" t="str">
        <f t="shared" si="3"/>
        <v/>
      </c>
      <c r="F330" s="7" t="str">
        <f>IF($A330&lt;&gt;"",MAXIFS(Token!$C:$C,Token!$A:$A,$D330),)</f>
        <v/>
      </c>
    </row>
    <row r="331">
      <c r="A331" s="39" t="str">
        <f>IF(AND($L331*1&gt;=$G$3,$L331*1&lt;=$G$4,$I331*$J331&gt;0,OR($I331&lt;&gt;$I332,$L331-$L332&gt;25),IF(ABS($I331)&gt;10,$I331/POW(10,$J331),$J331/POW(10,$I331))*MAXIFS(Token!$C:$C,Token!$A:$A,$K331)&gt;0.01),$L331/86400+DATE(1970,1,1)+$G$6,)</f>
        <v/>
      </c>
      <c r="B331" s="27" t="str">
        <f t="shared" si="1"/>
        <v/>
      </c>
      <c r="C331" s="14" t="str">
        <f>IF($A331&lt;&gt;"",MINIFS(Merchant!$A:$A,Merchant!$B:$B,$G$2),)</f>
        <v/>
      </c>
      <c r="D331" s="14" t="str">
        <f t="shared" si="2"/>
        <v/>
      </c>
      <c r="E331" s="14" t="str">
        <f t="shared" si="3"/>
        <v/>
      </c>
      <c r="F331" s="7" t="str">
        <f>IF($A331&lt;&gt;"",MAXIFS(Token!$C:$C,Token!$A:$A,$D331),)</f>
        <v/>
      </c>
    </row>
    <row r="332">
      <c r="A332" s="39" t="str">
        <f>IF(AND($L332*1&gt;=$G$3,$L332*1&lt;=$G$4,$I332*$J332&gt;0,OR($I332&lt;&gt;$I333,$L332-$L333&gt;25),IF(ABS($I332)&gt;10,$I332/POW(10,$J332),$J332/POW(10,$I332))*MAXIFS(Token!$C:$C,Token!$A:$A,$K332)&gt;0.01),$L332/86400+DATE(1970,1,1)+$G$6,)</f>
        <v/>
      </c>
      <c r="B332" s="27" t="str">
        <f t="shared" si="1"/>
        <v/>
      </c>
      <c r="C332" s="14" t="str">
        <f>IF($A332&lt;&gt;"",MINIFS(Merchant!$A:$A,Merchant!$B:$B,$G$2),)</f>
        <v/>
      </c>
      <c r="D332" s="14" t="str">
        <f t="shared" si="2"/>
        <v/>
      </c>
      <c r="E332" s="14" t="str">
        <f t="shared" si="3"/>
        <v/>
      </c>
      <c r="F332" s="7" t="str">
        <f>IF($A332&lt;&gt;"",MAXIFS(Token!$C:$C,Token!$A:$A,$D332),)</f>
        <v/>
      </c>
    </row>
    <row r="333">
      <c r="A333" s="39" t="str">
        <f>IF(AND($L333*1&gt;=$G$3,$L333*1&lt;=$G$4,$I333*$J333&gt;0,OR($I333&lt;&gt;$I334,$L333-$L334&gt;25),IF(ABS($I333)&gt;10,$I333/POW(10,$J333),$J333/POW(10,$I333))*MAXIFS(Token!$C:$C,Token!$A:$A,$K333)&gt;0.01),$L333/86400+DATE(1970,1,1)+$G$6,)</f>
        <v/>
      </c>
      <c r="B333" s="27" t="str">
        <f t="shared" si="1"/>
        <v/>
      </c>
      <c r="C333" s="14" t="str">
        <f>IF($A333&lt;&gt;"",MINIFS(Merchant!$A:$A,Merchant!$B:$B,$G$2),)</f>
        <v/>
      </c>
      <c r="D333" s="14" t="str">
        <f t="shared" si="2"/>
        <v/>
      </c>
      <c r="E333" s="14" t="str">
        <f t="shared" si="3"/>
        <v/>
      </c>
      <c r="F333" s="7" t="str">
        <f>IF($A333&lt;&gt;"",MAXIFS(Token!$C:$C,Token!$A:$A,$D333),)</f>
        <v/>
      </c>
    </row>
    <row r="334">
      <c r="A334" s="39" t="str">
        <f>IF(AND($L334*1&gt;=$G$3,$L334*1&lt;=$G$4,$I334*$J334&gt;0,OR($I334&lt;&gt;$I335,$L334-$L335&gt;25),IF(ABS($I334)&gt;10,$I334/POW(10,$J334),$J334/POW(10,$I334))*MAXIFS(Token!$C:$C,Token!$A:$A,$K334)&gt;0.01),$L334/86400+DATE(1970,1,1)+$G$6,)</f>
        <v/>
      </c>
      <c r="B334" s="27" t="str">
        <f t="shared" si="1"/>
        <v/>
      </c>
      <c r="C334" s="14" t="str">
        <f>IF($A334&lt;&gt;"",MINIFS(Merchant!$A:$A,Merchant!$B:$B,$G$2),)</f>
        <v/>
      </c>
      <c r="D334" s="14" t="str">
        <f t="shared" si="2"/>
        <v/>
      </c>
      <c r="E334" s="14" t="str">
        <f t="shared" si="3"/>
        <v/>
      </c>
      <c r="F334" s="7" t="str">
        <f>IF($A334&lt;&gt;"",MAXIFS(Token!$C:$C,Token!$A:$A,$D334),)</f>
        <v/>
      </c>
    </row>
    <row r="335">
      <c r="A335" s="39" t="str">
        <f>IF(AND($L335*1&gt;=$G$3,$L335*1&lt;=$G$4,$I335*$J335&gt;0,OR($I335&lt;&gt;$I336,$L335-$L336&gt;25),IF(ABS($I335)&gt;10,$I335/POW(10,$J335),$J335/POW(10,$I335))*MAXIFS(Token!$C:$C,Token!$A:$A,$K335)&gt;0.01),$L335/86400+DATE(1970,1,1)+$G$6,)</f>
        <v/>
      </c>
      <c r="B335" s="27" t="str">
        <f t="shared" si="1"/>
        <v/>
      </c>
      <c r="C335" s="14" t="str">
        <f>IF($A335&lt;&gt;"",MINIFS(Merchant!$A:$A,Merchant!$B:$B,$G$2),)</f>
        <v/>
      </c>
      <c r="D335" s="14" t="str">
        <f t="shared" si="2"/>
        <v/>
      </c>
      <c r="E335" s="14" t="str">
        <f t="shared" si="3"/>
        <v/>
      </c>
      <c r="F335" s="7" t="str">
        <f>IF($A335&lt;&gt;"",MAXIFS(Token!$C:$C,Token!$A:$A,$D335),)</f>
        <v/>
      </c>
    </row>
    <row r="336">
      <c r="A336" s="39" t="str">
        <f>IF(AND($L336*1&gt;=$G$3,$L336*1&lt;=$G$4,$I336*$J336&gt;0,OR($I336&lt;&gt;$I337,$L336-$L337&gt;25),IF(ABS($I336)&gt;10,$I336/POW(10,$J336),$J336/POW(10,$I336))*MAXIFS(Token!$C:$C,Token!$A:$A,$K336)&gt;0.01),$L336/86400+DATE(1970,1,1)+$G$6,)</f>
        <v/>
      </c>
      <c r="B336" s="27" t="str">
        <f t="shared" si="1"/>
        <v/>
      </c>
      <c r="C336" s="14" t="str">
        <f>IF($A336&lt;&gt;"",MINIFS(Merchant!$A:$A,Merchant!$B:$B,$G$2),)</f>
        <v/>
      </c>
      <c r="D336" s="14" t="str">
        <f t="shared" si="2"/>
        <v/>
      </c>
      <c r="E336" s="14" t="str">
        <f t="shared" si="3"/>
        <v/>
      </c>
      <c r="F336" s="7" t="str">
        <f>IF($A336&lt;&gt;"",MAXIFS(Token!$C:$C,Token!$A:$A,$D336),)</f>
        <v/>
      </c>
    </row>
    <row r="337">
      <c r="A337" s="39" t="str">
        <f>IF(AND($L337*1&gt;=$G$3,$L337*1&lt;=$G$4,$I337*$J337&gt;0,OR($I337&lt;&gt;$I338,$L337-$L338&gt;25),IF(ABS($I337)&gt;10,$I337/POW(10,$J337),$J337/POW(10,$I337))*MAXIFS(Token!$C:$C,Token!$A:$A,$K337)&gt;0.01),$L337/86400+DATE(1970,1,1)+$G$6,)</f>
        <v/>
      </c>
      <c r="B337" s="27" t="str">
        <f t="shared" si="1"/>
        <v/>
      </c>
      <c r="C337" s="14" t="str">
        <f>IF($A337&lt;&gt;"",MINIFS(Merchant!$A:$A,Merchant!$B:$B,$G$2),)</f>
        <v/>
      </c>
      <c r="D337" s="14" t="str">
        <f t="shared" si="2"/>
        <v/>
      </c>
      <c r="E337" s="14" t="str">
        <f t="shared" si="3"/>
        <v/>
      </c>
      <c r="F337" s="7" t="str">
        <f>IF($A337&lt;&gt;"",MAXIFS(Token!$C:$C,Token!$A:$A,$D337),)</f>
        <v/>
      </c>
    </row>
    <row r="338">
      <c r="A338" s="39" t="str">
        <f>IF(AND($L338*1&gt;=$G$3,$L338*1&lt;=$G$4,$I338*$J338&gt;0,OR($I338&lt;&gt;$I339,$L338-$L339&gt;25),IF(ABS($I338)&gt;10,$I338/POW(10,$J338),$J338/POW(10,$I338))*MAXIFS(Token!$C:$C,Token!$A:$A,$K338)&gt;0.01),$L338/86400+DATE(1970,1,1)+$G$6,)</f>
        <v/>
      </c>
      <c r="B338" s="27" t="str">
        <f t="shared" si="1"/>
        <v/>
      </c>
      <c r="C338" s="14" t="str">
        <f>IF($A338&lt;&gt;"",MINIFS(Merchant!$A:$A,Merchant!$B:$B,$G$2),)</f>
        <v/>
      </c>
      <c r="D338" s="14" t="str">
        <f t="shared" si="2"/>
        <v/>
      </c>
      <c r="E338" s="14" t="str">
        <f t="shared" si="3"/>
        <v/>
      </c>
      <c r="F338" s="7" t="str">
        <f>IF($A338&lt;&gt;"",MAXIFS(Token!$C:$C,Token!$A:$A,$D338),)</f>
        <v/>
      </c>
    </row>
    <row r="339">
      <c r="A339" s="39" t="str">
        <f>IF(AND($L339*1&gt;=$G$3,$L339*1&lt;=$G$4,$I339*$J339&gt;0,OR($I339&lt;&gt;$I340,$L339-$L340&gt;25),IF(ABS($I339)&gt;10,$I339/POW(10,$J339),$J339/POW(10,$I339))*MAXIFS(Token!$C:$C,Token!$A:$A,$K339)&gt;0.01),$L339/86400+DATE(1970,1,1)+$G$6,)</f>
        <v/>
      </c>
      <c r="B339" s="27" t="str">
        <f t="shared" si="1"/>
        <v/>
      </c>
      <c r="C339" s="14" t="str">
        <f>IF($A339&lt;&gt;"",MINIFS(Merchant!$A:$A,Merchant!$B:$B,$G$2),)</f>
        <v/>
      </c>
      <c r="D339" s="14" t="str">
        <f t="shared" si="2"/>
        <v/>
      </c>
      <c r="E339" s="14" t="str">
        <f t="shared" si="3"/>
        <v/>
      </c>
      <c r="F339" s="7" t="str">
        <f>IF($A339&lt;&gt;"",MAXIFS(Token!$C:$C,Token!$A:$A,$D339),)</f>
        <v/>
      </c>
    </row>
    <row r="340">
      <c r="A340" s="39" t="str">
        <f>IF(AND($L340*1&gt;=$G$3,$L340*1&lt;=$G$4,$I340*$J340&gt;0,OR($I340&lt;&gt;$I341,$L340-$L341&gt;25),IF(ABS($I340)&gt;10,$I340/POW(10,$J340),$J340/POW(10,$I340))*MAXIFS(Token!$C:$C,Token!$A:$A,$K340)&gt;0.01),$L340/86400+DATE(1970,1,1)+$G$6,)</f>
        <v/>
      </c>
      <c r="B340" s="27" t="str">
        <f t="shared" si="1"/>
        <v/>
      </c>
      <c r="C340" s="14" t="str">
        <f>IF($A340&lt;&gt;"",MINIFS(Merchant!$A:$A,Merchant!$B:$B,$G$2),)</f>
        <v/>
      </c>
      <c r="D340" s="14" t="str">
        <f t="shared" si="2"/>
        <v/>
      </c>
      <c r="E340" s="14" t="str">
        <f t="shared" si="3"/>
        <v/>
      </c>
      <c r="F340" s="7" t="str">
        <f>IF($A340&lt;&gt;"",MAXIFS(Token!$C:$C,Token!$A:$A,$D340),)</f>
        <v/>
      </c>
    </row>
    <row r="341">
      <c r="A341" s="39" t="str">
        <f>IF(AND($L341*1&gt;=$G$3,$L341*1&lt;=$G$4,$I341*$J341&gt;0,OR($I341&lt;&gt;$I342,$L341-$L342&gt;25),IF(ABS($I341)&gt;10,$I341/POW(10,$J341),$J341/POW(10,$I341))*MAXIFS(Token!$C:$C,Token!$A:$A,$K341)&gt;0.01),$L341/86400+DATE(1970,1,1)+$G$6,)</f>
        <v/>
      </c>
      <c r="B341" s="27" t="str">
        <f t="shared" si="1"/>
        <v/>
      </c>
      <c r="C341" s="14" t="str">
        <f>IF($A341&lt;&gt;"",MINIFS(Merchant!$A:$A,Merchant!$B:$B,$G$2),)</f>
        <v/>
      </c>
      <c r="D341" s="14" t="str">
        <f t="shared" si="2"/>
        <v/>
      </c>
      <c r="E341" s="14" t="str">
        <f t="shared" si="3"/>
        <v/>
      </c>
      <c r="F341" s="7" t="str">
        <f>IF($A341&lt;&gt;"",MAXIFS(Token!$C:$C,Token!$A:$A,$D341),)</f>
        <v/>
      </c>
    </row>
    <row r="342">
      <c r="A342" s="39" t="str">
        <f>IF(AND($L342*1&gt;=$G$3,$L342*1&lt;=$G$4,$I342*$J342&gt;0,OR($I342&lt;&gt;$I343,$L342-$L343&gt;25),IF(ABS($I342)&gt;10,$I342/POW(10,$J342),$J342/POW(10,$I342))*MAXIFS(Token!$C:$C,Token!$A:$A,$K342)&gt;0.01),$L342/86400+DATE(1970,1,1)+$G$6,)</f>
        <v/>
      </c>
      <c r="B342" s="27" t="str">
        <f t="shared" si="1"/>
        <v/>
      </c>
      <c r="C342" s="14" t="str">
        <f>IF($A342&lt;&gt;"",MINIFS(Merchant!$A:$A,Merchant!$B:$B,$G$2),)</f>
        <v/>
      </c>
      <c r="D342" s="14" t="str">
        <f t="shared" si="2"/>
        <v/>
      </c>
      <c r="E342" s="14" t="str">
        <f t="shared" si="3"/>
        <v/>
      </c>
      <c r="F342" s="7" t="str">
        <f>IF($A342&lt;&gt;"",MAXIFS(Token!$C:$C,Token!$A:$A,$D342),)</f>
        <v/>
      </c>
    </row>
    <row r="343">
      <c r="A343" s="39" t="str">
        <f>IF(AND($L343*1&gt;=$G$3,$L343*1&lt;=$G$4,$I343*$J343&gt;0,OR($I343&lt;&gt;$I344,$L343-$L344&gt;25),IF(ABS($I343)&gt;10,$I343/POW(10,$J343),$J343/POW(10,$I343))*MAXIFS(Token!$C:$C,Token!$A:$A,$K343)&gt;0.01),$L343/86400+DATE(1970,1,1)+$G$6,)</f>
        <v/>
      </c>
      <c r="B343" s="27" t="str">
        <f t="shared" si="1"/>
        <v/>
      </c>
      <c r="C343" s="14" t="str">
        <f>IF($A343&lt;&gt;"",MINIFS(Merchant!$A:$A,Merchant!$B:$B,$G$2),)</f>
        <v/>
      </c>
      <c r="D343" s="14" t="str">
        <f t="shared" si="2"/>
        <v/>
      </c>
      <c r="E343" s="14" t="str">
        <f t="shared" si="3"/>
        <v/>
      </c>
      <c r="F343" s="7" t="str">
        <f>IF($A343&lt;&gt;"",MAXIFS(Token!$C:$C,Token!$A:$A,$D343),)</f>
        <v/>
      </c>
    </row>
    <row r="344">
      <c r="A344" s="39" t="str">
        <f>IF(AND($L344*1&gt;=$G$3,$L344*1&lt;=$G$4,$I344*$J344&gt;0,OR($I344&lt;&gt;$I345,$L344-$L345&gt;25),IF(ABS($I344)&gt;10,$I344/POW(10,$J344),$J344/POW(10,$I344))*MAXIFS(Token!$C:$C,Token!$A:$A,$K344)&gt;0.01),$L344/86400+DATE(1970,1,1)+$G$6,)</f>
        <v/>
      </c>
      <c r="B344" s="27" t="str">
        <f t="shared" si="1"/>
        <v/>
      </c>
      <c r="C344" s="14" t="str">
        <f>IF($A344&lt;&gt;"",MINIFS(Merchant!$A:$A,Merchant!$B:$B,$G$2),)</f>
        <v/>
      </c>
      <c r="D344" s="14" t="str">
        <f t="shared" si="2"/>
        <v/>
      </c>
      <c r="E344" s="14" t="str">
        <f t="shared" si="3"/>
        <v/>
      </c>
      <c r="F344" s="7" t="str">
        <f>IF($A344&lt;&gt;"",MAXIFS(Token!$C:$C,Token!$A:$A,$D344),)</f>
        <v/>
      </c>
    </row>
    <row r="345">
      <c r="A345" s="39" t="str">
        <f>IF(AND($L345*1&gt;=$G$3,$L345*1&lt;=$G$4,$I345*$J345&gt;0,OR($I345&lt;&gt;$I346,$L345-$L346&gt;25),IF(ABS($I345)&gt;10,$I345/POW(10,$J345),$J345/POW(10,$I345))*MAXIFS(Token!$C:$C,Token!$A:$A,$K345)&gt;0.01),$L345/86400+DATE(1970,1,1)+$G$6,)</f>
        <v/>
      </c>
      <c r="B345" s="27" t="str">
        <f t="shared" si="1"/>
        <v/>
      </c>
      <c r="C345" s="14" t="str">
        <f>IF($A345&lt;&gt;"",MINIFS(Merchant!$A:$A,Merchant!$B:$B,$G$2),)</f>
        <v/>
      </c>
      <c r="D345" s="14" t="str">
        <f t="shared" si="2"/>
        <v/>
      </c>
      <c r="E345" s="14" t="str">
        <f t="shared" si="3"/>
        <v/>
      </c>
      <c r="F345" s="7" t="str">
        <f>IF($A345&lt;&gt;"",MAXIFS(Token!$C:$C,Token!$A:$A,$D345),)</f>
        <v/>
      </c>
    </row>
    <row r="346">
      <c r="A346" s="39" t="str">
        <f>IF(AND($L346*1&gt;=$G$3,$L346*1&lt;=$G$4,$I346*$J346&gt;0,OR($I346&lt;&gt;$I347,$L346-$L347&gt;25),IF(ABS($I346)&gt;10,$I346/POW(10,$J346),$J346/POW(10,$I346))*MAXIFS(Token!$C:$C,Token!$A:$A,$K346)&gt;0.01),$L346/86400+DATE(1970,1,1)+$G$6,)</f>
        <v/>
      </c>
      <c r="B346" s="27" t="str">
        <f t="shared" si="1"/>
        <v/>
      </c>
      <c r="C346" s="14" t="str">
        <f>IF($A346&lt;&gt;"",MINIFS(Merchant!$A:$A,Merchant!$B:$B,$G$2),)</f>
        <v/>
      </c>
      <c r="D346" s="14" t="str">
        <f t="shared" si="2"/>
        <v/>
      </c>
      <c r="E346" s="14" t="str">
        <f t="shared" si="3"/>
        <v/>
      </c>
      <c r="F346" s="7" t="str">
        <f>IF($A346&lt;&gt;"",MAXIFS(Token!$C:$C,Token!$A:$A,$D346),)</f>
        <v/>
      </c>
    </row>
    <row r="347">
      <c r="A347" s="39" t="str">
        <f>IF(AND($L347*1&gt;=$G$3,$L347*1&lt;=$G$4,$I347*$J347&gt;0,OR($I347&lt;&gt;$I348,$L347-$L348&gt;25),IF(ABS($I347)&gt;10,$I347/POW(10,$J347),$J347/POW(10,$I347))*MAXIFS(Token!$C:$C,Token!$A:$A,$K347)&gt;0.01),$L347/86400+DATE(1970,1,1)+$G$6,)</f>
        <v/>
      </c>
      <c r="B347" s="27" t="str">
        <f t="shared" si="1"/>
        <v/>
      </c>
      <c r="C347" s="14" t="str">
        <f>IF($A347&lt;&gt;"",MINIFS(Merchant!$A:$A,Merchant!$B:$B,$G$2),)</f>
        <v/>
      </c>
      <c r="D347" s="14" t="str">
        <f t="shared" si="2"/>
        <v/>
      </c>
      <c r="E347" s="14" t="str">
        <f t="shared" si="3"/>
        <v/>
      </c>
      <c r="F347" s="7" t="str">
        <f>IF($A347&lt;&gt;"",MAXIFS(Token!$C:$C,Token!$A:$A,$D347),)</f>
        <v/>
      </c>
    </row>
    <row r="348">
      <c r="A348" s="39" t="str">
        <f>IF(AND($L348*1&gt;=$G$3,$L348*1&lt;=$G$4,$I348*$J348&gt;0,OR($I348&lt;&gt;$I349,$L348-$L349&gt;25),IF(ABS($I348)&gt;10,$I348/POW(10,$J348),$J348/POW(10,$I348))*MAXIFS(Token!$C:$C,Token!$A:$A,$K348)&gt;0.01),$L348/86400+DATE(1970,1,1)+$G$6,)</f>
        <v/>
      </c>
      <c r="B348" s="27" t="str">
        <f t="shared" si="1"/>
        <v/>
      </c>
      <c r="C348" s="14" t="str">
        <f>IF($A348&lt;&gt;"",MINIFS(Merchant!$A:$A,Merchant!$B:$B,$G$2),)</f>
        <v/>
      </c>
      <c r="D348" s="14" t="str">
        <f t="shared" si="2"/>
        <v/>
      </c>
      <c r="E348" s="14" t="str">
        <f t="shared" si="3"/>
        <v/>
      </c>
      <c r="F348" s="7" t="str">
        <f>IF($A348&lt;&gt;"",MAXIFS(Token!$C:$C,Token!$A:$A,$D348),)</f>
        <v/>
      </c>
    </row>
    <row r="349">
      <c r="A349" s="39" t="str">
        <f>IF(AND($L349*1&gt;=$G$3,$L349*1&lt;=$G$4,$I349*$J349&gt;0,OR($I349&lt;&gt;$I350,$L349-$L350&gt;25),IF(ABS($I349)&gt;10,$I349/POW(10,$J349),$J349/POW(10,$I349))*MAXIFS(Token!$C:$C,Token!$A:$A,$K349)&gt;0.01),$L349/86400+DATE(1970,1,1)+$G$6,)</f>
        <v/>
      </c>
      <c r="B349" s="27" t="str">
        <f t="shared" si="1"/>
        <v/>
      </c>
      <c r="C349" s="14" t="str">
        <f>IF($A349&lt;&gt;"",MINIFS(Merchant!$A:$A,Merchant!$B:$B,$G$2),)</f>
        <v/>
      </c>
      <c r="D349" s="14" t="str">
        <f t="shared" si="2"/>
        <v/>
      </c>
      <c r="E349" s="14" t="str">
        <f t="shared" si="3"/>
        <v/>
      </c>
      <c r="F349" s="7" t="str">
        <f>IF($A349&lt;&gt;"",MAXIFS(Token!$C:$C,Token!$A:$A,$D349),)</f>
        <v/>
      </c>
    </row>
    <row r="350">
      <c r="A350" s="39" t="str">
        <f>IF(AND($L350*1&gt;=$G$3,$L350*1&lt;=$G$4,$I350*$J350&gt;0,OR($I350&lt;&gt;$I351,$L350-$L351&gt;25),IF(ABS($I350)&gt;10,$I350/POW(10,$J350),$J350/POW(10,$I350))*MAXIFS(Token!$C:$C,Token!$A:$A,$K350)&gt;0.01),$L350/86400+DATE(1970,1,1)+$G$6,)</f>
        <v/>
      </c>
      <c r="B350" s="27" t="str">
        <f t="shared" si="1"/>
        <v/>
      </c>
      <c r="C350" s="14" t="str">
        <f>IF($A350&lt;&gt;"",MINIFS(Merchant!$A:$A,Merchant!$B:$B,$G$2),)</f>
        <v/>
      </c>
      <c r="D350" s="14" t="str">
        <f t="shared" si="2"/>
        <v/>
      </c>
      <c r="E350" s="14" t="str">
        <f t="shared" si="3"/>
        <v/>
      </c>
      <c r="F350" s="7" t="str">
        <f>IF($A350&lt;&gt;"",MAXIFS(Token!$C:$C,Token!$A:$A,$D350),)</f>
        <v/>
      </c>
    </row>
    <row r="351">
      <c r="A351" s="39" t="str">
        <f>IF(AND($L351*1&gt;=$G$3,$L351*1&lt;=$G$4,$I351*$J351&gt;0,OR($I351&lt;&gt;$I352,$L351-$L352&gt;25),IF(ABS($I351)&gt;10,$I351/POW(10,$J351),$J351/POW(10,$I351))*MAXIFS(Token!$C:$C,Token!$A:$A,$K351)&gt;0.01),$L351/86400+DATE(1970,1,1)+$G$6,)</f>
        <v/>
      </c>
      <c r="B351" s="27" t="str">
        <f t="shared" si="1"/>
        <v/>
      </c>
      <c r="C351" s="14" t="str">
        <f>IF($A351&lt;&gt;"",MINIFS(Merchant!$A:$A,Merchant!$B:$B,$G$2),)</f>
        <v/>
      </c>
      <c r="D351" s="14" t="str">
        <f t="shared" si="2"/>
        <v/>
      </c>
      <c r="E351" s="14" t="str">
        <f t="shared" si="3"/>
        <v/>
      </c>
      <c r="F351" s="7" t="str">
        <f>IF($A351&lt;&gt;"",MAXIFS(Token!$C:$C,Token!$A:$A,$D351),)</f>
        <v/>
      </c>
    </row>
    <row r="352">
      <c r="A352" s="39" t="str">
        <f>IF(AND($L352*1&gt;=$G$3,$L352*1&lt;=$G$4,$I352*$J352&gt;0,OR($I352&lt;&gt;$I353,$L352-$L353&gt;25),IF(ABS($I352)&gt;10,$I352/POW(10,$J352),$J352/POW(10,$I352))*MAXIFS(Token!$C:$C,Token!$A:$A,$K352)&gt;0.01),$L352/86400+DATE(1970,1,1)+$G$6,)</f>
        <v/>
      </c>
      <c r="B352" s="27" t="str">
        <f t="shared" si="1"/>
        <v/>
      </c>
      <c r="C352" s="14" t="str">
        <f>IF($A352&lt;&gt;"",MINIFS(Merchant!$A:$A,Merchant!$B:$B,$G$2),)</f>
        <v/>
      </c>
      <c r="D352" s="14" t="str">
        <f t="shared" si="2"/>
        <v/>
      </c>
      <c r="E352" s="14" t="str">
        <f t="shared" si="3"/>
        <v/>
      </c>
      <c r="F352" s="7" t="str">
        <f>IF($A352&lt;&gt;"",MAXIFS(Token!$C:$C,Token!$A:$A,$D352),)</f>
        <v/>
      </c>
    </row>
    <row r="353">
      <c r="A353" s="39" t="str">
        <f>IF(AND($L353*1&gt;=$G$3,$L353*1&lt;=$G$4,$I353*$J353&gt;0,OR($I353&lt;&gt;$I354,$L353-$L354&gt;25),IF(ABS($I353)&gt;10,$I353/POW(10,$J353),$J353/POW(10,$I353))*MAXIFS(Token!$C:$C,Token!$A:$A,$K353)&gt;0.01),$L353/86400+DATE(1970,1,1)+$G$6,)</f>
        <v/>
      </c>
      <c r="B353" s="27" t="str">
        <f t="shared" si="1"/>
        <v/>
      </c>
      <c r="C353" s="14" t="str">
        <f>IF($A353&lt;&gt;"",MINIFS(Merchant!$A:$A,Merchant!$B:$B,$G$2),)</f>
        <v/>
      </c>
      <c r="D353" s="14" t="str">
        <f t="shared" si="2"/>
        <v/>
      </c>
      <c r="E353" s="14" t="str">
        <f t="shared" si="3"/>
        <v/>
      </c>
      <c r="F353" s="7" t="str">
        <f>IF($A353&lt;&gt;"",MAXIFS(Token!$C:$C,Token!$A:$A,$D353),)</f>
        <v/>
      </c>
    </row>
    <row r="354">
      <c r="A354" s="39" t="str">
        <f>IF(AND($L354*1&gt;=$G$3,$L354*1&lt;=$G$4,$I354*$J354&gt;0,OR($I354&lt;&gt;$I355,$L354-$L355&gt;25),IF(ABS($I354)&gt;10,$I354/POW(10,$J354),$J354/POW(10,$I354))*MAXIFS(Token!$C:$C,Token!$A:$A,$K354)&gt;0.01),$L354/86400+DATE(1970,1,1)+$G$6,)</f>
        <v/>
      </c>
      <c r="B354" s="27" t="str">
        <f t="shared" si="1"/>
        <v/>
      </c>
      <c r="C354" s="14" t="str">
        <f>IF($A354&lt;&gt;"",MINIFS(Merchant!$A:$A,Merchant!$B:$B,$G$2),)</f>
        <v/>
      </c>
      <c r="D354" s="14" t="str">
        <f t="shared" si="2"/>
        <v/>
      </c>
      <c r="E354" s="14" t="str">
        <f t="shared" si="3"/>
        <v/>
      </c>
      <c r="F354" s="7" t="str">
        <f>IF($A354&lt;&gt;"",MAXIFS(Token!$C:$C,Token!$A:$A,$D354),)</f>
        <v/>
      </c>
    </row>
    <row r="355">
      <c r="A355" s="39" t="str">
        <f>IF(AND($L355*1&gt;=$G$3,$L355*1&lt;=$G$4,$I355*$J355&gt;0,OR($I355&lt;&gt;$I356,$L355-$L356&gt;25),IF(ABS($I355)&gt;10,$I355/POW(10,$J355),$J355/POW(10,$I355))*MAXIFS(Token!$C:$C,Token!$A:$A,$K355)&gt;0.01),$L355/86400+DATE(1970,1,1)+$G$6,)</f>
        <v/>
      </c>
      <c r="B355" s="27" t="str">
        <f t="shared" si="1"/>
        <v/>
      </c>
      <c r="C355" s="14" t="str">
        <f>IF($A355&lt;&gt;"",MINIFS(Merchant!$A:$A,Merchant!$B:$B,$G$2),)</f>
        <v/>
      </c>
      <c r="D355" s="14" t="str">
        <f t="shared" si="2"/>
        <v/>
      </c>
      <c r="E355" s="14" t="str">
        <f t="shared" si="3"/>
        <v/>
      </c>
      <c r="F355" s="7" t="str">
        <f>IF($A355&lt;&gt;"",MAXIFS(Token!$C:$C,Token!$A:$A,$D355),)</f>
        <v/>
      </c>
    </row>
    <row r="356">
      <c r="A356" s="39" t="str">
        <f>IF(AND($L356*1&gt;=$G$3,$L356*1&lt;=$G$4,$I356*$J356&gt;0,OR($I356&lt;&gt;$I357,$L356-$L357&gt;25),IF(ABS($I356)&gt;10,$I356/POW(10,$J356),$J356/POW(10,$I356))*MAXIFS(Token!$C:$C,Token!$A:$A,$K356)&gt;0.01),$L356/86400+DATE(1970,1,1)+$G$6,)</f>
        <v/>
      </c>
      <c r="B356" s="27" t="str">
        <f t="shared" si="1"/>
        <v/>
      </c>
      <c r="C356" s="14" t="str">
        <f>IF($A356&lt;&gt;"",MINIFS(Merchant!$A:$A,Merchant!$B:$B,$G$2),)</f>
        <v/>
      </c>
      <c r="D356" s="14" t="str">
        <f t="shared" si="2"/>
        <v/>
      </c>
      <c r="E356" s="14" t="str">
        <f t="shared" si="3"/>
        <v/>
      </c>
      <c r="F356" s="7" t="str">
        <f>IF($A356&lt;&gt;"",MAXIFS(Token!$C:$C,Token!$A:$A,$D356),)</f>
        <v/>
      </c>
    </row>
    <row r="357">
      <c r="A357" s="39" t="str">
        <f>IF(AND($L357*1&gt;=$G$3,$L357*1&lt;=$G$4,$I357*$J357&gt;0,OR($I357&lt;&gt;$I358,$L357-$L358&gt;25),IF(ABS($I357)&gt;10,$I357/POW(10,$J357),$J357/POW(10,$I357))*MAXIFS(Token!$C:$C,Token!$A:$A,$K357)&gt;0.01),$L357/86400+DATE(1970,1,1)+$G$6,)</f>
        <v/>
      </c>
      <c r="B357" s="27" t="str">
        <f t="shared" si="1"/>
        <v/>
      </c>
      <c r="C357" s="14" t="str">
        <f>IF($A357&lt;&gt;"",MINIFS(Merchant!$A:$A,Merchant!$B:$B,$G$2),)</f>
        <v/>
      </c>
      <c r="D357" s="14" t="str">
        <f t="shared" si="2"/>
        <v/>
      </c>
      <c r="E357" s="14" t="str">
        <f t="shared" si="3"/>
        <v/>
      </c>
      <c r="F357" s="7" t="str">
        <f>IF($A357&lt;&gt;"",MAXIFS(Token!$C:$C,Token!$A:$A,$D357),)</f>
        <v/>
      </c>
    </row>
    <row r="358">
      <c r="A358" s="39" t="str">
        <f>IF(AND($L358*1&gt;=$G$3,$L358*1&lt;=$G$4,$I358*$J358&gt;0,OR($I358&lt;&gt;$I359,$L358-$L359&gt;25),IF(ABS($I358)&gt;10,$I358/POW(10,$J358),$J358/POW(10,$I358))*MAXIFS(Token!$C:$C,Token!$A:$A,$K358)&gt;0.01),$L358/86400+DATE(1970,1,1)+$G$6,)</f>
        <v/>
      </c>
      <c r="B358" s="27" t="str">
        <f t="shared" si="1"/>
        <v/>
      </c>
      <c r="C358" s="14" t="str">
        <f>IF($A358&lt;&gt;"",MINIFS(Merchant!$A:$A,Merchant!$B:$B,$G$2),)</f>
        <v/>
      </c>
      <c r="D358" s="14" t="str">
        <f t="shared" si="2"/>
        <v/>
      </c>
      <c r="E358" s="14" t="str">
        <f t="shared" si="3"/>
        <v/>
      </c>
      <c r="F358" s="7" t="str">
        <f>IF($A358&lt;&gt;"",MAXIFS(Token!$C:$C,Token!$A:$A,$D358),)</f>
        <v/>
      </c>
    </row>
    <row r="359">
      <c r="A359" s="39" t="str">
        <f>IF(AND($L359*1&gt;=$G$3,$L359*1&lt;=$G$4,$I359*$J359&gt;0,OR($I359&lt;&gt;$I360,$L359-$L360&gt;25),IF(ABS($I359)&gt;10,$I359/POW(10,$J359),$J359/POW(10,$I359))*MAXIFS(Token!$C:$C,Token!$A:$A,$K359)&gt;0.01),$L359/86400+DATE(1970,1,1)+$G$6,)</f>
        <v/>
      </c>
      <c r="B359" s="27" t="str">
        <f t="shared" si="1"/>
        <v/>
      </c>
      <c r="C359" s="14" t="str">
        <f>IF($A359&lt;&gt;"",MINIFS(Merchant!$A:$A,Merchant!$B:$B,$G$2),)</f>
        <v/>
      </c>
      <c r="D359" s="14" t="str">
        <f t="shared" si="2"/>
        <v/>
      </c>
      <c r="E359" s="14" t="str">
        <f t="shared" si="3"/>
        <v/>
      </c>
      <c r="F359" s="7" t="str">
        <f>IF($A359&lt;&gt;"",MAXIFS(Token!$C:$C,Token!$A:$A,$D359),)</f>
        <v/>
      </c>
    </row>
    <row r="360">
      <c r="A360" s="39" t="str">
        <f>IF(AND($L360*1&gt;=$G$3,$L360*1&lt;=$G$4,$I360*$J360&gt;0,OR($I360&lt;&gt;$I361,$L360-$L361&gt;25),IF(ABS($I360)&gt;10,$I360/POW(10,$J360),$J360/POW(10,$I360))*MAXIFS(Token!$C:$C,Token!$A:$A,$K360)&gt;0.01),$L360/86400+DATE(1970,1,1)+$G$6,)</f>
        <v/>
      </c>
      <c r="B360" s="27" t="str">
        <f t="shared" si="1"/>
        <v/>
      </c>
      <c r="C360" s="14" t="str">
        <f>IF($A360&lt;&gt;"",MINIFS(Merchant!$A:$A,Merchant!$B:$B,$G$2),)</f>
        <v/>
      </c>
      <c r="D360" s="14" t="str">
        <f t="shared" si="2"/>
        <v/>
      </c>
      <c r="E360" s="14" t="str">
        <f t="shared" si="3"/>
        <v/>
      </c>
      <c r="F360" s="7" t="str">
        <f>IF($A360&lt;&gt;"",MAXIFS(Token!$C:$C,Token!$A:$A,$D360),)</f>
        <v/>
      </c>
    </row>
    <row r="361">
      <c r="A361" s="39" t="str">
        <f>IF(AND($L361*1&gt;=$G$3,$L361*1&lt;=$G$4,$I361*$J361&gt;0,OR($I361&lt;&gt;$I362,$L361-$L362&gt;25),IF(ABS($I361)&gt;10,$I361/POW(10,$J361),$J361/POW(10,$I361))*MAXIFS(Token!$C:$C,Token!$A:$A,$K361)&gt;0.01),$L361/86400+DATE(1970,1,1)+$G$6,)</f>
        <v/>
      </c>
      <c r="B361" s="27" t="str">
        <f t="shared" si="1"/>
        <v/>
      </c>
      <c r="C361" s="14" t="str">
        <f>IF($A361&lt;&gt;"",MINIFS(Merchant!$A:$A,Merchant!$B:$B,$G$2),)</f>
        <v/>
      </c>
      <c r="D361" s="14" t="str">
        <f t="shared" si="2"/>
        <v/>
      </c>
      <c r="E361" s="14" t="str">
        <f t="shared" si="3"/>
        <v/>
      </c>
      <c r="F361" s="7" t="str">
        <f>IF($A361&lt;&gt;"",MAXIFS(Token!$C:$C,Token!$A:$A,$D361),)</f>
        <v/>
      </c>
    </row>
    <row r="362">
      <c r="A362" s="39" t="str">
        <f>IF(AND($L362*1&gt;=$G$3,$L362*1&lt;=$G$4,$I362*$J362&gt;0,OR($I362&lt;&gt;$I363,$L362-$L363&gt;25),IF(ABS($I362)&gt;10,$I362/POW(10,$J362),$J362/POW(10,$I362))*MAXIFS(Token!$C:$C,Token!$A:$A,$K362)&gt;0.01),$L362/86400+DATE(1970,1,1)+$G$6,)</f>
        <v/>
      </c>
      <c r="B362" s="27" t="str">
        <f t="shared" si="1"/>
        <v/>
      </c>
      <c r="C362" s="14" t="str">
        <f>IF($A362&lt;&gt;"",MINIFS(Merchant!$A:$A,Merchant!$B:$B,$G$2),)</f>
        <v/>
      </c>
      <c r="D362" s="14" t="str">
        <f t="shared" si="2"/>
        <v/>
      </c>
      <c r="E362" s="14" t="str">
        <f t="shared" si="3"/>
        <v/>
      </c>
      <c r="F362" s="7" t="str">
        <f>IF($A362&lt;&gt;"",MAXIFS(Token!$C:$C,Token!$A:$A,$D362),)</f>
        <v/>
      </c>
    </row>
    <row r="363">
      <c r="A363" s="39" t="str">
        <f>IF(AND($L363*1&gt;=$G$3,$L363*1&lt;=$G$4,$I363*$J363&gt;0,OR($I363&lt;&gt;$I364,$L363-$L364&gt;25),IF(ABS($I363)&gt;10,$I363/POW(10,$J363),$J363/POW(10,$I363))*MAXIFS(Token!$C:$C,Token!$A:$A,$K363)&gt;0.01),$L363/86400+DATE(1970,1,1)+$G$6,)</f>
        <v/>
      </c>
      <c r="B363" s="27" t="str">
        <f t="shared" si="1"/>
        <v/>
      </c>
      <c r="C363" s="14" t="str">
        <f>IF($A363&lt;&gt;"",MINIFS(Merchant!$A:$A,Merchant!$B:$B,$G$2),)</f>
        <v/>
      </c>
      <c r="D363" s="14" t="str">
        <f t="shared" si="2"/>
        <v/>
      </c>
      <c r="E363" s="14" t="str">
        <f t="shared" si="3"/>
        <v/>
      </c>
      <c r="F363" s="7" t="str">
        <f>IF($A363&lt;&gt;"",MAXIFS(Token!$C:$C,Token!$A:$A,$D363),)</f>
        <v/>
      </c>
    </row>
    <row r="364">
      <c r="A364" s="39" t="str">
        <f>IF(AND($L364*1&gt;=$G$3,$L364*1&lt;=$G$4,$I364*$J364&gt;0,OR($I364&lt;&gt;$I365,$L364-$L365&gt;25),IF(ABS($I364)&gt;10,$I364/POW(10,$J364),$J364/POW(10,$I364))*MAXIFS(Token!$C:$C,Token!$A:$A,$K364)&gt;0.01),$L364/86400+DATE(1970,1,1)+$G$6,)</f>
        <v/>
      </c>
      <c r="B364" s="27" t="str">
        <f t="shared" si="1"/>
        <v/>
      </c>
      <c r="C364" s="14" t="str">
        <f>IF($A364&lt;&gt;"",MINIFS(Merchant!$A:$A,Merchant!$B:$B,$G$2),)</f>
        <v/>
      </c>
      <c r="D364" s="14" t="str">
        <f t="shared" si="2"/>
        <v/>
      </c>
      <c r="E364" s="14" t="str">
        <f t="shared" si="3"/>
        <v/>
      </c>
      <c r="F364" s="7" t="str">
        <f>IF($A364&lt;&gt;"",MAXIFS(Token!$C:$C,Token!$A:$A,$D364),)</f>
        <v/>
      </c>
    </row>
    <row r="365">
      <c r="A365" s="39" t="str">
        <f>IF(AND($L365*1&gt;=$G$3,$L365*1&lt;=$G$4,$I365*$J365&gt;0,OR($I365&lt;&gt;$I366,$L365-$L366&gt;25),IF(ABS($I365)&gt;10,$I365/POW(10,$J365),$J365/POW(10,$I365))*MAXIFS(Token!$C:$C,Token!$A:$A,$K365)&gt;0.01),$L365/86400+DATE(1970,1,1)+$G$6,)</f>
        <v/>
      </c>
      <c r="B365" s="27" t="str">
        <f t="shared" si="1"/>
        <v/>
      </c>
      <c r="C365" s="14" t="str">
        <f>IF($A365&lt;&gt;"",MINIFS(Merchant!$A:$A,Merchant!$B:$B,$G$2),)</f>
        <v/>
      </c>
      <c r="D365" s="14" t="str">
        <f t="shared" si="2"/>
        <v/>
      </c>
      <c r="E365" s="14" t="str">
        <f t="shared" si="3"/>
        <v/>
      </c>
      <c r="F365" s="7" t="str">
        <f>IF($A365&lt;&gt;"",MAXIFS(Token!$C:$C,Token!$A:$A,$D365),)</f>
        <v/>
      </c>
    </row>
    <row r="366">
      <c r="A366" s="39" t="str">
        <f>IF(AND($L366*1&gt;=$G$3,$L366*1&lt;=$G$4,$I366*$J366&gt;0,OR($I366&lt;&gt;$I367,$L366-$L367&gt;25),IF(ABS($I366)&gt;10,$I366/POW(10,$J366),$J366/POW(10,$I366))*MAXIFS(Token!$C:$C,Token!$A:$A,$K366)&gt;0.01),$L366/86400+DATE(1970,1,1)+$G$6,)</f>
        <v/>
      </c>
      <c r="B366" s="27" t="str">
        <f t="shared" si="1"/>
        <v/>
      </c>
      <c r="C366" s="14" t="str">
        <f>IF($A366&lt;&gt;"",MINIFS(Merchant!$A:$A,Merchant!$B:$B,$G$2),)</f>
        <v/>
      </c>
      <c r="D366" s="14" t="str">
        <f t="shared" si="2"/>
        <v/>
      </c>
      <c r="E366" s="14" t="str">
        <f t="shared" si="3"/>
        <v/>
      </c>
      <c r="F366" s="7" t="str">
        <f>IF($A366&lt;&gt;"",MAXIFS(Token!$C:$C,Token!$A:$A,$D366),)</f>
        <v/>
      </c>
    </row>
    <row r="367">
      <c r="A367" s="39" t="str">
        <f>IF(AND($L367*1&gt;=$G$3,$L367*1&lt;=$G$4,$I367*$J367&gt;0,OR($I367&lt;&gt;$I368,$L367-$L368&gt;25),IF(ABS($I367)&gt;10,$I367/POW(10,$J367),$J367/POW(10,$I367))*MAXIFS(Token!$C:$C,Token!$A:$A,$K367)&gt;0.01),$L367/86400+DATE(1970,1,1)+$G$6,)</f>
        <v/>
      </c>
      <c r="B367" s="27" t="str">
        <f t="shared" si="1"/>
        <v/>
      </c>
      <c r="C367" s="14" t="str">
        <f>IF($A367&lt;&gt;"",MINIFS(Merchant!$A:$A,Merchant!$B:$B,$G$2),)</f>
        <v/>
      </c>
      <c r="D367" s="14" t="str">
        <f t="shared" si="2"/>
        <v/>
      </c>
      <c r="E367" s="14" t="str">
        <f t="shared" si="3"/>
        <v/>
      </c>
      <c r="F367" s="7" t="str">
        <f>IF($A367&lt;&gt;"",MAXIFS(Token!$C:$C,Token!$A:$A,$D367),)</f>
        <v/>
      </c>
    </row>
    <row r="368">
      <c r="A368" s="39" t="str">
        <f>IF(AND($L368*1&gt;=$G$3,$L368*1&lt;=$G$4,$I368*$J368&gt;0,OR($I368&lt;&gt;$I369,$L368-$L369&gt;25),IF(ABS($I368)&gt;10,$I368/POW(10,$J368),$J368/POW(10,$I368))*MAXIFS(Token!$C:$C,Token!$A:$A,$K368)&gt;0.01),$L368/86400+DATE(1970,1,1)+$G$6,)</f>
        <v/>
      </c>
      <c r="B368" s="27" t="str">
        <f t="shared" si="1"/>
        <v/>
      </c>
      <c r="C368" s="14" t="str">
        <f>IF($A368&lt;&gt;"",MINIFS(Merchant!$A:$A,Merchant!$B:$B,$G$2),)</f>
        <v/>
      </c>
      <c r="D368" s="14" t="str">
        <f t="shared" si="2"/>
        <v/>
      </c>
      <c r="E368" s="14" t="str">
        <f t="shared" si="3"/>
        <v/>
      </c>
      <c r="F368" s="7" t="str">
        <f>IF($A368&lt;&gt;"",MAXIFS(Token!$C:$C,Token!$A:$A,$D368),)</f>
        <v/>
      </c>
    </row>
    <row r="369">
      <c r="A369" s="39" t="str">
        <f>IF(AND($L369*1&gt;=$G$3,$L369*1&lt;=$G$4,$I369*$J369&gt;0,OR($I369&lt;&gt;$I370,$L369-$L370&gt;25),IF(ABS($I369)&gt;10,$I369/POW(10,$J369),$J369/POW(10,$I369))*MAXIFS(Token!$C:$C,Token!$A:$A,$K369)&gt;0.01),$L369/86400+DATE(1970,1,1)+$G$6,)</f>
        <v/>
      </c>
      <c r="B369" s="27" t="str">
        <f t="shared" si="1"/>
        <v/>
      </c>
      <c r="C369" s="14" t="str">
        <f>IF($A369&lt;&gt;"",MINIFS(Merchant!$A:$A,Merchant!$B:$B,$G$2),)</f>
        <v/>
      </c>
      <c r="D369" s="14" t="str">
        <f t="shared" si="2"/>
        <v/>
      </c>
      <c r="E369" s="14" t="str">
        <f t="shared" si="3"/>
        <v/>
      </c>
      <c r="F369" s="7" t="str">
        <f>IF($A369&lt;&gt;"",MAXIFS(Token!$C:$C,Token!$A:$A,$D369),)</f>
        <v/>
      </c>
    </row>
    <row r="370">
      <c r="A370" s="39" t="str">
        <f>IF(AND($L370*1&gt;=$G$3,$L370*1&lt;=$G$4,$I370*$J370&gt;0,OR($I370&lt;&gt;$I371,$L370-$L371&gt;25),IF(ABS($I370)&gt;10,$I370/POW(10,$J370),$J370/POW(10,$I370))*MAXIFS(Token!$C:$C,Token!$A:$A,$K370)&gt;0.01),$L370/86400+DATE(1970,1,1)+$G$6,)</f>
        <v/>
      </c>
      <c r="B370" s="27" t="str">
        <f t="shared" si="1"/>
        <v/>
      </c>
      <c r="C370" s="14" t="str">
        <f>IF($A370&lt;&gt;"",MINIFS(Merchant!$A:$A,Merchant!$B:$B,$G$2),)</f>
        <v/>
      </c>
      <c r="D370" s="14" t="str">
        <f t="shared" si="2"/>
        <v/>
      </c>
      <c r="E370" s="14" t="str">
        <f t="shared" si="3"/>
        <v/>
      </c>
      <c r="F370" s="7" t="str">
        <f>IF($A370&lt;&gt;"",MAXIFS(Token!$C:$C,Token!$A:$A,$D370),)</f>
        <v/>
      </c>
    </row>
    <row r="371">
      <c r="A371" s="39" t="str">
        <f>IF(AND($L371*1&gt;=$G$3,$L371*1&lt;=$G$4,$I371*$J371&gt;0,OR($I371&lt;&gt;$I372,$L371-$L372&gt;25),IF(ABS($I371)&gt;10,$I371/POW(10,$J371),$J371/POW(10,$I371))*MAXIFS(Token!$C:$C,Token!$A:$A,$K371)&gt;0.01),$L371/86400+DATE(1970,1,1)+$G$6,)</f>
        <v/>
      </c>
      <c r="B371" s="27" t="str">
        <f t="shared" si="1"/>
        <v/>
      </c>
      <c r="C371" s="14" t="str">
        <f>IF($A371&lt;&gt;"",MINIFS(Merchant!$A:$A,Merchant!$B:$B,$G$2),)</f>
        <v/>
      </c>
      <c r="D371" s="14" t="str">
        <f t="shared" si="2"/>
        <v/>
      </c>
      <c r="E371" s="14" t="str">
        <f t="shared" si="3"/>
        <v/>
      </c>
      <c r="F371" s="7" t="str">
        <f>IF($A371&lt;&gt;"",MAXIFS(Token!$C:$C,Token!$A:$A,$D371),)</f>
        <v/>
      </c>
    </row>
    <row r="372">
      <c r="A372" s="39" t="str">
        <f>IF(AND($L372*1&gt;=$G$3,$L372*1&lt;=$G$4,$I372*$J372&gt;0,OR($I372&lt;&gt;$I373,$L372-$L373&gt;25),IF(ABS($I372)&gt;10,$I372/POW(10,$J372),$J372/POW(10,$I372))*MAXIFS(Token!$C:$C,Token!$A:$A,$K372)&gt;0.01),$L372/86400+DATE(1970,1,1)+$G$6,)</f>
        <v/>
      </c>
      <c r="B372" s="27" t="str">
        <f t="shared" si="1"/>
        <v/>
      </c>
      <c r="C372" s="14" t="str">
        <f>IF($A372&lt;&gt;"",MINIFS(Merchant!$A:$A,Merchant!$B:$B,$G$2),)</f>
        <v/>
      </c>
      <c r="D372" s="14" t="str">
        <f t="shared" si="2"/>
        <v/>
      </c>
      <c r="E372" s="14" t="str">
        <f t="shared" si="3"/>
        <v/>
      </c>
      <c r="F372" s="7" t="str">
        <f>IF($A372&lt;&gt;"",MAXIFS(Token!$C:$C,Token!$A:$A,$D372),)</f>
        <v/>
      </c>
    </row>
    <row r="373">
      <c r="A373" s="39" t="str">
        <f>IF(AND($L373*1&gt;=$G$3,$L373*1&lt;=$G$4,$I373*$J373&gt;0,OR($I373&lt;&gt;$I374,$L373-$L374&gt;25),IF(ABS($I373)&gt;10,$I373/POW(10,$J373),$J373/POW(10,$I373))*MAXIFS(Token!$C:$C,Token!$A:$A,$K373)&gt;0.01),$L373/86400+DATE(1970,1,1)+$G$6,)</f>
        <v/>
      </c>
      <c r="B373" s="27" t="str">
        <f t="shared" si="1"/>
        <v/>
      </c>
      <c r="C373" s="14" t="str">
        <f>IF($A373&lt;&gt;"",MINIFS(Merchant!$A:$A,Merchant!$B:$B,$G$2),)</f>
        <v/>
      </c>
      <c r="D373" s="14" t="str">
        <f t="shared" si="2"/>
        <v/>
      </c>
      <c r="E373" s="14" t="str">
        <f t="shared" si="3"/>
        <v/>
      </c>
      <c r="F373" s="7" t="str">
        <f>IF($A373&lt;&gt;"",MAXIFS(Token!$C:$C,Token!$A:$A,$D373),)</f>
        <v/>
      </c>
    </row>
    <row r="374">
      <c r="A374" s="39" t="str">
        <f>IF(AND($L374*1&gt;=$G$3,$L374*1&lt;=$G$4,$I374*$J374&gt;0,OR($I374&lt;&gt;$I375,$L374-$L375&gt;25),IF(ABS($I374)&gt;10,$I374/POW(10,$J374),$J374/POW(10,$I374))*MAXIFS(Token!$C:$C,Token!$A:$A,$K374)&gt;0.01),$L374/86400+DATE(1970,1,1)+$G$6,)</f>
        <v/>
      </c>
      <c r="B374" s="27" t="str">
        <f t="shared" si="1"/>
        <v/>
      </c>
      <c r="C374" s="14" t="str">
        <f>IF($A374&lt;&gt;"",MINIFS(Merchant!$A:$A,Merchant!$B:$B,$G$2),)</f>
        <v/>
      </c>
      <c r="D374" s="14" t="str">
        <f t="shared" si="2"/>
        <v/>
      </c>
      <c r="E374" s="14" t="str">
        <f t="shared" si="3"/>
        <v/>
      </c>
      <c r="F374" s="7" t="str">
        <f>IF($A374&lt;&gt;"",MAXIFS(Token!$C:$C,Token!$A:$A,$D374),)</f>
        <v/>
      </c>
    </row>
    <row r="375">
      <c r="A375" s="39" t="str">
        <f>IF(AND($L375*1&gt;=$G$3,$L375*1&lt;=$G$4,$I375*$J375&gt;0,OR($I375&lt;&gt;$I376,$L375-$L376&gt;25),IF(ABS($I375)&gt;10,$I375/POW(10,$J375),$J375/POW(10,$I375))*MAXIFS(Token!$C:$C,Token!$A:$A,$K375)&gt;0.01),$L375/86400+DATE(1970,1,1)+$G$6,)</f>
        <v/>
      </c>
      <c r="B375" s="27" t="str">
        <f t="shared" si="1"/>
        <v/>
      </c>
      <c r="C375" s="14" t="str">
        <f>IF($A375&lt;&gt;"",MINIFS(Merchant!$A:$A,Merchant!$B:$B,$G$2),)</f>
        <v/>
      </c>
      <c r="D375" s="14" t="str">
        <f t="shared" si="2"/>
        <v/>
      </c>
      <c r="E375" s="14" t="str">
        <f t="shared" si="3"/>
        <v/>
      </c>
      <c r="F375" s="7" t="str">
        <f>IF($A375&lt;&gt;"",MAXIFS(Token!$C:$C,Token!$A:$A,$D375),)</f>
        <v/>
      </c>
    </row>
    <row r="376">
      <c r="A376" s="39" t="str">
        <f>IF(AND($L376*1&gt;=$G$3,$L376*1&lt;=$G$4,$I376*$J376&gt;0,OR($I376&lt;&gt;$I377,$L376-$L377&gt;25),IF(ABS($I376)&gt;10,$I376/POW(10,$J376),$J376/POW(10,$I376))*MAXIFS(Token!$C:$C,Token!$A:$A,$K376)&gt;0.01),$L376/86400+DATE(1970,1,1)+$G$6,)</f>
        <v/>
      </c>
      <c r="B376" s="27" t="str">
        <f t="shared" si="1"/>
        <v/>
      </c>
      <c r="C376" s="14" t="str">
        <f>IF($A376&lt;&gt;"",MINIFS(Merchant!$A:$A,Merchant!$B:$B,$G$2),)</f>
        <v/>
      </c>
      <c r="D376" s="14" t="str">
        <f t="shared" si="2"/>
        <v/>
      </c>
      <c r="E376" s="14" t="str">
        <f t="shared" si="3"/>
        <v/>
      </c>
      <c r="F376" s="7" t="str">
        <f>IF($A376&lt;&gt;"",MAXIFS(Token!$C:$C,Token!$A:$A,$D376),)</f>
        <v/>
      </c>
    </row>
    <row r="377">
      <c r="A377" s="39" t="str">
        <f>IF(AND($L377*1&gt;=$G$3,$L377*1&lt;=$G$4,$I377*$J377&gt;0,OR($I377&lt;&gt;$I378,$L377-$L378&gt;25),IF(ABS($I377)&gt;10,$I377/POW(10,$J377),$J377/POW(10,$I377))*MAXIFS(Token!$C:$C,Token!$A:$A,$K377)&gt;0.01),$L377/86400+DATE(1970,1,1)+$G$6,)</f>
        <v/>
      </c>
      <c r="B377" s="27" t="str">
        <f t="shared" si="1"/>
        <v/>
      </c>
      <c r="C377" s="14" t="str">
        <f>IF($A377&lt;&gt;"",MINIFS(Merchant!$A:$A,Merchant!$B:$B,$G$2),)</f>
        <v/>
      </c>
      <c r="D377" s="14" t="str">
        <f t="shared" si="2"/>
        <v/>
      </c>
      <c r="E377" s="14" t="str">
        <f t="shared" si="3"/>
        <v/>
      </c>
      <c r="F377" s="7" t="str">
        <f>IF($A377&lt;&gt;"",MAXIFS(Token!$C:$C,Token!$A:$A,$D377),)</f>
        <v/>
      </c>
    </row>
    <row r="378">
      <c r="A378" s="39" t="str">
        <f>IF(AND($L378*1&gt;=$G$3,$L378*1&lt;=$G$4,$I378*$J378&gt;0,OR($I378&lt;&gt;$I379,$L378-$L379&gt;25),IF(ABS($I378)&gt;10,$I378/POW(10,$J378),$J378/POW(10,$I378))*MAXIFS(Token!$C:$C,Token!$A:$A,$K378)&gt;0.01),$L378/86400+DATE(1970,1,1)+$G$6,)</f>
        <v/>
      </c>
      <c r="B378" s="27" t="str">
        <f t="shared" si="1"/>
        <v/>
      </c>
      <c r="C378" s="14" t="str">
        <f>IF($A378&lt;&gt;"",MINIFS(Merchant!$A:$A,Merchant!$B:$B,$G$2),)</f>
        <v/>
      </c>
      <c r="D378" s="14" t="str">
        <f t="shared" si="2"/>
        <v/>
      </c>
      <c r="E378" s="14" t="str">
        <f t="shared" si="3"/>
        <v/>
      </c>
      <c r="F378" s="7" t="str">
        <f>IF($A378&lt;&gt;"",MAXIFS(Token!$C:$C,Token!$A:$A,$D378),)</f>
        <v/>
      </c>
    </row>
    <row r="379">
      <c r="A379" s="39" t="str">
        <f>IF(AND($L379*1&gt;=$G$3,$L379*1&lt;=$G$4,$I379*$J379&gt;0,OR($I379&lt;&gt;$I380,$L379-$L380&gt;25),IF(ABS($I379)&gt;10,$I379/POW(10,$J379),$J379/POW(10,$I379))*MAXIFS(Token!$C:$C,Token!$A:$A,$K379)&gt;0.01),$L379/86400+DATE(1970,1,1)+$G$6,)</f>
        <v/>
      </c>
      <c r="B379" s="27" t="str">
        <f t="shared" si="1"/>
        <v/>
      </c>
      <c r="C379" s="14" t="str">
        <f>IF($A379&lt;&gt;"",MINIFS(Merchant!$A:$A,Merchant!$B:$B,$G$2),)</f>
        <v/>
      </c>
      <c r="D379" s="14" t="str">
        <f t="shared" si="2"/>
        <v/>
      </c>
      <c r="E379" s="14" t="str">
        <f t="shared" si="3"/>
        <v/>
      </c>
      <c r="F379" s="7" t="str">
        <f>IF($A379&lt;&gt;"",MAXIFS(Token!$C:$C,Token!$A:$A,$D379),)</f>
        <v/>
      </c>
    </row>
    <row r="380">
      <c r="A380" s="39" t="str">
        <f>IF(AND($L380*1&gt;=$G$3,$L380*1&lt;=$G$4,$I380*$J380&gt;0,OR($I380&lt;&gt;$I381,$L380-$L381&gt;25),IF(ABS($I380)&gt;10,$I380/POW(10,$J380),$J380/POW(10,$I380))*MAXIFS(Token!$C:$C,Token!$A:$A,$K380)&gt;0.01),$L380/86400+DATE(1970,1,1)+$G$6,)</f>
        <v/>
      </c>
      <c r="B380" s="27" t="str">
        <f t="shared" si="1"/>
        <v/>
      </c>
      <c r="C380" s="14" t="str">
        <f>IF($A380&lt;&gt;"",MINIFS(Merchant!$A:$A,Merchant!$B:$B,$G$2),)</f>
        <v/>
      </c>
      <c r="D380" s="14" t="str">
        <f t="shared" si="2"/>
        <v/>
      </c>
      <c r="E380" s="14" t="str">
        <f t="shared" si="3"/>
        <v/>
      </c>
      <c r="F380" s="7" t="str">
        <f>IF($A380&lt;&gt;"",MAXIFS(Token!$C:$C,Token!$A:$A,$D380),)</f>
        <v/>
      </c>
    </row>
    <row r="381">
      <c r="A381" s="39" t="str">
        <f>IF(AND($L381*1&gt;=$G$3,$L381*1&lt;=$G$4,$I381*$J381&gt;0,OR($I381&lt;&gt;$I382,$L381-$L382&gt;25),IF(ABS($I381)&gt;10,$I381/POW(10,$J381),$J381/POW(10,$I381))*MAXIFS(Token!$C:$C,Token!$A:$A,$K381)&gt;0.01),$L381/86400+DATE(1970,1,1)+$G$6,)</f>
        <v/>
      </c>
      <c r="B381" s="27" t="str">
        <f t="shared" si="1"/>
        <v/>
      </c>
      <c r="C381" s="14" t="str">
        <f>IF($A381&lt;&gt;"",MINIFS(Merchant!$A:$A,Merchant!$B:$B,$G$2),)</f>
        <v/>
      </c>
      <c r="D381" s="14" t="str">
        <f t="shared" si="2"/>
        <v/>
      </c>
      <c r="E381" s="14" t="str">
        <f t="shared" si="3"/>
        <v/>
      </c>
      <c r="F381" s="7" t="str">
        <f>IF($A381&lt;&gt;"",MAXIFS(Token!$C:$C,Token!$A:$A,$D381),)</f>
        <v/>
      </c>
    </row>
    <row r="382">
      <c r="A382" s="39" t="str">
        <f>IF(AND($L382*1&gt;=$G$3,$L382*1&lt;=$G$4,$I382*$J382&gt;0,OR($I382&lt;&gt;$I383,$L382-$L383&gt;25),IF(ABS($I382)&gt;10,$I382/POW(10,$J382),$J382/POW(10,$I382))*MAXIFS(Token!$C:$C,Token!$A:$A,$K382)&gt;0.01),$L382/86400+DATE(1970,1,1)+$G$6,)</f>
        <v/>
      </c>
      <c r="B382" s="27" t="str">
        <f t="shared" si="1"/>
        <v/>
      </c>
      <c r="C382" s="14" t="str">
        <f>IF($A382&lt;&gt;"",MINIFS(Merchant!$A:$A,Merchant!$B:$B,$G$2),)</f>
        <v/>
      </c>
      <c r="D382" s="14" t="str">
        <f t="shared" si="2"/>
        <v/>
      </c>
      <c r="E382" s="14" t="str">
        <f t="shared" si="3"/>
        <v/>
      </c>
      <c r="F382" s="7" t="str">
        <f>IF($A382&lt;&gt;"",MAXIFS(Token!$C:$C,Token!$A:$A,$D382),)</f>
        <v/>
      </c>
    </row>
    <row r="383">
      <c r="A383" s="39" t="str">
        <f>IF(AND($L383*1&gt;=$G$3,$L383*1&lt;=$G$4,$I383*$J383&gt;0,OR($I383&lt;&gt;$I384,$L383-$L384&gt;25),IF(ABS($I383)&gt;10,$I383/POW(10,$J383),$J383/POW(10,$I383))*MAXIFS(Token!$C:$C,Token!$A:$A,$K383)&gt;0.01),$L383/86400+DATE(1970,1,1)+$G$6,)</f>
        <v/>
      </c>
      <c r="B383" s="27" t="str">
        <f t="shared" si="1"/>
        <v/>
      </c>
      <c r="C383" s="14" t="str">
        <f>IF($A383&lt;&gt;"",MINIFS(Merchant!$A:$A,Merchant!$B:$B,$G$2),)</f>
        <v/>
      </c>
      <c r="D383" s="14" t="str">
        <f t="shared" si="2"/>
        <v/>
      </c>
      <c r="E383" s="14" t="str">
        <f t="shared" si="3"/>
        <v/>
      </c>
      <c r="F383" s="7" t="str">
        <f>IF($A383&lt;&gt;"",MAXIFS(Token!$C:$C,Token!$A:$A,$D383),)</f>
        <v/>
      </c>
    </row>
    <row r="384">
      <c r="A384" s="39" t="str">
        <f>IF(AND($L384*1&gt;=$G$3,$L384*1&lt;=$G$4,$I384*$J384&gt;0,OR($I384&lt;&gt;$I385,$L384-$L385&gt;25),IF(ABS($I384)&gt;10,$I384/POW(10,$J384),$J384/POW(10,$I384))*MAXIFS(Token!$C:$C,Token!$A:$A,$K384)&gt;0.01),$L384/86400+DATE(1970,1,1)+$G$6,)</f>
        <v/>
      </c>
      <c r="B384" s="27" t="str">
        <f t="shared" si="1"/>
        <v/>
      </c>
      <c r="C384" s="14" t="str">
        <f>IF($A384&lt;&gt;"",MINIFS(Merchant!$A:$A,Merchant!$B:$B,$G$2),)</f>
        <v/>
      </c>
      <c r="D384" s="14" t="str">
        <f t="shared" si="2"/>
        <v/>
      </c>
      <c r="E384" s="14" t="str">
        <f t="shared" si="3"/>
        <v/>
      </c>
      <c r="F384" s="7" t="str">
        <f>IF($A384&lt;&gt;"",MAXIFS(Token!$C:$C,Token!$A:$A,$D384),)</f>
        <v/>
      </c>
    </row>
    <row r="385">
      <c r="A385" s="39" t="str">
        <f>IF(AND($L385*1&gt;=$G$3,$L385*1&lt;=$G$4,$I385*$J385&gt;0,OR($I385&lt;&gt;$I386,$L385-$L386&gt;25),IF(ABS($I385)&gt;10,$I385/POW(10,$J385),$J385/POW(10,$I385))*MAXIFS(Token!$C:$C,Token!$A:$A,$K385)&gt;0.01),$L385/86400+DATE(1970,1,1)+$G$6,)</f>
        <v/>
      </c>
      <c r="B385" s="27" t="str">
        <f t="shared" si="1"/>
        <v/>
      </c>
      <c r="C385" s="14" t="str">
        <f>IF($A385&lt;&gt;"",MINIFS(Merchant!$A:$A,Merchant!$B:$B,$G$2),)</f>
        <v/>
      </c>
      <c r="D385" s="14" t="str">
        <f t="shared" si="2"/>
        <v/>
      </c>
      <c r="E385" s="14" t="str">
        <f t="shared" si="3"/>
        <v/>
      </c>
      <c r="F385" s="7" t="str">
        <f>IF($A385&lt;&gt;"",MAXIFS(Token!$C:$C,Token!$A:$A,$D385),)</f>
        <v/>
      </c>
    </row>
    <row r="386">
      <c r="A386" s="39" t="str">
        <f>IF(AND($L386*1&gt;=$G$3,$L386*1&lt;=$G$4,$I386*$J386&gt;0,OR($I386&lt;&gt;$I387,$L386-$L387&gt;25),IF(ABS($I386)&gt;10,$I386/POW(10,$J386),$J386/POW(10,$I386))*MAXIFS(Token!$C:$C,Token!$A:$A,$K386)&gt;0.01),$L386/86400+DATE(1970,1,1)+$G$6,)</f>
        <v/>
      </c>
      <c r="B386" s="27" t="str">
        <f t="shared" si="1"/>
        <v/>
      </c>
      <c r="C386" s="14" t="str">
        <f>IF($A386&lt;&gt;"",MINIFS(Merchant!$A:$A,Merchant!$B:$B,$G$2),)</f>
        <v/>
      </c>
      <c r="D386" s="14" t="str">
        <f t="shared" si="2"/>
        <v/>
      </c>
      <c r="E386" s="14" t="str">
        <f t="shared" si="3"/>
        <v/>
      </c>
      <c r="F386" s="7" t="str">
        <f>IF($A386&lt;&gt;"",MAXIFS(Token!$C:$C,Token!$A:$A,$D386),)</f>
        <v/>
      </c>
    </row>
    <row r="387">
      <c r="A387" s="39" t="str">
        <f>IF(AND($L387*1&gt;=$G$3,$L387*1&lt;=$G$4,$I387*$J387&gt;0,OR($I387&lt;&gt;$I388,$L387-$L388&gt;25),IF(ABS($I387)&gt;10,$I387/POW(10,$J387),$J387/POW(10,$I387))*MAXIFS(Token!$C:$C,Token!$A:$A,$K387)&gt;0.01),$L387/86400+DATE(1970,1,1)+$G$6,)</f>
        <v/>
      </c>
      <c r="B387" s="27" t="str">
        <f t="shared" si="1"/>
        <v/>
      </c>
      <c r="C387" s="14" t="str">
        <f>IF($A387&lt;&gt;"",MINIFS(Merchant!$A:$A,Merchant!$B:$B,$G$2),)</f>
        <v/>
      </c>
      <c r="D387" s="14" t="str">
        <f t="shared" si="2"/>
        <v/>
      </c>
      <c r="E387" s="14" t="str">
        <f t="shared" si="3"/>
        <v/>
      </c>
      <c r="F387" s="7" t="str">
        <f>IF($A387&lt;&gt;"",MAXIFS(Token!$C:$C,Token!$A:$A,$D387),)</f>
        <v/>
      </c>
    </row>
    <row r="388">
      <c r="A388" s="39" t="str">
        <f>IF(AND($L388*1&gt;=$G$3,$L388*1&lt;=$G$4,$I388*$J388&gt;0,OR($I388&lt;&gt;$I389,$L388-$L389&gt;25),IF(ABS($I388)&gt;10,$I388/POW(10,$J388),$J388/POW(10,$I388))*MAXIFS(Token!$C:$C,Token!$A:$A,$K388)&gt;0.01),$L388/86400+DATE(1970,1,1)+$G$6,)</f>
        <v/>
      </c>
      <c r="B388" s="27" t="str">
        <f t="shared" si="1"/>
        <v/>
      </c>
      <c r="C388" s="14" t="str">
        <f>IF($A388&lt;&gt;"",MINIFS(Merchant!$A:$A,Merchant!$B:$B,$G$2),)</f>
        <v/>
      </c>
      <c r="D388" s="14" t="str">
        <f t="shared" si="2"/>
        <v/>
      </c>
      <c r="E388" s="14" t="str">
        <f t="shared" si="3"/>
        <v/>
      </c>
      <c r="F388" s="7" t="str">
        <f>IF($A388&lt;&gt;"",MAXIFS(Token!$C:$C,Token!$A:$A,$D388),)</f>
        <v/>
      </c>
    </row>
    <row r="389">
      <c r="A389" s="39" t="str">
        <f>IF(AND($L389*1&gt;=$G$3,$L389*1&lt;=$G$4,$I389*$J389&gt;0,OR($I389&lt;&gt;$I390,$L389-$L390&gt;25),IF(ABS($I389)&gt;10,$I389/POW(10,$J389),$J389/POW(10,$I389))*MAXIFS(Token!$C:$C,Token!$A:$A,$K389)&gt;0.01),$L389/86400+DATE(1970,1,1)+$G$6,)</f>
        <v/>
      </c>
      <c r="B389" s="27" t="str">
        <f t="shared" si="1"/>
        <v/>
      </c>
      <c r="C389" s="14" t="str">
        <f>IF($A389&lt;&gt;"",MINIFS(Merchant!$A:$A,Merchant!$B:$B,$G$2),)</f>
        <v/>
      </c>
      <c r="D389" s="14" t="str">
        <f t="shared" si="2"/>
        <v/>
      </c>
      <c r="E389" s="14" t="str">
        <f t="shared" si="3"/>
        <v/>
      </c>
      <c r="F389" s="7" t="str">
        <f>IF($A389&lt;&gt;"",MAXIFS(Token!$C:$C,Token!$A:$A,$D389),)</f>
        <v/>
      </c>
    </row>
    <row r="390">
      <c r="A390" s="39" t="str">
        <f>IF(AND($L390*1&gt;=$G$3,$L390*1&lt;=$G$4,$I390*$J390&gt;0,OR($I390&lt;&gt;$I391,$L390-$L391&gt;25),IF(ABS($I390)&gt;10,$I390/POW(10,$J390),$J390/POW(10,$I390))*MAXIFS(Token!$C:$C,Token!$A:$A,$K390)&gt;0.01),$L390/86400+DATE(1970,1,1)+$G$6,)</f>
        <v/>
      </c>
      <c r="B390" s="27" t="str">
        <f t="shared" si="1"/>
        <v/>
      </c>
      <c r="C390" s="14" t="str">
        <f>IF($A390&lt;&gt;"",MINIFS(Merchant!$A:$A,Merchant!$B:$B,$G$2),)</f>
        <v/>
      </c>
      <c r="D390" s="14" t="str">
        <f t="shared" si="2"/>
        <v/>
      </c>
      <c r="E390" s="14" t="str">
        <f t="shared" si="3"/>
        <v/>
      </c>
      <c r="F390" s="7" t="str">
        <f>IF($A390&lt;&gt;"",MAXIFS(Token!$C:$C,Token!$A:$A,$D390),)</f>
        <v/>
      </c>
    </row>
    <row r="391">
      <c r="A391" s="39" t="str">
        <f>IF(AND($L391*1&gt;=$G$3,$L391*1&lt;=$G$4,$I391*$J391&gt;0,OR($I391&lt;&gt;$I392,$L391-$L392&gt;25),IF(ABS($I391)&gt;10,$I391/POW(10,$J391),$J391/POW(10,$I391))*MAXIFS(Token!$C:$C,Token!$A:$A,$K391)&gt;0.01),$L391/86400+DATE(1970,1,1)+$G$6,)</f>
        <v/>
      </c>
      <c r="B391" s="27" t="str">
        <f t="shared" si="1"/>
        <v/>
      </c>
      <c r="C391" s="14" t="str">
        <f>IF($A391&lt;&gt;"",MINIFS(Merchant!$A:$A,Merchant!$B:$B,$G$2),)</f>
        <v/>
      </c>
      <c r="D391" s="14" t="str">
        <f t="shared" si="2"/>
        <v/>
      </c>
      <c r="E391" s="14" t="str">
        <f t="shared" si="3"/>
        <v/>
      </c>
      <c r="F391" s="7" t="str">
        <f>IF($A391&lt;&gt;"",MAXIFS(Token!$C:$C,Token!$A:$A,$D391),)</f>
        <v/>
      </c>
    </row>
    <row r="392">
      <c r="A392" s="39" t="str">
        <f>IF(AND($L392*1&gt;=$G$3,$L392*1&lt;=$G$4,$I392*$J392&gt;0,OR($I392&lt;&gt;$I393,$L392-$L393&gt;25),IF(ABS($I392)&gt;10,$I392/POW(10,$J392),$J392/POW(10,$I392))*MAXIFS(Token!$C:$C,Token!$A:$A,$K392)&gt;0.01),$L392/86400+DATE(1970,1,1)+$G$6,)</f>
        <v/>
      </c>
      <c r="B392" s="27" t="str">
        <f t="shared" si="1"/>
        <v/>
      </c>
      <c r="C392" s="14" t="str">
        <f>IF($A392&lt;&gt;"",MINIFS(Merchant!$A:$A,Merchant!$B:$B,$G$2),)</f>
        <v/>
      </c>
      <c r="D392" s="14" t="str">
        <f t="shared" si="2"/>
        <v/>
      </c>
      <c r="E392" s="14" t="str">
        <f t="shared" si="3"/>
        <v/>
      </c>
      <c r="F392" s="7" t="str">
        <f>IF($A392&lt;&gt;"",MAXIFS(Token!$C:$C,Token!$A:$A,$D392),)</f>
        <v/>
      </c>
    </row>
    <row r="393">
      <c r="A393" s="39" t="str">
        <f>IF(AND($L393*1&gt;=$G$3,$L393*1&lt;=$G$4,$I393*$J393&gt;0,OR($I393&lt;&gt;$I394,$L393-$L394&gt;25),IF(ABS($I393)&gt;10,$I393/POW(10,$J393),$J393/POW(10,$I393))*MAXIFS(Token!$C:$C,Token!$A:$A,$K393)&gt;0.01),$L393/86400+DATE(1970,1,1)+$G$6,)</f>
        <v/>
      </c>
      <c r="B393" s="27" t="str">
        <f t="shared" si="1"/>
        <v/>
      </c>
      <c r="C393" s="14" t="str">
        <f>IF($A393&lt;&gt;"",MINIFS(Merchant!$A:$A,Merchant!$B:$B,$G$2),)</f>
        <v/>
      </c>
      <c r="D393" s="14" t="str">
        <f t="shared" si="2"/>
        <v/>
      </c>
      <c r="E393" s="14" t="str">
        <f t="shared" si="3"/>
        <v/>
      </c>
      <c r="F393" s="7" t="str">
        <f>IF($A393&lt;&gt;"",MAXIFS(Token!$C:$C,Token!$A:$A,$D393),)</f>
        <v/>
      </c>
    </row>
    <row r="394">
      <c r="A394" s="39" t="str">
        <f>IF(AND($L394*1&gt;=$G$3,$L394*1&lt;=$G$4,$I394*$J394&gt;0,OR($I394&lt;&gt;$I395,$L394-$L395&gt;25),IF(ABS($I394)&gt;10,$I394/POW(10,$J394),$J394/POW(10,$I394))*MAXIFS(Token!$C:$C,Token!$A:$A,$K394)&gt;0.01),$L394/86400+DATE(1970,1,1)+$G$6,)</f>
        <v/>
      </c>
      <c r="B394" s="27" t="str">
        <f t="shared" si="1"/>
        <v/>
      </c>
      <c r="C394" s="14" t="str">
        <f>IF($A394&lt;&gt;"",MINIFS(Merchant!$A:$A,Merchant!$B:$B,$G$2),)</f>
        <v/>
      </c>
      <c r="D394" s="14" t="str">
        <f t="shared" si="2"/>
        <v/>
      </c>
      <c r="E394" s="14" t="str">
        <f t="shared" si="3"/>
        <v/>
      </c>
      <c r="F394" s="7" t="str">
        <f>IF($A394&lt;&gt;"",MAXIFS(Token!$C:$C,Token!$A:$A,$D394),)</f>
        <v/>
      </c>
    </row>
    <row r="395">
      <c r="A395" s="39" t="str">
        <f>IF(AND($L395*1&gt;=$G$3,$L395*1&lt;=$G$4,$I395*$J395&gt;0,OR($I395&lt;&gt;$I396,$L395-$L396&gt;25),IF(ABS($I395)&gt;10,$I395/POW(10,$J395),$J395/POW(10,$I395))*MAXIFS(Token!$C:$C,Token!$A:$A,$K395)&gt;0.01),$L395/86400+DATE(1970,1,1)+$G$6,)</f>
        <v/>
      </c>
      <c r="B395" s="27" t="str">
        <f t="shared" si="1"/>
        <v/>
      </c>
      <c r="C395" s="14" t="str">
        <f>IF($A395&lt;&gt;"",MINIFS(Merchant!$A:$A,Merchant!$B:$B,$G$2),)</f>
        <v/>
      </c>
      <c r="D395" s="14" t="str">
        <f t="shared" si="2"/>
        <v/>
      </c>
      <c r="E395" s="14" t="str">
        <f t="shared" si="3"/>
        <v/>
      </c>
      <c r="F395" s="7" t="str">
        <f>IF($A395&lt;&gt;"",MAXIFS(Token!$C:$C,Token!$A:$A,$D395),)</f>
        <v/>
      </c>
    </row>
    <row r="396">
      <c r="A396" s="39" t="str">
        <f>IF(AND($L396*1&gt;=$G$3,$L396*1&lt;=$G$4,$I396*$J396&gt;0,OR($I396&lt;&gt;$I397,$L396-$L397&gt;25),IF(ABS($I396)&gt;10,$I396/POW(10,$J396),$J396/POW(10,$I396))*MAXIFS(Token!$C:$C,Token!$A:$A,$K396)&gt;0.01),$L396/86400+DATE(1970,1,1)+$G$6,)</f>
        <v/>
      </c>
      <c r="B396" s="27" t="str">
        <f t="shared" si="1"/>
        <v/>
      </c>
      <c r="C396" s="14" t="str">
        <f>IF($A396&lt;&gt;"",MINIFS(Merchant!$A:$A,Merchant!$B:$B,$G$2),)</f>
        <v/>
      </c>
      <c r="D396" s="14" t="str">
        <f t="shared" si="2"/>
        <v/>
      </c>
      <c r="E396" s="14" t="str">
        <f t="shared" si="3"/>
        <v/>
      </c>
      <c r="F396" s="7" t="str">
        <f>IF($A396&lt;&gt;"",MAXIFS(Token!$C:$C,Token!$A:$A,$D396),)</f>
        <v/>
      </c>
    </row>
    <row r="397">
      <c r="A397" s="39" t="str">
        <f>IF(AND($L397*1&gt;=$G$3,$L397*1&lt;=$G$4,$I397*$J397&gt;0,OR($I397&lt;&gt;$I398,$L397-$L398&gt;25),IF(ABS($I397)&gt;10,$I397/POW(10,$J397),$J397/POW(10,$I397))*MAXIFS(Token!$C:$C,Token!$A:$A,$K397)&gt;0.01),$L397/86400+DATE(1970,1,1)+$G$6,)</f>
        <v/>
      </c>
      <c r="B397" s="27" t="str">
        <f t="shared" si="1"/>
        <v/>
      </c>
      <c r="C397" s="14" t="str">
        <f>IF($A397&lt;&gt;"",MINIFS(Merchant!$A:$A,Merchant!$B:$B,$G$2),)</f>
        <v/>
      </c>
      <c r="D397" s="14" t="str">
        <f t="shared" si="2"/>
        <v/>
      </c>
      <c r="E397" s="14" t="str">
        <f t="shared" si="3"/>
        <v/>
      </c>
      <c r="F397" s="7" t="str">
        <f>IF($A397&lt;&gt;"",MAXIFS(Token!$C:$C,Token!$A:$A,$D397),)</f>
        <v/>
      </c>
    </row>
    <row r="398">
      <c r="A398" s="39" t="str">
        <f>IF(AND($L398*1&gt;=$G$3,$L398*1&lt;=$G$4,$I398*$J398&gt;0,OR($I398&lt;&gt;$I399,$L398-$L399&gt;25),IF(ABS($I398)&gt;10,$I398/POW(10,$J398),$J398/POW(10,$I398))*MAXIFS(Token!$C:$C,Token!$A:$A,$K398)&gt;0.01),$L398/86400+DATE(1970,1,1)+$G$6,)</f>
        <v/>
      </c>
      <c r="B398" s="27" t="str">
        <f t="shared" si="1"/>
        <v/>
      </c>
      <c r="C398" s="14" t="str">
        <f>IF($A398&lt;&gt;"",MINIFS(Merchant!$A:$A,Merchant!$B:$B,$G$2),)</f>
        <v/>
      </c>
      <c r="D398" s="14" t="str">
        <f t="shared" si="2"/>
        <v/>
      </c>
      <c r="E398" s="14" t="str">
        <f t="shared" si="3"/>
        <v/>
      </c>
      <c r="F398" s="7" t="str">
        <f>IF($A398&lt;&gt;"",MAXIFS(Token!$C:$C,Token!$A:$A,$D398),)</f>
        <v/>
      </c>
    </row>
    <row r="399">
      <c r="A399" s="39" t="str">
        <f>IF(AND($L399*1&gt;=$G$3,$L399*1&lt;=$G$4,$I399*$J399&gt;0,OR($I399&lt;&gt;$I400,$L399-$L400&gt;25),IF(ABS($I399)&gt;10,$I399/POW(10,$J399),$J399/POW(10,$I399))*MAXIFS(Token!$C:$C,Token!$A:$A,$K399)&gt;0.01),$L399/86400+DATE(1970,1,1)+$G$6,)</f>
        <v/>
      </c>
      <c r="B399" s="27" t="str">
        <f t="shared" si="1"/>
        <v/>
      </c>
      <c r="C399" s="14" t="str">
        <f>IF($A399&lt;&gt;"",MINIFS(Merchant!$A:$A,Merchant!$B:$B,$G$2),)</f>
        <v/>
      </c>
      <c r="D399" s="14" t="str">
        <f t="shared" si="2"/>
        <v/>
      </c>
      <c r="E399" s="14" t="str">
        <f t="shared" si="3"/>
        <v/>
      </c>
      <c r="F399" s="7" t="str">
        <f>IF($A399&lt;&gt;"",MAXIFS(Token!$C:$C,Token!$A:$A,$D399),)</f>
        <v/>
      </c>
    </row>
    <row r="400">
      <c r="A400" s="39" t="str">
        <f>IF(AND($L400*1&gt;=$G$3,$L400*1&lt;=$G$4,$I400*$J400&gt;0,OR($I400&lt;&gt;$I401,$L400-$L401&gt;25),IF(ABS($I400)&gt;10,$I400/POW(10,$J400),$J400/POW(10,$I400))*MAXIFS(Token!$C:$C,Token!$A:$A,$K400)&gt;0.01),$L400/86400+DATE(1970,1,1)+$G$6,)</f>
        <v/>
      </c>
      <c r="B400" s="27" t="str">
        <f t="shared" si="1"/>
        <v/>
      </c>
      <c r="C400" s="14" t="str">
        <f>IF($A400&lt;&gt;"",MINIFS(Merchant!$A:$A,Merchant!$B:$B,$G$2),)</f>
        <v/>
      </c>
      <c r="D400" s="14" t="str">
        <f t="shared" si="2"/>
        <v/>
      </c>
      <c r="E400" s="14" t="str">
        <f t="shared" si="3"/>
        <v/>
      </c>
      <c r="F400" s="7" t="str">
        <f>IF($A400&lt;&gt;"",MAXIFS(Token!$C:$C,Token!$A:$A,$D400),)</f>
        <v/>
      </c>
    </row>
    <row r="401">
      <c r="A401" s="39" t="str">
        <f>IF(AND($L401*1&gt;=$G$3,$L401*1&lt;=$G$4,$I401*$J401&gt;0,OR($I401&lt;&gt;$I402,$L401-$L402&gt;25),IF(ABS($I401)&gt;10,$I401/POW(10,$J401),$J401/POW(10,$I401))*MAXIFS(Token!$C:$C,Token!$A:$A,$K401)&gt;0.01),$L401/86400+DATE(1970,1,1)+$G$6,)</f>
        <v/>
      </c>
      <c r="B401" s="27" t="str">
        <f t="shared" si="1"/>
        <v/>
      </c>
      <c r="C401" s="14" t="str">
        <f>IF($A401&lt;&gt;"",MINIFS(Merchant!$A:$A,Merchant!$B:$B,$G$2),)</f>
        <v/>
      </c>
      <c r="D401" s="14" t="str">
        <f t="shared" si="2"/>
        <v/>
      </c>
      <c r="E401" s="14" t="str">
        <f t="shared" si="3"/>
        <v/>
      </c>
      <c r="F401" s="7" t="str">
        <f>IF($A401&lt;&gt;"",MAXIFS(Token!$C:$C,Token!$A:$A,$D401),)</f>
        <v/>
      </c>
    </row>
    <row r="402">
      <c r="A402" s="39" t="str">
        <f>IF(AND($L402*1&gt;=$G$3,$L402*1&lt;=$G$4,$I402*$J402&gt;0,OR($I402&lt;&gt;$I403,$L402-$L403&gt;25),IF(ABS($I402)&gt;10,$I402/POW(10,$J402),$J402/POW(10,$I402))*MAXIFS(Token!$C:$C,Token!$A:$A,$K402)&gt;0.01),$L402/86400+DATE(1970,1,1)+$G$6,)</f>
        <v/>
      </c>
      <c r="B402" s="27" t="str">
        <f t="shared" si="1"/>
        <v/>
      </c>
      <c r="C402" s="14" t="str">
        <f>IF($A402&lt;&gt;"",MINIFS(Merchant!$A:$A,Merchant!$B:$B,$G$2),)</f>
        <v/>
      </c>
      <c r="D402" s="14" t="str">
        <f t="shared" si="2"/>
        <v/>
      </c>
      <c r="E402" s="14" t="str">
        <f t="shared" si="3"/>
        <v/>
      </c>
      <c r="F402" s="7" t="str">
        <f>IF($A402&lt;&gt;"",MAXIFS(Token!$C:$C,Token!$A:$A,$D402),)</f>
        <v/>
      </c>
    </row>
    <row r="403">
      <c r="A403" s="39" t="str">
        <f>IF(AND($L403*1&gt;=$G$3,$L403*1&lt;=$G$4,$I403*$J403&gt;0,OR($I403&lt;&gt;$I404,$L403-$L404&gt;25),IF(ABS($I403)&gt;10,$I403/POW(10,$J403),$J403/POW(10,$I403))*MAXIFS(Token!$C:$C,Token!$A:$A,$K403)&gt;0.01),$L403/86400+DATE(1970,1,1)+$G$6,)</f>
        <v/>
      </c>
      <c r="B403" s="27" t="str">
        <f t="shared" si="1"/>
        <v/>
      </c>
      <c r="C403" s="14" t="str">
        <f>IF($A403&lt;&gt;"",MINIFS(Merchant!$A:$A,Merchant!$B:$B,$G$2),)</f>
        <v/>
      </c>
      <c r="D403" s="14" t="str">
        <f t="shared" si="2"/>
        <v/>
      </c>
      <c r="E403" s="14" t="str">
        <f t="shared" si="3"/>
        <v/>
      </c>
      <c r="F403" s="7" t="str">
        <f>IF($A403&lt;&gt;"",MAXIFS(Token!$C:$C,Token!$A:$A,$D403),)</f>
        <v/>
      </c>
    </row>
    <row r="404">
      <c r="A404" s="39" t="str">
        <f>IF(AND($L404*1&gt;=$G$3,$L404*1&lt;=$G$4,$I404*$J404&gt;0,OR($I404&lt;&gt;$I405,$L404-$L405&gt;25),IF(ABS($I404)&gt;10,$I404/POW(10,$J404),$J404/POW(10,$I404))*MAXIFS(Token!$C:$C,Token!$A:$A,$K404)&gt;0.01),$L404/86400+DATE(1970,1,1)+$G$6,)</f>
        <v/>
      </c>
      <c r="B404" s="27" t="str">
        <f t="shared" si="1"/>
        <v/>
      </c>
      <c r="C404" s="14" t="str">
        <f>IF($A404&lt;&gt;"",MINIFS(Merchant!$A:$A,Merchant!$B:$B,$G$2),)</f>
        <v/>
      </c>
      <c r="D404" s="14" t="str">
        <f t="shared" si="2"/>
        <v/>
      </c>
      <c r="E404" s="14" t="str">
        <f t="shared" si="3"/>
        <v/>
      </c>
      <c r="F404" s="7" t="str">
        <f>IF($A404&lt;&gt;"",MAXIFS(Token!$C:$C,Token!$A:$A,$D404),)</f>
        <v/>
      </c>
    </row>
    <row r="405">
      <c r="A405" s="39" t="str">
        <f>IF(AND($L405*1&gt;=$G$3,$L405*1&lt;=$G$4,$I405*$J405&gt;0,OR($I405&lt;&gt;$I406,$L405-$L406&gt;25),IF(ABS($I405)&gt;10,$I405/POW(10,$J405),$J405/POW(10,$I405))*MAXIFS(Token!$C:$C,Token!$A:$A,$K405)&gt;0.01),$L405/86400+DATE(1970,1,1)+$G$6,)</f>
        <v/>
      </c>
      <c r="B405" s="27" t="str">
        <f t="shared" si="1"/>
        <v/>
      </c>
      <c r="C405" s="14" t="str">
        <f>IF($A405&lt;&gt;"",MINIFS(Merchant!$A:$A,Merchant!$B:$B,$G$2),)</f>
        <v/>
      </c>
      <c r="D405" s="14" t="str">
        <f t="shared" si="2"/>
        <v/>
      </c>
      <c r="E405" s="14" t="str">
        <f t="shared" si="3"/>
        <v/>
      </c>
      <c r="F405" s="7" t="str">
        <f>IF($A405&lt;&gt;"",MAXIFS(Token!$C:$C,Token!$A:$A,$D405),)</f>
        <v/>
      </c>
    </row>
    <row r="406">
      <c r="A406" s="39" t="str">
        <f>IF(AND($L406*1&gt;=$G$3,$L406*1&lt;=$G$4,$I406*$J406&gt;0,OR($I406&lt;&gt;$I407,$L406-$L407&gt;25),IF(ABS($I406)&gt;10,$I406/POW(10,$J406),$J406/POW(10,$I406))*MAXIFS(Token!$C:$C,Token!$A:$A,$K406)&gt;0.01),$L406/86400+DATE(1970,1,1)+$G$6,)</f>
        <v/>
      </c>
      <c r="B406" s="27" t="str">
        <f t="shared" si="1"/>
        <v/>
      </c>
      <c r="C406" s="14" t="str">
        <f>IF($A406&lt;&gt;"",MINIFS(Merchant!$A:$A,Merchant!$B:$B,$G$2),)</f>
        <v/>
      </c>
      <c r="D406" s="14" t="str">
        <f t="shared" si="2"/>
        <v/>
      </c>
      <c r="E406" s="14" t="str">
        <f t="shared" si="3"/>
        <v/>
      </c>
      <c r="F406" s="7" t="str">
        <f>IF($A406&lt;&gt;"",MAXIFS(Token!$C:$C,Token!$A:$A,$D406),)</f>
        <v/>
      </c>
    </row>
    <row r="407">
      <c r="A407" s="39" t="str">
        <f>IF(AND($L407*1&gt;=$G$3,$L407*1&lt;=$G$4,$I407*$J407&gt;0,OR($I407&lt;&gt;$I408,$L407-$L408&gt;25),IF(ABS($I407)&gt;10,$I407/POW(10,$J407),$J407/POW(10,$I407))*MAXIFS(Token!$C:$C,Token!$A:$A,$K407)&gt;0.01),$L407/86400+DATE(1970,1,1)+$G$6,)</f>
        <v/>
      </c>
      <c r="B407" s="27" t="str">
        <f t="shared" si="1"/>
        <v/>
      </c>
      <c r="C407" s="14" t="str">
        <f>IF($A407&lt;&gt;"",MINIFS(Merchant!$A:$A,Merchant!$B:$B,$G$2),)</f>
        <v/>
      </c>
      <c r="D407" s="14" t="str">
        <f t="shared" si="2"/>
        <v/>
      </c>
      <c r="E407" s="14" t="str">
        <f t="shared" si="3"/>
        <v/>
      </c>
      <c r="F407" s="7" t="str">
        <f>IF($A407&lt;&gt;"",MAXIFS(Token!$C:$C,Token!$A:$A,$D407),)</f>
        <v/>
      </c>
    </row>
    <row r="408">
      <c r="A408" s="39" t="str">
        <f>IF(AND($L408*1&gt;=$G$3,$L408*1&lt;=$G$4,$I408*$J408&gt;0,OR($I408&lt;&gt;$I409,$L408-$L409&gt;25),IF(ABS($I408)&gt;10,$I408/POW(10,$J408),$J408/POW(10,$I408))*MAXIFS(Token!$C:$C,Token!$A:$A,$K408)&gt;0.01),$L408/86400+DATE(1970,1,1)+$G$6,)</f>
        <v/>
      </c>
      <c r="B408" s="27" t="str">
        <f t="shared" si="1"/>
        <v/>
      </c>
      <c r="C408" s="14" t="str">
        <f>IF($A408&lt;&gt;"",MINIFS(Merchant!$A:$A,Merchant!$B:$B,$G$2),)</f>
        <v/>
      </c>
      <c r="D408" s="14" t="str">
        <f t="shared" si="2"/>
        <v/>
      </c>
      <c r="E408" s="14" t="str">
        <f t="shared" si="3"/>
        <v/>
      </c>
      <c r="F408" s="7" t="str">
        <f>IF($A408&lt;&gt;"",MAXIFS(Token!$C:$C,Token!$A:$A,$D408),)</f>
        <v/>
      </c>
    </row>
    <row r="409">
      <c r="A409" s="39" t="str">
        <f>IF(AND($L409*1&gt;=$G$3,$L409*1&lt;=$G$4,$I409*$J409&gt;0,OR($I409&lt;&gt;$I410,$L409-$L410&gt;25),IF(ABS($I409)&gt;10,$I409/POW(10,$J409),$J409/POW(10,$I409))*MAXIFS(Token!$C:$C,Token!$A:$A,$K409)&gt;0.01),$L409/86400+DATE(1970,1,1)+$G$6,)</f>
        <v/>
      </c>
      <c r="B409" s="27" t="str">
        <f t="shared" si="1"/>
        <v/>
      </c>
      <c r="C409" s="14" t="str">
        <f>IF($A409&lt;&gt;"",MINIFS(Merchant!$A:$A,Merchant!$B:$B,$G$2),)</f>
        <v/>
      </c>
      <c r="D409" s="14" t="str">
        <f t="shared" si="2"/>
        <v/>
      </c>
      <c r="E409" s="14" t="str">
        <f t="shared" si="3"/>
        <v/>
      </c>
      <c r="F409" s="7" t="str">
        <f>IF($A409&lt;&gt;"",MAXIFS(Token!$C:$C,Token!$A:$A,$D409),)</f>
        <v/>
      </c>
    </row>
    <row r="410">
      <c r="A410" s="39" t="str">
        <f>IF(AND($L410*1&gt;=$G$3,$L410*1&lt;=$G$4,$I410*$J410&gt;0,OR($I410&lt;&gt;$I411,$L410-$L411&gt;25),IF(ABS($I410)&gt;10,$I410/POW(10,$J410),$J410/POW(10,$I410))*MAXIFS(Token!$C:$C,Token!$A:$A,$K410)&gt;0.01),$L410/86400+DATE(1970,1,1)+$G$6,)</f>
        <v/>
      </c>
      <c r="B410" s="27" t="str">
        <f t="shared" si="1"/>
        <v/>
      </c>
      <c r="C410" s="14" t="str">
        <f>IF($A410&lt;&gt;"",MINIFS(Merchant!$A:$A,Merchant!$B:$B,$G$2),)</f>
        <v/>
      </c>
      <c r="D410" s="14" t="str">
        <f t="shared" si="2"/>
        <v/>
      </c>
      <c r="E410" s="14" t="str">
        <f t="shared" si="3"/>
        <v/>
      </c>
      <c r="F410" s="7" t="str">
        <f>IF($A410&lt;&gt;"",MAXIFS(Token!$C:$C,Token!$A:$A,$D410),)</f>
        <v/>
      </c>
    </row>
    <row r="411">
      <c r="A411" s="39" t="str">
        <f>IF(AND($L411*1&gt;=$G$3,$L411*1&lt;=$G$4,$I411*$J411&gt;0,OR($I411&lt;&gt;$I412,$L411-$L412&gt;25),IF(ABS($I411)&gt;10,$I411/POW(10,$J411),$J411/POW(10,$I411))*MAXIFS(Token!$C:$C,Token!$A:$A,$K411)&gt;0.01),$L411/86400+DATE(1970,1,1)+$G$6,)</f>
        <v/>
      </c>
      <c r="B411" s="27" t="str">
        <f t="shared" si="1"/>
        <v/>
      </c>
      <c r="C411" s="14" t="str">
        <f>IF($A411&lt;&gt;"",MINIFS(Merchant!$A:$A,Merchant!$B:$B,$G$2),)</f>
        <v/>
      </c>
      <c r="D411" s="14" t="str">
        <f t="shared" si="2"/>
        <v/>
      </c>
      <c r="E411" s="14" t="str">
        <f t="shared" si="3"/>
        <v/>
      </c>
      <c r="F411" s="7" t="str">
        <f>IF($A411&lt;&gt;"",MAXIFS(Token!$C:$C,Token!$A:$A,$D411),)</f>
        <v/>
      </c>
    </row>
    <row r="412">
      <c r="A412" s="39" t="str">
        <f>IF(AND($L412*1&gt;=$G$3,$L412*1&lt;=$G$4,$I412*$J412&gt;0,OR($I412&lt;&gt;$I413,$L412-$L413&gt;25),IF(ABS($I412)&gt;10,$I412/POW(10,$J412),$J412/POW(10,$I412))*MAXIFS(Token!$C:$C,Token!$A:$A,$K412)&gt;0.01),$L412/86400+DATE(1970,1,1)+$G$6,)</f>
        <v/>
      </c>
      <c r="B412" s="27" t="str">
        <f t="shared" si="1"/>
        <v/>
      </c>
      <c r="C412" s="14" t="str">
        <f>IF($A412&lt;&gt;"",MINIFS(Merchant!$A:$A,Merchant!$B:$B,$G$2),)</f>
        <v/>
      </c>
      <c r="D412" s="14" t="str">
        <f t="shared" si="2"/>
        <v/>
      </c>
      <c r="E412" s="14" t="str">
        <f t="shared" si="3"/>
        <v/>
      </c>
      <c r="F412" s="7" t="str">
        <f>IF($A412&lt;&gt;"",MAXIFS(Token!$C:$C,Token!$A:$A,$D412),)</f>
        <v/>
      </c>
    </row>
    <row r="413">
      <c r="A413" s="39" t="str">
        <f>IF(AND($L413*1&gt;=$G$3,$L413*1&lt;=$G$4,$I413*$J413&gt;0,OR($I413&lt;&gt;$I414,$L413-$L414&gt;25),IF(ABS($I413)&gt;10,$I413/POW(10,$J413),$J413/POW(10,$I413))*MAXIFS(Token!$C:$C,Token!$A:$A,$K413)&gt;0.01),$L413/86400+DATE(1970,1,1)+$G$6,)</f>
        <v/>
      </c>
      <c r="B413" s="27" t="str">
        <f t="shared" si="1"/>
        <v/>
      </c>
      <c r="C413" s="14" t="str">
        <f>IF($A413&lt;&gt;"",MINIFS(Merchant!$A:$A,Merchant!$B:$B,$G$2),)</f>
        <v/>
      </c>
      <c r="D413" s="14" t="str">
        <f t="shared" si="2"/>
        <v/>
      </c>
      <c r="E413" s="14" t="str">
        <f t="shared" si="3"/>
        <v/>
      </c>
      <c r="F413" s="7" t="str">
        <f>IF($A413&lt;&gt;"",MAXIFS(Token!$C:$C,Token!$A:$A,$D413),)</f>
        <v/>
      </c>
    </row>
    <row r="414">
      <c r="A414" s="39" t="str">
        <f>IF(AND($L414*1&gt;=$G$3,$L414*1&lt;=$G$4,$I414*$J414&gt;0,OR($I414&lt;&gt;$I415,$L414-$L415&gt;25),IF(ABS($I414)&gt;10,$I414/POW(10,$J414),$J414/POW(10,$I414))*MAXIFS(Token!$C:$C,Token!$A:$A,$K414)&gt;0.01),$L414/86400+DATE(1970,1,1)+$G$6,)</f>
        <v/>
      </c>
      <c r="B414" s="27" t="str">
        <f t="shared" si="1"/>
        <v/>
      </c>
      <c r="C414" s="14" t="str">
        <f>IF($A414&lt;&gt;"",MINIFS(Merchant!$A:$A,Merchant!$B:$B,$G$2),)</f>
        <v/>
      </c>
      <c r="D414" s="14" t="str">
        <f t="shared" si="2"/>
        <v/>
      </c>
      <c r="E414" s="14" t="str">
        <f t="shared" si="3"/>
        <v/>
      </c>
      <c r="F414" s="7" t="str">
        <f>IF($A414&lt;&gt;"",MAXIFS(Token!$C:$C,Token!$A:$A,$D414),)</f>
        <v/>
      </c>
    </row>
    <row r="415">
      <c r="A415" s="39" t="str">
        <f>IF(AND($L415*1&gt;=$G$3,$L415*1&lt;=$G$4,$I415*$J415&gt;0,OR($I415&lt;&gt;$I416,$L415-$L416&gt;25),IF(ABS($I415)&gt;10,$I415/POW(10,$J415),$J415/POW(10,$I415))*MAXIFS(Token!$C:$C,Token!$A:$A,$K415)&gt;0.01),$L415/86400+DATE(1970,1,1)+$G$6,)</f>
        <v/>
      </c>
      <c r="B415" s="27" t="str">
        <f t="shared" si="1"/>
        <v/>
      </c>
      <c r="C415" s="14" t="str">
        <f>IF($A415&lt;&gt;"",MINIFS(Merchant!$A:$A,Merchant!$B:$B,$G$2),)</f>
        <v/>
      </c>
      <c r="D415" s="14" t="str">
        <f t="shared" si="2"/>
        <v/>
      </c>
      <c r="E415" s="14" t="str">
        <f t="shared" si="3"/>
        <v/>
      </c>
      <c r="F415" s="7" t="str">
        <f>IF($A415&lt;&gt;"",MAXIFS(Token!$C:$C,Token!$A:$A,$D415),)</f>
        <v/>
      </c>
    </row>
    <row r="416">
      <c r="A416" s="39" t="str">
        <f>IF(AND($L416*1&gt;=$G$3,$L416*1&lt;=$G$4,$I416*$J416&gt;0,OR($I416&lt;&gt;$I417,$L416-$L417&gt;25),IF(ABS($I416)&gt;10,$I416/POW(10,$J416),$J416/POW(10,$I416))*MAXIFS(Token!$C:$C,Token!$A:$A,$K416)&gt;0.01),$L416/86400+DATE(1970,1,1)+$G$6,)</f>
        <v/>
      </c>
      <c r="B416" s="27" t="str">
        <f t="shared" si="1"/>
        <v/>
      </c>
      <c r="C416" s="14" t="str">
        <f>IF($A416&lt;&gt;"",MINIFS(Merchant!$A:$A,Merchant!$B:$B,$G$2),)</f>
        <v/>
      </c>
      <c r="D416" s="14" t="str">
        <f t="shared" si="2"/>
        <v/>
      </c>
      <c r="E416" s="14" t="str">
        <f t="shared" si="3"/>
        <v/>
      </c>
      <c r="F416" s="7" t="str">
        <f>IF($A416&lt;&gt;"",MAXIFS(Token!$C:$C,Token!$A:$A,$D416),)</f>
        <v/>
      </c>
    </row>
    <row r="417">
      <c r="A417" s="39" t="str">
        <f>IF(AND($L417*1&gt;=$G$3,$L417*1&lt;=$G$4,$I417*$J417&gt;0,OR($I417&lt;&gt;$I418,$L417-$L418&gt;25),IF(ABS($I417)&gt;10,$I417/POW(10,$J417),$J417/POW(10,$I417))*MAXIFS(Token!$C:$C,Token!$A:$A,$K417)&gt;0.01),$L417/86400+DATE(1970,1,1)+$G$6,)</f>
        <v/>
      </c>
      <c r="B417" s="27" t="str">
        <f t="shared" si="1"/>
        <v/>
      </c>
      <c r="C417" s="14" t="str">
        <f>IF($A417&lt;&gt;"",MINIFS(Merchant!$A:$A,Merchant!$B:$B,$G$2),)</f>
        <v/>
      </c>
      <c r="D417" s="14" t="str">
        <f t="shared" si="2"/>
        <v/>
      </c>
      <c r="E417" s="14" t="str">
        <f t="shared" si="3"/>
        <v/>
      </c>
      <c r="F417" s="7" t="str">
        <f>IF($A417&lt;&gt;"",MAXIFS(Token!$C:$C,Token!$A:$A,$D417),)</f>
        <v/>
      </c>
    </row>
    <row r="418">
      <c r="A418" s="39" t="str">
        <f>IF(AND($L418*1&gt;=$G$3,$L418*1&lt;=$G$4,$I418*$J418&gt;0,OR($I418&lt;&gt;$I419,$L418-$L419&gt;25),IF(ABS($I418)&gt;10,$I418/POW(10,$J418),$J418/POW(10,$I418))*MAXIFS(Token!$C:$C,Token!$A:$A,$K418)&gt;0.01),$L418/86400+DATE(1970,1,1)+$G$6,)</f>
        <v/>
      </c>
      <c r="B418" s="27" t="str">
        <f t="shared" si="1"/>
        <v/>
      </c>
      <c r="C418" s="14" t="str">
        <f>IF($A418&lt;&gt;"",MINIFS(Merchant!$A:$A,Merchant!$B:$B,$G$2),)</f>
        <v/>
      </c>
      <c r="D418" s="14" t="str">
        <f t="shared" si="2"/>
        <v/>
      </c>
      <c r="E418" s="14" t="str">
        <f t="shared" si="3"/>
        <v/>
      </c>
      <c r="F418" s="7" t="str">
        <f>IF($A418&lt;&gt;"",MAXIFS(Token!$C:$C,Token!$A:$A,$D418),)</f>
        <v/>
      </c>
    </row>
    <row r="419">
      <c r="A419" s="39" t="str">
        <f>IF(AND($L419*1&gt;=$G$3,$L419*1&lt;=$G$4,$I419*$J419&gt;0,OR($I419&lt;&gt;$I420,$L419-$L420&gt;25),IF(ABS($I419)&gt;10,$I419/POW(10,$J419),$J419/POW(10,$I419))*MAXIFS(Token!$C:$C,Token!$A:$A,$K419)&gt;0.01),$L419/86400+DATE(1970,1,1)+$G$6,)</f>
        <v/>
      </c>
      <c r="B419" s="27" t="str">
        <f t="shared" si="1"/>
        <v/>
      </c>
      <c r="C419" s="14" t="str">
        <f>IF($A419&lt;&gt;"",MINIFS(Merchant!$A:$A,Merchant!$B:$B,$G$2),)</f>
        <v/>
      </c>
      <c r="D419" s="14" t="str">
        <f t="shared" si="2"/>
        <v/>
      </c>
      <c r="E419" s="14" t="str">
        <f t="shared" si="3"/>
        <v/>
      </c>
      <c r="F419" s="7" t="str">
        <f>IF($A419&lt;&gt;"",MAXIFS(Token!$C:$C,Token!$A:$A,$D419),)</f>
        <v/>
      </c>
    </row>
    <row r="420">
      <c r="A420" s="39" t="str">
        <f>IF(AND($L420*1&gt;=$G$3,$L420*1&lt;=$G$4,$I420*$J420&gt;0,OR($I420&lt;&gt;$I421,$L420-$L421&gt;25),IF(ABS($I420)&gt;10,$I420/POW(10,$J420),$J420/POW(10,$I420))*MAXIFS(Token!$C:$C,Token!$A:$A,$K420)&gt;0.01),$L420/86400+DATE(1970,1,1)+$G$6,)</f>
        <v/>
      </c>
      <c r="B420" s="27" t="str">
        <f t="shared" si="1"/>
        <v/>
      </c>
      <c r="C420" s="14" t="str">
        <f>IF($A420&lt;&gt;"",MINIFS(Merchant!$A:$A,Merchant!$B:$B,$G$2),)</f>
        <v/>
      </c>
      <c r="D420" s="14" t="str">
        <f t="shared" si="2"/>
        <v/>
      </c>
      <c r="E420" s="14" t="str">
        <f t="shared" si="3"/>
        <v/>
      </c>
      <c r="F420" s="7" t="str">
        <f>IF($A420&lt;&gt;"",MAXIFS(Token!$C:$C,Token!$A:$A,$D420),)</f>
        <v/>
      </c>
    </row>
    <row r="421">
      <c r="A421" s="39" t="str">
        <f>IF(AND($L421*1&gt;=$G$3,$L421*1&lt;=$G$4,$I421*$J421&gt;0,OR($I421&lt;&gt;$I422,$L421-$L422&gt;25),IF(ABS($I421)&gt;10,$I421/POW(10,$J421),$J421/POW(10,$I421))*MAXIFS(Token!$C:$C,Token!$A:$A,$K421)&gt;0.01),$L421/86400+DATE(1970,1,1)+$G$6,)</f>
        <v/>
      </c>
      <c r="B421" s="27" t="str">
        <f t="shared" si="1"/>
        <v/>
      </c>
      <c r="C421" s="14" t="str">
        <f>IF($A421&lt;&gt;"",MINIFS(Merchant!$A:$A,Merchant!$B:$B,$G$2),)</f>
        <v/>
      </c>
      <c r="D421" s="14" t="str">
        <f t="shared" si="2"/>
        <v/>
      </c>
      <c r="E421" s="14" t="str">
        <f t="shared" si="3"/>
        <v/>
      </c>
      <c r="F421" s="7" t="str">
        <f>IF($A421&lt;&gt;"",MAXIFS(Token!$C:$C,Token!$A:$A,$D421),)</f>
        <v/>
      </c>
    </row>
    <row r="422">
      <c r="A422" s="39" t="str">
        <f>IF(AND($L422*1&gt;=$G$3,$L422*1&lt;=$G$4,$I422*$J422&gt;0,OR($I422&lt;&gt;$I423,$L422-$L423&gt;25),IF(ABS($I422)&gt;10,$I422/POW(10,$J422),$J422/POW(10,$I422))*MAXIFS(Token!$C:$C,Token!$A:$A,$K422)&gt;0.01),$L422/86400+DATE(1970,1,1)+$G$6,)</f>
        <v/>
      </c>
      <c r="B422" s="27" t="str">
        <f t="shared" si="1"/>
        <v/>
      </c>
      <c r="C422" s="14" t="str">
        <f>IF($A422&lt;&gt;"",MINIFS(Merchant!$A:$A,Merchant!$B:$B,$G$2),)</f>
        <v/>
      </c>
      <c r="D422" s="14" t="str">
        <f t="shared" si="2"/>
        <v/>
      </c>
      <c r="E422" s="14" t="str">
        <f t="shared" si="3"/>
        <v/>
      </c>
      <c r="F422" s="7" t="str">
        <f>IF($A422&lt;&gt;"",MAXIFS(Token!$C:$C,Token!$A:$A,$D422),)</f>
        <v/>
      </c>
    </row>
    <row r="423">
      <c r="A423" s="39" t="str">
        <f>IF(AND($L423*1&gt;=$G$3,$L423*1&lt;=$G$4,$I423*$J423&gt;0,OR($I423&lt;&gt;$I424,$L423-$L424&gt;25),IF(ABS($I423)&gt;10,$I423/POW(10,$J423),$J423/POW(10,$I423))*MAXIFS(Token!$C:$C,Token!$A:$A,$K423)&gt;0.01),$L423/86400+DATE(1970,1,1)+$G$6,)</f>
        <v/>
      </c>
      <c r="B423" s="27" t="str">
        <f t="shared" si="1"/>
        <v/>
      </c>
      <c r="C423" s="14" t="str">
        <f>IF($A423&lt;&gt;"",MINIFS(Merchant!$A:$A,Merchant!$B:$B,$G$2),)</f>
        <v/>
      </c>
      <c r="D423" s="14" t="str">
        <f t="shared" si="2"/>
        <v/>
      </c>
      <c r="E423" s="14" t="str">
        <f t="shared" si="3"/>
        <v/>
      </c>
      <c r="F423" s="7" t="str">
        <f>IF($A423&lt;&gt;"",MAXIFS(Token!$C:$C,Token!$A:$A,$D423),)</f>
        <v/>
      </c>
    </row>
    <row r="424">
      <c r="A424" s="39" t="str">
        <f>IF(AND($L424*1&gt;=$G$3,$L424*1&lt;=$G$4,$I424*$J424&gt;0,OR($I424&lt;&gt;$I425,$L424-$L425&gt;25),IF(ABS($I424)&gt;10,$I424/POW(10,$J424),$J424/POW(10,$I424))*MAXIFS(Token!$C:$C,Token!$A:$A,$K424)&gt;0.01),$L424/86400+DATE(1970,1,1)+$G$6,)</f>
        <v/>
      </c>
      <c r="B424" s="27" t="str">
        <f t="shared" si="1"/>
        <v/>
      </c>
      <c r="C424" s="14" t="str">
        <f>IF($A424&lt;&gt;"",MINIFS(Merchant!$A:$A,Merchant!$B:$B,$G$2),)</f>
        <v/>
      </c>
      <c r="D424" s="14" t="str">
        <f t="shared" si="2"/>
        <v/>
      </c>
      <c r="E424" s="14" t="str">
        <f t="shared" si="3"/>
        <v/>
      </c>
      <c r="F424" s="7" t="str">
        <f>IF($A424&lt;&gt;"",MAXIFS(Token!$C:$C,Token!$A:$A,$D424),)</f>
        <v/>
      </c>
    </row>
    <row r="425">
      <c r="A425" s="39" t="str">
        <f>IF(AND($L425*1&gt;=$G$3,$L425*1&lt;=$G$4,$I425*$J425&gt;0,OR($I425&lt;&gt;$I426,$L425-$L426&gt;25),IF(ABS($I425)&gt;10,$I425/POW(10,$J425),$J425/POW(10,$I425))*MAXIFS(Token!$C:$C,Token!$A:$A,$K425)&gt;0.01),$L425/86400+DATE(1970,1,1)+$G$6,)</f>
        <v/>
      </c>
      <c r="B425" s="27" t="str">
        <f t="shared" si="1"/>
        <v/>
      </c>
      <c r="C425" s="14" t="str">
        <f>IF($A425&lt;&gt;"",MINIFS(Merchant!$A:$A,Merchant!$B:$B,$G$2),)</f>
        <v/>
      </c>
      <c r="D425" s="14" t="str">
        <f t="shared" si="2"/>
        <v/>
      </c>
      <c r="E425" s="14" t="str">
        <f t="shared" si="3"/>
        <v/>
      </c>
      <c r="F425" s="7" t="str">
        <f>IF($A425&lt;&gt;"",MAXIFS(Token!$C:$C,Token!$A:$A,$D425),)</f>
        <v/>
      </c>
    </row>
    <row r="426">
      <c r="A426" s="39" t="str">
        <f>IF(AND($L426*1&gt;=$G$3,$L426*1&lt;=$G$4,$I426*$J426&gt;0,OR($I426&lt;&gt;$I427,$L426-$L427&gt;25),IF(ABS($I426)&gt;10,$I426/POW(10,$J426),$J426/POW(10,$I426))*MAXIFS(Token!$C:$C,Token!$A:$A,$K426)&gt;0.01),$L426/86400+DATE(1970,1,1)+$G$6,)</f>
        <v/>
      </c>
      <c r="B426" s="27" t="str">
        <f t="shared" si="1"/>
        <v/>
      </c>
      <c r="C426" s="14" t="str">
        <f>IF($A426&lt;&gt;"",MINIFS(Merchant!$A:$A,Merchant!$B:$B,$G$2),)</f>
        <v/>
      </c>
      <c r="D426" s="14" t="str">
        <f t="shared" si="2"/>
        <v/>
      </c>
      <c r="E426" s="14" t="str">
        <f t="shared" si="3"/>
        <v/>
      </c>
      <c r="F426" s="7" t="str">
        <f>IF($A426&lt;&gt;"",MAXIFS(Token!$C:$C,Token!$A:$A,$D426),)</f>
        <v/>
      </c>
    </row>
    <row r="427">
      <c r="A427" s="39" t="str">
        <f>IF(AND($L427*1&gt;=$G$3,$L427*1&lt;=$G$4,$I427*$J427&gt;0,OR($I427&lt;&gt;$I428,$L427-$L428&gt;25),IF(ABS($I427)&gt;10,$I427/POW(10,$J427),$J427/POW(10,$I427))*MAXIFS(Token!$C:$C,Token!$A:$A,$K427)&gt;0.01),$L427/86400+DATE(1970,1,1)+$G$6,)</f>
        <v/>
      </c>
      <c r="B427" s="27" t="str">
        <f t="shared" si="1"/>
        <v/>
      </c>
      <c r="C427" s="14" t="str">
        <f>IF($A427&lt;&gt;"",MINIFS(Merchant!$A:$A,Merchant!$B:$B,$G$2),)</f>
        <v/>
      </c>
      <c r="D427" s="14" t="str">
        <f t="shared" si="2"/>
        <v/>
      </c>
      <c r="E427" s="14" t="str">
        <f t="shared" si="3"/>
        <v/>
      </c>
      <c r="F427" s="7" t="str">
        <f>IF($A427&lt;&gt;"",MAXIFS(Token!$C:$C,Token!$A:$A,$D427),)</f>
        <v/>
      </c>
    </row>
    <row r="428">
      <c r="A428" s="39" t="str">
        <f>IF(AND($L428*1&gt;=$G$3,$L428*1&lt;=$G$4,$I428*$J428&gt;0,OR($I428&lt;&gt;$I429,$L428-$L429&gt;25),IF(ABS($I428)&gt;10,$I428/POW(10,$J428),$J428/POW(10,$I428))*MAXIFS(Token!$C:$C,Token!$A:$A,$K428)&gt;0.01),$L428/86400+DATE(1970,1,1)+$G$6,)</f>
        <v/>
      </c>
      <c r="B428" s="27" t="str">
        <f t="shared" si="1"/>
        <v/>
      </c>
      <c r="C428" s="14" t="str">
        <f>IF($A428&lt;&gt;"",MINIFS(Merchant!$A:$A,Merchant!$B:$B,$G$2),)</f>
        <v/>
      </c>
      <c r="D428" s="14" t="str">
        <f t="shared" si="2"/>
        <v/>
      </c>
      <c r="E428" s="14" t="str">
        <f t="shared" si="3"/>
        <v/>
      </c>
      <c r="F428" s="7" t="str">
        <f>IF($A428&lt;&gt;"",MAXIFS(Token!$C:$C,Token!$A:$A,$D428),)</f>
        <v/>
      </c>
    </row>
    <row r="429">
      <c r="A429" s="39" t="str">
        <f>IF(AND($L429*1&gt;=$G$3,$L429*1&lt;=$G$4,$I429*$J429&gt;0,OR($I429&lt;&gt;$I430,$L429-$L430&gt;25),IF(ABS($I429)&gt;10,$I429/POW(10,$J429),$J429/POW(10,$I429))*MAXIFS(Token!$C:$C,Token!$A:$A,$K429)&gt;0.01),$L429/86400+DATE(1970,1,1)+$G$6,)</f>
        <v/>
      </c>
      <c r="B429" s="27" t="str">
        <f t="shared" si="1"/>
        <v/>
      </c>
      <c r="C429" s="14" t="str">
        <f>IF($A429&lt;&gt;"",MINIFS(Merchant!$A:$A,Merchant!$B:$B,$G$2),)</f>
        <v/>
      </c>
      <c r="D429" s="14" t="str">
        <f t="shared" si="2"/>
        <v/>
      </c>
      <c r="E429" s="14" t="str">
        <f t="shared" si="3"/>
        <v/>
      </c>
      <c r="F429" s="7" t="str">
        <f>IF($A429&lt;&gt;"",MAXIFS(Token!$C:$C,Token!$A:$A,$D429),)</f>
        <v/>
      </c>
    </row>
    <row r="430">
      <c r="A430" s="39" t="str">
        <f>IF(AND($L430*1&gt;=$G$3,$L430*1&lt;=$G$4,$I430*$J430&gt;0,OR($I430&lt;&gt;$I431,$L430-$L431&gt;25),IF(ABS($I430)&gt;10,$I430/POW(10,$J430),$J430/POW(10,$I430))*MAXIFS(Token!$C:$C,Token!$A:$A,$K430)&gt;0.01),$L430/86400+DATE(1970,1,1)+$G$6,)</f>
        <v/>
      </c>
      <c r="B430" s="27" t="str">
        <f t="shared" si="1"/>
        <v/>
      </c>
      <c r="C430" s="14" t="str">
        <f>IF($A430&lt;&gt;"",MINIFS(Merchant!$A:$A,Merchant!$B:$B,$G$2),)</f>
        <v/>
      </c>
      <c r="D430" s="14" t="str">
        <f t="shared" si="2"/>
        <v/>
      </c>
      <c r="E430" s="14" t="str">
        <f t="shared" si="3"/>
        <v/>
      </c>
      <c r="F430" s="7" t="str">
        <f>IF($A430&lt;&gt;"",MAXIFS(Token!$C:$C,Token!$A:$A,$D430),)</f>
        <v/>
      </c>
    </row>
    <row r="431">
      <c r="A431" s="39" t="str">
        <f>IF(AND($L431*1&gt;=$G$3,$L431*1&lt;=$G$4,$I431*$J431&gt;0,OR($I431&lt;&gt;$I432,$L431-$L432&gt;25),IF(ABS($I431)&gt;10,$I431/POW(10,$J431),$J431/POW(10,$I431))*MAXIFS(Token!$C:$C,Token!$A:$A,$K431)&gt;0.01),$L431/86400+DATE(1970,1,1)+$G$6,)</f>
        <v/>
      </c>
      <c r="B431" s="27" t="str">
        <f t="shared" si="1"/>
        <v/>
      </c>
      <c r="C431" s="14" t="str">
        <f>IF($A431&lt;&gt;"",MINIFS(Merchant!$A:$A,Merchant!$B:$B,$G$2),)</f>
        <v/>
      </c>
      <c r="D431" s="14" t="str">
        <f t="shared" si="2"/>
        <v/>
      </c>
      <c r="E431" s="14" t="str">
        <f t="shared" si="3"/>
        <v/>
      </c>
      <c r="F431" s="7" t="str">
        <f>IF($A431&lt;&gt;"",MAXIFS(Token!$C:$C,Token!$A:$A,$D431),)</f>
        <v/>
      </c>
    </row>
    <row r="432">
      <c r="A432" s="39" t="str">
        <f>IF(AND($L432*1&gt;=$G$3,$L432*1&lt;=$G$4,$I432*$J432&gt;0,OR($I432&lt;&gt;$I433,$L432-$L433&gt;25),IF(ABS($I432)&gt;10,$I432/POW(10,$J432),$J432/POW(10,$I432))*MAXIFS(Token!$C:$C,Token!$A:$A,$K432)&gt;0.01),$L432/86400+DATE(1970,1,1)+$G$6,)</f>
        <v/>
      </c>
      <c r="B432" s="27" t="str">
        <f t="shared" si="1"/>
        <v/>
      </c>
      <c r="C432" s="14" t="str">
        <f>IF($A432&lt;&gt;"",MINIFS(Merchant!$A:$A,Merchant!$B:$B,$G$2),)</f>
        <v/>
      </c>
      <c r="D432" s="14" t="str">
        <f t="shared" si="2"/>
        <v/>
      </c>
      <c r="E432" s="14" t="str">
        <f t="shared" si="3"/>
        <v/>
      </c>
      <c r="F432" s="7" t="str">
        <f>IF($A432&lt;&gt;"",MAXIFS(Token!$C:$C,Token!$A:$A,$D432),)</f>
        <v/>
      </c>
    </row>
    <row r="433">
      <c r="A433" s="39" t="str">
        <f>IF(AND($L433*1&gt;=$G$3,$L433*1&lt;=$G$4,$I433*$J433&gt;0,OR($I433&lt;&gt;$I434,$L433-$L434&gt;25),IF(ABS($I433)&gt;10,$I433/POW(10,$J433),$J433/POW(10,$I433))*MAXIFS(Token!$C:$C,Token!$A:$A,$K433)&gt;0.01),$L433/86400+DATE(1970,1,1)+$G$6,)</f>
        <v/>
      </c>
      <c r="B433" s="27" t="str">
        <f t="shared" si="1"/>
        <v/>
      </c>
      <c r="C433" s="14" t="str">
        <f>IF($A433&lt;&gt;"",MINIFS(Merchant!$A:$A,Merchant!$B:$B,$G$2),)</f>
        <v/>
      </c>
      <c r="D433" s="14" t="str">
        <f t="shared" si="2"/>
        <v/>
      </c>
      <c r="E433" s="14" t="str">
        <f t="shared" si="3"/>
        <v/>
      </c>
      <c r="F433" s="7" t="str">
        <f>IF($A433&lt;&gt;"",MAXIFS(Token!$C:$C,Token!$A:$A,$D433),)</f>
        <v/>
      </c>
    </row>
    <row r="434">
      <c r="A434" s="39" t="str">
        <f>IF(AND($L434*1&gt;=$G$3,$L434*1&lt;=$G$4,$I434*$J434&gt;0,OR($I434&lt;&gt;$I435,$L434-$L435&gt;25),IF(ABS($I434)&gt;10,$I434/POW(10,$J434),$J434/POW(10,$I434))*MAXIFS(Token!$C:$C,Token!$A:$A,$K434)&gt;0.01),$L434/86400+DATE(1970,1,1)+$G$6,)</f>
        <v/>
      </c>
      <c r="B434" s="27" t="str">
        <f t="shared" si="1"/>
        <v/>
      </c>
      <c r="C434" s="14" t="str">
        <f>IF($A434&lt;&gt;"",MINIFS(Merchant!$A:$A,Merchant!$B:$B,$G$2),)</f>
        <v/>
      </c>
      <c r="D434" s="14" t="str">
        <f t="shared" si="2"/>
        <v/>
      </c>
      <c r="E434" s="14" t="str">
        <f t="shared" si="3"/>
        <v/>
      </c>
      <c r="F434" s="7" t="str">
        <f>IF($A434&lt;&gt;"",MAXIFS(Token!$C:$C,Token!$A:$A,$D434),)</f>
        <v/>
      </c>
    </row>
    <row r="435">
      <c r="A435" s="39" t="str">
        <f>IF(AND($L435*1&gt;=$G$3,$L435*1&lt;=$G$4,$I435*$J435&gt;0,OR($I435&lt;&gt;$I436,$L435-$L436&gt;25),IF(ABS($I435)&gt;10,$I435/POW(10,$J435),$J435/POW(10,$I435))*MAXIFS(Token!$C:$C,Token!$A:$A,$K435)&gt;0.01),$L435/86400+DATE(1970,1,1)+$G$6,)</f>
        <v/>
      </c>
      <c r="B435" s="27" t="str">
        <f t="shared" si="1"/>
        <v/>
      </c>
      <c r="C435" s="14" t="str">
        <f>IF($A435&lt;&gt;"",MINIFS(Merchant!$A:$A,Merchant!$B:$B,$G$2),)</f>
        <v/>
      </c>
      <c r="D435" s="14" t="str">
        <f t="shared" si="2"/>
        <v/>
      </c>
      <c r="E435" s="14" t="str">
        <f t="shared" si="3"/>
        <v/>
      </c>
      <c r="F435" s="7" t="str">
        <f>IF($A435&lt;&gt;"",MAXIFS(Token!$C:$C,Token!$A:$A,$D435),)</f>
        <v/>
      </c>
    </row>
    <row r="436">
      <c r="A436" s="39" t="str">
        <f>IF(AND($L436*1&gt;=$G$3,$L436*1&lt;=$G$4,$I436*$J436&gt;0,OR($I436&lt;&gt;$I437,$L436-$L437&gt;25),IF(ABS($I436)&gt;10,$I436/POW(10,$J436),$J436/POW(10,$I436))*MAXIFS(Token!$C:$C,Token!$A:$A,$K436)&gt;0.01),$L436/86400+DATE(1970,1,1)+$G$6,)</f>
        <v/>
      </c>
      <c r="B436" s="27" t="str">
        <f t="shared" si="1"/>
        <v/>
      </c>
      <c r="C436" s="14" t="str">
        <f>IF($A436&lt;&gt;"",MINIFS(Merchant!$A:$A,Merchant!$B:$B,$G$2),)</f>
        <v/>
      </c>
      <c r="D436" s="14" t="str">
        <f t="shared" si="2"/>
        <v/>
      </c>
      <c r="E436" s="14" t="str">
        <f t="shared" si="3"/>
        <v/>
      </c>
      <c r="F436" s="7" t="str">
        <f>IF($A436&lt;&gt;"",MAXIFS(Token!$C:$C,Token!$A:$A,$D436),)</f>
        <v/>
      </c>
    </row>
    <row r="437">
      <c r="A437" s="39" t="str">
        <f>IF(AND($L437*1&gt;=$G$3,$L437*1&lt;=$G$4,$I437*$J437&gt;0,OR($I437&lt;&gt;$I438,$L437-$L438&gt;25),IF(ABS($I437)&gt;10,$I437/POW(10,$J437),$J437/POW(10,$I437))*MAXIFS(Token!$C:$C,Token!$A:$A,$K437)&gt;0.01),$L437/86400+DATE(1970,1,1)+$G$6,)</f>
        <v/>
      </c>
      <c r="B437" s="27" t="str">
        <f t="shared" si="1"/>
        <v/>
      </c>
      <c r="C437" s="14" t="str">
        <f>IF($A437&lt;&gt;"",MINIFS(Merchant!$A:$A,Merchant!$B:$B,$G$2),)</f>
        <v/>
      </c>
      <c r="D437" s="14" t="str">
        <f t="shared" si="2"/>
        <v/>
      </c>
      <c r="E437" s="14" t="str">
        <f t="shared" si="3"/>
        <v/>
      </c>
      <c r="F437" s="7" t="str">
        <f>IF($A437&lt;&gt;"",MAXIFS(Token!$C:$C,Token!$A:$A,$D437),)</f>
        <v/>
      </c>
    </row>
    <row r="438">
      <c r="A438" s="39" t="str">
        <f>IF(AND($L438*1&gt;=$G$3,$L438*1&lt;=$G$4,$I438*$J438&gt;0,OR($I438&lt;&gt;$I439,$L438-$L439&gt;25),IF(ABS($I438)&gt;10,$I438/POW(10,$J438),$J438/POW(10,$I438))*MAXIFS(Token!$C:$C,Token!$A:$A,$K438)&gt;0.01),$L438/86400+DATE(1970,1,1)+$G$6,)</f>
        <v/>
      </c>
      <c r="B438" s="27" t="str">
        <f t="shared" si="1"/>
        <v/>
      </c>
      <c r="C438" s="14" t="str">
        <f>IF($A438&lt;&gt;"",MINIFS(Merchant!$A:$A,Merchant!$B:$B,$G$2),)</f>
        <v/>
      </c>
      <c r="D438" s="14" t="str">
        <f t="shared" si="2"/>
        <v/>
      </c>
      <c r="E438" s="14" t="str">
        <f t="shared" si="3"/>
        <v/>
      </c>
      <c r="F438" s="7" t="str">
        <f>IF($A438&lt;&gt;"",MAXIFS(Token!$C:$C,Token!$A:$A,$D438),)</f>
        <v/>
      </c>
    </row>
    <row r="439">
      <c r="A439" s="39" t="str">
        <f>IF(AND($L439*1&gt;=$G$3,$L439*1&lt;=$G$4,$I439*$J439&gt;0,OR($I439&lt;&gt;$I440,$L439-$L440&gt;25),IF(ABS($I439)&gt;10,$I439/POW(10,$J439),$J439/POW(10,$I439))*MAXIFS(Token!$C:$C,Token!$A:$A,$K439)&gt;0.01),$L439/86400+DATE(1970,1,1)+$G$6,)</f>
        <v/>
      </c>
      <c r="B439" s="27" t="str">
        <f t="shared" si="1"/>
        <v/>
      </c>
      <c r="C439" s="14" t="str">
        <f>IF($A439&lt;&gt;"",MINIFS(Merchant!$A:$A,Merchant!$B:$B,$G$2),)</f>
        <v/>
      </c>
      <c r="D439" s="14" t="str">
        <f t="shared" si="2"/>
        <v/>
      </c>
      <c r="E439" s="14" t="str">
        <f t="shared" si="3"/>
        <v/>
      </c>
      <c r="F439" s="7" t="str">
        <f>IF($A439&lt;&gt;"",MAXIFS(Token!$C:$C,Token!$A:$A,$D439),)</f>
        <v/>
      </c>
    </row>
    <row r="440">
      <c r="A440" s="39" t="str">
        <f>IF(AND($L440*1&gt;=$G$3,$L440*1&lt;=$G$4,$I440*$J440&gt;0,OR($I440&lt;&gt;$I441,$L440-$L441&gt;25),IF(ABS($I440)&gt;10,$I440/POW(10,$J440),$J440/POW(10,$I440))*MAXIFS(Token!$C:$C,Token!$A:$A,$K440)&gt;0.01),$L440/86400+DATE(1970,1,1)+$G$6,)</f>
        <v/>
      </c>
      <c r="B440" s="27" t="str">
        <f t="shared" si="1"/>
        <v/>
      </c>
      <c r="C440" s="14" t="str">
        <f>IF($A440&lt;&gt;"",MINIFS(Merchant!$A:$A,Merchant!$B:$B,$G$2),)</f>
        <v/>
      </c>
      <c r="D440" s="14" t="str">
        <f t="shared" si="2"/>
        <v/>
      </c>
      <c r="E440" s="14" t="str">
        <f t="shared" si="3"/>
        <v/>
      </c>
      <c r="F440" s="7" t="str">
        <f>IF($A440&lt;&gt;"",MAXIFS(Token!$C:$C,Token!$A:$A,$D440),)</f>
        <v/>
      </c>
    </row>
    <row r="441">
      <c r="A441" s="39" t="str">
        <f>IF(AND($L441*1&gt;=$G$3,$L441*1&lt;=$G$4,$I441*$J441&gt;0,OR($I441&lt;&gt;$I442,$L441-$L442&gt;25),IF(ABS($I441)&gt;10,$I441/POW(10,$J441),$J441/POW(10,$I441))*MAXIFS(Token!$C:$C,Token!$A:$A,$K441)&gt;0.01),$L441/86400+DATE(1970,1,1)+$G$6,)</f>
        <v/>
      </c>
      <c r="B441" s="27" t="str">
        <f t="shared" si="1"/>
        <v/>
      </c>
      <c r="C441" s="14" t="str">
        <f>IF($A441&lt;&gt;"",MINIFS(Merchant!$A:$A,Merchant!$B:$B,$G$2),)</f>
        <v/>
      </c>
      <c r="D441" s="14" t="str">
        <f t="shared" si="2"/>
        <v/>
      </c>
      <c r="E441" s="14" t="str">
        <f t="shared" si="3"/>
        <v/>
      </c>
      <c r="F441" s="7" t="str">
        <f>IF($A441&lt;&gt;"",MAXIFS(Token!$C:$C,Token!$A:$A,$D441),)</f>
        <v/>
      </c>
    </row>
    <row r="442">
      <c r="A442" s="39" t="str">
        <f>IF(AND($L442*1&gt;=$G$3,$L442*1&lt;=$G$4,$I442*$J442&gt;0,OR($I442&lt;&gt;$I443,$L442-$L443&gt;25),IF(ABS($I442)&gt;10,$I442/POW(10,$J442),$J442/POW(10,$I442))*MAXIFS(Token!$C:$C,Token!$A:$A,$K442)&gt;0.01),$L442/86400+DATE(1970,1,1)+$G$6,)</f>
        <v/>
      </c>
      <c r="B442" s="27" t="str">
        <f t="shared" si="1"/>
        <v/>
      </c>
      <c r="C442" s="14" t="str">
        <f>IF($A442&lt;&gt;"",MINIFS(Merchant!$A:$A,Merchant!$B:$B,$G$2),)</f>
        <v/>
      </c>
      <c r="D442" s="14" t="str">
        <f t="shared" si="2"/>
        <v/>
      </c>
      <c r="E442" s="14" t="str">
        <f t="shared" si="3"/>
        <v/>
      </c>
      <c r="F442" s="7" t="str">
        <f>IF($A442&lt;&gt;"",MAXIFS(Token!$C:$C,Token!$A:$A,$D442),)</f>
        <v/>
      </c>
    </row>
    <row r="443">
      <c r="A443" s="39" t="str">
        <f>IF(AND($L443*1&gt;=$G$3,$L443*1&lt;=$G$4,$I443*$J443&gt;0,OR($I443&lt;&gt;$I444,$L443-$L444&gt;25),IF(ABS($I443)&gt;10,$I443/POW(10,$J443),$J443/POW(10,$I443))*MAXIFS(Token!$C:$C,Token!$A:$A,$K443)&gt;0.01),$L443/86400+DATE(1970,1,1)+$G$6,)</f>
        <v/>
      </c>
      <c r="B443" s="27" t="str">
        <f t="shared" si="1"/>
        <v/>
      </c>
      <c r="C443" s="14" t="str">
        <f>IF($A443&lt;&gt;"",MINIFS(Merchant!$A:$A,Merchant!$B:$B,$G$2),)</f>
        <v/>
      </c>
      <c r="D443" s="14" t="str">
        <f t="shared" si="2"/>
        <v/>
      </c>
      <c r="E443" s="14" t="str">
        <f t="shared" si="3"/>
        <v/>
      </c>
      <c r="F443" s="7" t="str">
        <f>IF($A443&lt;&gt;"",MAXIFS(Token!$C:$C,Token!$A:$A,$D443),)</f>
        <v/>
      </c>
    </row>
    <row r="444">
      <c r="A444" s="39" t="str">
        <f>IF(AND($L444*1&gt;=$G$3,$L444*1&lt;=$G$4,$I444*$J444&gt;0,OR($I444&lt;&gt;$I445,$L444-$L445&gt;25),IF(ABS($I444)&gt;10,$I444/POW(10,$J444),$J444/POW(10,$I444))*MAXIFS(Token!$C:$C,Token!$A:$A,$K444)&gt;0.01),$L444/86400+DATE(1970,1,1)+$G$6,)</f>
        <v/>
      </c>
      <c r="B444" s="27" t="str">
        <f t="shared" si="1"/>
        <v/>
      </c>
      <c r="C444" s="14" t="str">
        <f>IF($A444&lt;&gt;"",MINIFS(Merchant!$A:$A,Merchant!$B:$B,$G$2),)</f>
        <v/>
      </c>
      <c r="D444" s="14" t="str">
        <f t="shared" si="2"/>
        <v/>
      </c>
      <c r="E444" s="14" t="str">
        <f t="shared" si="3"/>
        <v/>
      </c>
      <c r="F444" s="7" t="str">
        <f>IF($A444&lt;&gt;"",MAXIFS(Token!$C:$C,Token!$A:$A,$D444),)</f>
        <v/>
      </c>
    </row>
    <row r="445">
      <c r="A445" s="39" t="str">
        <f>IF(AND($L445*1&gt;=$G$3,$L445*1&lt;=$G$4,$I445*$J445&gt;0,OR($I445&lt;&gt;$I446,$L445-$L446&gt;25),IF(ABS($I445)&gt;10,$I445/POW(10,$J445),$J445/POW(10,$I445))*MAXIFS(Token!$C:$C,Token!$A:$A,$K445)&gt;0.01),$L445/86400+DATE(1970,1,1)+$G$6,)</f>
        <v/>
      </c>
      <c r="B445" s="27" t="str">
        <f t="shared" si="1"/>
        <v/>
      </c>
      <c r="C445" s="14" t="str">
        <f>IF($A445&lt;&gt;"",MINIFS(Merchant!$A:$A,Merchant!$B:$B,$G$2),)</f>
        <v/>
      </c>
      <c r="D445" s="14" t="str">
        <f t="shared" si="2"/>
        <v/>
      </c>
      <c r="E445" s="14" t="str">
        <f t="shared" si="3"/>
        <v/>
      </c>
      <c r="F445" s="7" t="str">
        <f>IF($A445&lt;&gt;"",MAXIFS(Token!$C:$C,Token!$A:$A,$D445),)</f>
        <v/>
      </c>
    </row>
    <row r="446">
      <c r="A446" s="39" t="str">
        <f>IF(AND($L446*1&gt;=$G$3,$L446*1&lt;=$G$4,$I446*$J446&gt;0,OR($I446&lt;&gt;$I447,$L446-$L447&gt;25),IF(ABS($I446)&gt;10,$I446/POW(10,$J446),$J446/POW(10,$I446))*MAXIFS(Token!$C:$C,Token!$A:$A,$K446)&gt;0.01),$L446/86400+DATE(1970,1,1)+$G$6,)</f>
        <v/>
      </c>
      <c r="B446" s="27" t="str">
        <f t="shared" si="1"/>
        <v/>
      </c>
      <c r="C446" s="14" t="str">
        <f>IF($A446&lt;&gt;"",MINIFS(Merchant!$A:$A,Merchant!$B:$B,$G$2),)</f>
        <v/>
      </c>
      <c r="D446" s="14" t="str">
        <f t="shared" si="2"/>
        <v/>
      </c>
      <c r="E446" s="14" t="str">
        <f t="shared" si="3"/>
        <v/>
      </c>
      <c r="F446" s="7" t="str">
        <f>IF($A446&lt;&gt;"",MAXIFS(Token!$C:$C,Token!$A:$A,$D446),)</f>
        <v/>
      </c>
    </row>
    <row r="447">
      <c r="A447" s="39" t="str">
        <f>IF(AND($L447*1&gt;=$G$3,$L447*1&lt;=$G$4,$I447*$J447&gt;0,OR($I447&lt;&gt;$I448,$L447-$L448&gt;25),IF(ABS($I447)&gt;10,$I447/POW(10,$J447),$J447/POW(10,$I447))*MAXIFS(Token!$C:$C,Token!$A:$A,$K447)&gt;0.01),$L447/86400+DATE(1970,1,1)+$G$6,)</f>
        <v/>
      </c>
      <c r="B447" s="27" t="str">
        <f t="shared" si="1"/>
        <v/>
      </c>
      <c r="C447" s="14" t="str">
        <f>IF($A447&lt;&gt;"",MINIFS(Merchant!$A:$A,Merchant!$B:$B,$G$2),)</f>
        <v/>
      </c>
      <c r="D447" s="14" t="str">
        <f t="shared" si="2"/>
        <v/>
      </c>
      <c r="E447" s="14" t="str">
        <f t="shared" si="3"/>
        <v/>
      </c>
      <c r="F447" s="7" t="str">
        <f>IF($A447&lt;&gt;"",MAXIFS(Token!$C:$C,Token!$A:$A,$D447),)</f>
        <v/>
      </c>
    </row>
    <row r="448">
      <c r="A448" s="39" t="str">
        <f>IF(AND($L448*1&gt;=$G$3,$L448*1&lt;=$G$4,$I448*$J448&gt;0,OR($I448&lt;&gt;$I449,$L448-$L449&gt;25),IF(ABS($I448)&gt;10,$I448/POW(10,$J448),$J448/POW(10,$I448))*MAXIFS(Token!$C:$C,Token!$A:$A,$K448)&gt;0.01),$L448/86400+DATE(1970,1,1)+$G$6,)</f>
        <v/>
      </c>
      <c r="B448" s="27" t="str">
        <f t="shared" si="1"/>
        <v/>
      </c>
      <c r="C448" s="14" t="str">
        <f>IF($A448&lt;&gt;"",MINIFS(Merchant!$A:$A,Merchant!$B:$B,$G$2),)</f>
        <v/>
      </c>
      <c r="D448" s="14" t="str">
        <f t="shared" si="2"/>
        <v/>
      </c>
      <c r="E448" s="14" t="str">
        <f t="shared" si="3"/>
        <v/>
      </c>
      <c r="F448" s="7" t="str">
        <f>IF($A448&lt;&gt;"",MAXIFS(Token!$C:$C,Token!$A:$A,$D448),)</f>
        <v/>
      </c>
    </row>
    <row r="449">
      <c r="A449" s="39" t="str">
        <f>IF(AND($L449*1&gt;=$G$3,$L449*1&lt;=$G$4,$I449*$J449&gt;0,OR($I449&lt;&gt;$I450,$L449-$L450&gt;25),IF(ABS($I449)&gt;10,$I449/POW(10,$J449),$J449/POW(10,$I449))*MAXIFS(Token!$C:$C,Token!$A:$A,$K449)&gt;0.01),$L449/86400+DATE(1970,1,1)+$G$6,)</f>
        <v/>
      </c>
      <c r="B449" s="27" t="str">
        <f t="shared" si="1"/>
        <v/>
      </c>
      <c r="C449" s="14" t="str">
        <f>IF($A449&lt;&gt;"",MINIFS(Merchant!$A:$A,Merchant!$B:$B,$G$2),)</f>
        <v/>
      </c>
      <c r="D449" s="14" t="str">
        <f t="shared" si="2"/>
        <v/>
      </c>
      <c r="E449" s="14" t="str">
        <f t="shared" si="3"/>
        <v/>
      </c>
      <c r="F449" s="7" t="str">
        <f>IF($A449&lt;&gt;"",MAXIFS(Token!$C:$C,Token!$A:$A,$D449),)</f>
        <v/>
      </c>
    </row>
    <row r="450">
      <c r="A450" s="39" t="str">
        <f>IF(AND($L450*1&gt;=$G$3,$L450*1&lt;=$G$4,$I450*$J450&gt;0,OR($I450&lt;&gt;$I451,$L450-$L451&gt;25),IF(ABS($I450)&gt;10,$I450/POW(10,$J450),$J450/POW(10,$I450))*MAXIFS(Token!$C:$C,Token!$A:$A,$K450)&gt;0.01),$L450/86400+DATE(1970,1,1)+$G$6,)</f>
        <v/>
      </c>
      <c r="B450" s="27" t="str">
        <f t="shared" si="1"/>
        <v/>
      </c>
      <c r="C450" s="14" t="str">
        <f>IF($A450&lt;&gt;"",MINIFS(Merchant!$A:$A,Merchant!$B:$B,$G$2),)</f>
        <v/>
      </c>
      <c r="D450" s="14" t="str">
        <f t="shared" si="2"/>
        <v/>
      </c>
      <c r="E450" s="14" t="str">
        <f t="shared" si="3"/>
        <v/>
      </c>
      <c r="F450" s="7" t="str">
        <f>IF($A450&lt;&gt;"",MAXIFS(Token!$C:$C,Token!$A:$A,$D450),)</f>
        <v/>
      </c>
    </row>
    <row r="451">
      <c r="A451" s="39" t="str">
        <f>IF(AND($L451*1&gt;=$G$3,$L451*1&lt;=$G$4,$I451*$J451&gt;0,OR($I451&lt;&gt;$I452,$L451-$L452&gt;25),IF(ABS($I451)&gt;10,$I451/POW(10,$J451),$J451/POW(10,$I451))*MAXIFS(Token!$C:$C,Token!$A:$A,$K451)&gt;0.01),$L451/86400+DATE(1970,1,1)+$G$6,)</f>
        <v/>
      </c>
      <c r="B451" s="27" t="str">
        <f t="shared" si="1"/>
        <v/>
      </c>
      <c r="C451" s="14" t="str">
        <f>IF($A451&lt;&gt;"",MINIFS(Merchant!$A:$A,Merchant!$B:$B,$G$2),)</f>
        <v/>
      </c>
      <c r="D451" s="14" t="str">
        <f t="shared" si="2"/>
        <v/>
      </c>
      <c r="E451" s="14" t="str">
        <f t="shared" si="3"/>
        <v/>
      </c>
      <c r="F451" s="7" t="str">
        <f>IF($A451&lt;&gt;"",MAXIFS(Token!$C:$C,Token!$A:$A,$D451),)</f>
        <v/>
      </c>
    </row>
    <row r="452">
      <c r="A452" s="39" t="str">
        <f>IF(AND($L452*1&gt;=$G$3,$L452*1&lt;=$G$4,$I452*$J452&gt;0,OR($I452&lt;&gt;$I453,$L452-$L453&gt;25),IF(ABS($I452)&gt;10,$I452/POW(10,$J452),$J452/POW(10,$I452))*MAXIFS(Token!$C:$C,Token!$A:$A,$K452)&gt;0.01),$L452/86400+DATE(1970,1,1)+$G$6,)</f>
        <v/>
      </c>
      <c r="B452" s="27" t="str">
        <f t="shared" si="1"/>
        <v/>
      </c>
      <c r="C452" s="14" t="str">
        <f>IF($A452&lt;&gt;"",MINIFS(Merchant!$A:$A,Merchant!$B:$B,$G$2),)</f>
        <v/>
      </c>
      <c r="D452" s="14" t="str">
        <f t="shared" si="2"/>
        <v/>
      </c>
      <c r="E452" s="14" t="str">
        <f t="shared" si="3"/>
        <v/>
      </c>
      <c r="F452" s="7" t="str">
        <f>IF($A452&lt;&gt;"",MAXIFS(Token!$C:$C,Token!$A:$A,$D452),)</f>
        <v/>
      </c>
    </row>
    <row r="453">
      <c r="A453" s="39" t="str">
        <f>IF(AND($L453*1&gt;=$G$3,$L453*1&lt;=$G$4,$I453*$J453&gt;0,OR($I453&lt;&gt;$I454,$L453-$L454&gt;25),IF(ABS($I453)&gt;10,$I453/POW(10,$J453),$J453/POW(10,$I453))*MAXIFS(Token!$C:$C,Token!$A:$A,$K453)&gt;0.01),$L453/86400+DATE(1970,1,1)+$G$6,)</f>
        <v/>
      </c>
      <c r="B453" s="27" t="str">
        <f t="shared" si="1"/>
        <v/>
      </c>
      <c r="C453" s="14" t="str">
        <f>IF($A453&lt;&gt;"",MINIFS(Merchant!$A:$A,Merchant!$B:$B,$G$2),)</f>
        <v/>
      </c>
      <c r="D453" s="14" t="str">
        <f t="shared" si="2"/>
        <v/>
      </c>
      <c r="E453" s="14" t="str">
        <f t="shared" si="3"/>
        <v/>
      </c>
      <c r="F453" s="7" t="str">
        <f>IF($A453&lt;&gt;"",MAXIFS(Token!$C:$C,Token!$A:$A,$D453),)</f>
        <v/>
      </c>
    </row>
    <row r="454">
      <c r="A454" s="39" t="str">
        <f>IF(AND($L454*1&gt;=$G$3,$L454*1&lt;=$G$4,$I454*$J454&gt;0,OR($I454&lt;&gt;$I455,$L454-$L455&gt;25),IF(ABS($I454)&gt;10,$I454/POW(10,$J454),$J454/POW(10,$I454))*MAXIFS(Token!$C:$C,Token!$A:$A,$K454)&gt;0.01),$L454/86400+DATE(1970,1,1)+$G$6,)</f>
        <v/>
      </c>
      <c r="B454" s="27" t="str">
        <f t="shared" si="1"/>
        <v/>
      </c>
      <c r="C454" s="14" t="str">
        <f>IF($A454&lt;&gt;"",MINIFS(Merchant!$A:$A,Merchant!$B:$B,$G$2),)</f>
        <v/>
      </c>
      <c r="D454" s="14" t="str">
        <f t="shared" si="2"/>
        <v/>
      </c>
      <c r="E454" s="14" t="str">
        <f t="shared" si="3"/>
        <v/>
      </c>
      <c r="F454" s="7" t="str">
        <f>IF($A454&lt;&gt;"",MAXIFS(Token!$C:$C,Token!$A:$A,$D454),)</f>
        <v/>
      </c>
    </row>
    <row r="455">
      <c r="A455" s="39" t="str">
        <f>IF(AND($L455*1&gt;=$G$3,$L455*1&lt;=$G$4,$I455*$J455&gt;0,OR($I455&lt;&gt;$I456,$L455-$L456&gt;25),IF(ABS($I455)&gt;10,$I455/POW(10,$J455),$J455/POW(10,$I455))*MAXIFS(Token!$C:$C,Token!$A:$A,$K455)&gt;0.01),$L455/86400+DATE(1970,1,1)+$G$6,)</f>
        <v/>
      </c>
      <c r="B455" s="27" t="str">
        <f t="shared" si="1"/>
        <v/>
      </c>
      <c r="C455" s="14" t="str">
        <f>IF($A455&lt;&gt;"",MINIFS(Merchant!$A:$A,Merchant!$B:$B,$G$2),)</f>
        <v/>
      </c>
      <c r="D455" s="14" t="str">
        <f t="shared" si="2"/>
        <v/>
      </c>
      <c r="E455" s="14" t="str">
        <f t="shared" si="3"/>
        <v/>
      </c>
      <c r="F455" s="7" t="str">
        <f>IF($A455&lt;&gt;"",MAXIFS(Token!$C:$C,Token!$A:$A,$D455),)</f>
        <v/>
      </c>
    </row>
    <row r="456">
      <c r="A456" s="39" t="str">
        <f>IF(AND($L456*1&gt;=$G$3,$L456*1&lt;=$G$4,$I456*$J456&gt;0,OR($I456&lt;&gt;$I457,$L456-$L457&gt;25),IF(ABS($I456)&gt;10,$I456/POW(10,$J456),$J456/POW(10,$I456))*MAXIFS(Token!$C:$C,Token!$A:$A,$K456)&gt;0.01),$L456/86400+DATE(1970,1,1)+$G$6,)</f>
        <v/>
      </c>
      <c r="B456" s="27" t="str">
        <f t="shared" si="1"/>
        <v/>
      </c>
      <c r="C456" s="14" t="str">
        <f>IF($A456&lt;&gt;"",MINIFS(Merchant!$A:$A,Merchant!$B:$B,$G$2),)</f>
        <v/>
      </c>
      <c r="D456" s="14" t="str">
        <f t="shared" si="2"/>
        <v/>
      </c>
      <c r="E456" s="14" t="str">
        <f t="shared" si="3"/>
        <v/>
      </c>
      <c r="F456" s="7" t="str">
        <f>IF($A456&lt;&gt;"",MAXIFS(Token!$C:$C,Token!$A:$A,$D456),)</f>
        <v/>
      </c>
    </row>
    <row r="457">
      <c r="A457" s="39" t="str">
        <f>IF(AND($L457*1&gt;=$G$3,$L457*1&lt;=$G$4,$I457*$J457&gt;0,OR($I457&lt;&gt;$I458,$L457-$L458&gt;25),IF(ABS($I457)&gt;10,$I457/POW(10,$J457),$J457/POW(10,$I457))*MAXIFS(Token!$C:$C,Token!$A:$A,$K457)&gt;0.01),$L457/86400+DATE(1970,1,1)+$G$6,)</f>
        <v/>
      </c>
      <c r="B457" s="27" t="str">
        <f t="shared" si="1"/>
        <v/>
      </c>
      <c r="C457" s="14" t="str">
        <f>IF($A457&lt;&gt;"",MINIFS(Merchant!$A:$A,Merchant!$B:$B,$G$2),)</f>
        <v/>
      </c>
      <c r="D457" s="14" t="str">
        <f t="shared" si="2"/>
        <v/>
      </c>
      <c r="E457" s="14" t="str">
        <f t="shared" si="3"/>
        <v/>
      </c>
      <c r="F457" s="7" t="str">
        <f>IF($A457&lt;&gt;"",MAXIFS(Token!$C:$C,Token!$A:$A,$D457),)</f>
        <v/>
      </c>
    </row>
    <row r="458">
      <c r="A458" s="39" t="str">
        <f>IF(AND($L458*1&gt;=$G$3,$L458*1&lt;=$G$4,$I458*$J458&gt;0,OR($I458&lt;&gt;$I459,$L458-$L459&gt;25),IF(ABS($I458)&gt;10,$I458/POW(10,$J458),$J458/POW(10,$I458))*MAXIFS(Token!$C:$C,Token!$A:$A,$K458)&gt;0.01),$L458/86400+DATE(1970,1,1)+$G$6,)</f>
        <v/>
      </c>
      <c r="B458" s="27" t="str">
        <f t="shared" si="1"/>
        <v/>
      </c>
      <c r="C458" s="14" t="str">
        <f>IF($A458&lt;&gt;"",MINIFS(Merchant!$A:$A,Merchant!$B:$B,$G$2),)</f>
        <v/>
      </c>
      <c r="D458" s="14" t="str">
        <f t="shared" si="2"/>
        <v/>
      </c>
      <c r="E458" s="14" t="str">
        <f t="shared" si="3"/>
        <v/>
      </c>
      <c r="F458" s="7" t="str">
        <f>IF($A458&lt;&gt;"",MAXIFS(Token!$C:$C,Token!$A:$A,$D458),)</f>
        <v/>
      </c>
    </row>
    <row r="459">
      <c r="A459" s="39" t="str">
        <f>IF(AND($L459*1&gt;=$G$3,$L459*1&lt;=$G$4,$I459*$J459&gt;0,OR($I459&lt;&gt;$I460,$L459-$L460&gt;25),IF(ABS($I459)&gt;10,$I459/POW(10,$J459),$J459/POW(10,$I459))*MAXIFS(Token!$C:$C,Token!$A:$A,$K459)&gt;0.01),$L459/86400+DATE(1970,1,1)+$G$6,)</f>
        <v/>
      </c>
      <c r="B459" s="27" t="str">
        <f t="shared" si="1"/>
        <v/>
      </c>
      <c r="C459" s="14" t="str">
        <f>IF($A459&lt;&gt;"",MINIFS(Merchant!$A:$A,Merchant!$B:$B,$G$2),)</f>
        <v/>
      </c>
      <c r="D459" s="14" t="str">
        <f t="shared" si="2"/>
        <v/>
      </c>
      <c r="E459" s="14" t="str">
        <f t="shared" si="3"/>
        <v/>
      </c>
      <c r="F459" s="7" t="str">
        <f>IF($A459&lt;&gt;"",MAXIFS(Token!$C:$C,Token!$A:$A,$D459),)</f>
        <v/>
      </c>
    </row>
    <row r="460">
      <c r="A460" s="39" t="str">
        <f>IF(AND($L460*1&gt;=$G$3,$L460*1&lt;=$G$4,$I460*$J460&gt;0,OR($I460&lt;&gt;$I461,$L460-$L461&gt;25),IF(ABS($I460)&gt;10,$I460/POW(10,$J460),$J460/POW(10,$I460))*MAXIFS(Token!$C:$C,Token!$A:$A,$K460)&gt;0.01),$L460/86400+DATE(1970,1,1)+$G$6,)</f>
        <v/>
      </c>
      <c r="B460" s="27" t="str">
        <f t="shared" si="1"/>
        <v/>
      </c>
      <c r="C460" s="14" t="str">
        <f>IF($A460&lt;&gt;"",MINIFS(Merchant!$A:$A,Merchant!$B:$B,$G$2),)</f>
        <v/>
      </c>
      <c r="D460" s="14" t="str">
        <f t="shared" si="2"/>
        <v/>
      </c>
      <c r="E460" s="14" t="str">
        <f t="shared" si="3"/>
        <v/>
      </c>
      <c r="F460" s="7" t="str">
        <f>IF($A460&lt;&gt;"",MAXIFS(Token!$C:$C,Token!$A:$A,$D460),)</f>
        <v/>
      </c>
    </row>
    <row r="461">
      <c r="A461" s="39" t="str">
        <f>IF(AND($L461*1&gt;=$G$3,$L461*1&lt;=$G$4,$I461*$J461&gt;0,OR($I461&lt;&gt;$I462,$L461-$L462&gt;25),IF(ABS($I461)&gt;10,$I461/POW(10,$J461),$J461/POW(10,$I461))*MAXIFS(Token!$C:$C,Token!$A:$A,$K461)&gt;0.01),$L461/86400+DATE(1970,1,1)+$G$6,)</f>
        <v/>
      </c>
      <c r="B461" s="27" t="str">
        <f t="shared" si="1"/>
        <v/>
      </c>
      <c r="C461" s="14" t="str">
        <f>IF($A461&lt;&gt;"",MINIFS(Merchant!$A:$A,Merchant!$B:$B,$G$2),)</f>
        <v/>
      </c>
      <c r="D461" s="14" t="str">
        <f t="shared" si="2"/>
        <v/>
      </c>
      <c r="E461" s="14" t="str">
        <f t="shared" si="3"/>
        <v/>
      </c>
      <c r="F461" s="7" t="str">
        <f>IF($A461&lt;&gt;"",MAXIFS(Token!$C:$C,Token!$A:$A,$D461),)</f>
        <v/>
      </c>
    </row>
    <row r="462">
      <c r="A462" s="39" t="str">
        <f>IF(AND($L462*1&gt;=$G$3,$L462*1&lt;=$G$4,$I462*$J462&gt;0,OR($I462&lt;&gt;$I463,$L462-$L463&gt;25),IF(ABS($I462)&gt;10,$I462/POW(10,$J462),$J462/POW(10,$I462))*MAXIFS(Token!$C:$C,Token!$A:$A,$K462)&gt;0.01),$L462/86400+DATE(1970,1,1)+$G$6,)</f>
        <v/>
      </c>
      <c r="B462" s="27" t="str">
        <f t="shared" si="1"/>
        <v/>
      </c>
      <c r="C462" s="14" t="str">
        <f>IF($A462&lt;&gt;"",MINIFS(Merchant!$A:$A,Merchant!$B:$B,$G$2),)</f>
        <v/>
      </c>
      <c r="D462" s="14" t="str">
        <f t="shared" si="2"/>
        <v/>
      </c>
      <c r="E462" s="14" t="str">
        <f t="shared" si="3"/>
        <v/>
      </c>
      <c r="F462" s="7" t="str">
        <f>IF($A462&lt;&gt;"",MAXIFS(Token!$C:$C,Token!$A:$A,$D462),)</f>
        <v/>
      </c>
    </row>
    <row r="463">
      <c r="A463" s="39" t="str">
        <f>IF(AND($L463*1&gt;=$G$3,$L463*1&lt;=$G$4,$I463*$J463&gt;0,OR($I463&lt;&gt;$I464,$L463-$L464&gt;25),IF(ABS($I463)&gt;10,$I463/POW(10,$J463),$J463/POW(10,$I463))*MAXIFS(Token!$C:$C,Token!$A:$A,$K463)&gt;0.01),$L463/86400+DATE(1970,1,1)+$G$6,)</f>
        <v/>
      </c>
      <c r="B463" s="27" t="str">
        <f t="shared" si="1"/>
        <v/>
      </c>
      <c r="C463" s="14" t="str">
        <f>IF($A463&lt;&gt;"",MINIFS(Merchant!$A:$A,Merchant!$B:$B,$G$2),)</f>
        <v/>
      </c>
      <c r="D463" s="14" t="str">
        <f t="shared" si="2"/>
        <v/>
      </c>
      <c r="E463" s="14" t="str">
        <f t="shared" si="3"/>
        <v/>
      </c>
      <c r="F463" s="7" t="str">
        <f>IF($A463&lt;&gt;"",MAXIFS(Token!$C:$C,Token!$A:$A,$D463),)</f>
        <v/>
      </c>
    </row>
    <row r="464">
      <c r="A464" s="39" t="str">
        <f>IF(AND($L464*1&gt;=$G$3,$L464*1&lt;=$G$4,$I464*$J464&gt;0,OR($I464&lt;&gt;$I465,$L464-$L465&gt;25),IF(ABS($I464)&gt;10,$I464/POW(10,$J464),$J464/POW(10,$I464))*MAXIFS(Token!$C:$C,Token!$A:$A,$K464)&gt;0.01),$L464/86400+DATE(1970,1,1)+$G$6,)</f>
        <v/>
      </c>
      <c r="B464" s="27" t="str">
        <f t="shared" si="1"/>
        <v/>
      </c>
      <c r="C464" s="14" t="str">
        <f>IF($A464&lt;&gt;"",MINIFS(Merchant!$A:$A,Merchant!$B:$B,$G$2),)</f>
        <v/>
      </c>
      <c r="D464" s="14" t="str">
        <f t="shared" si="2"/>
        <v/>
      </c>
      <c r="E464" s="14" t="str">
        <f t="shared" si="3"/>
        <v/>
      </c>
      <c r="F464" s="7" t="str">
        <f>IF($A464&lt;&gt;"",MAXIFS(Token!$C:$C,Token!$A:$A,$D464),)</f>
        <v/>
      </c>
    </row>
    <row r="465">
      <c r="A465" s="39" t="str">
        <f>IF(AND($L465*1&gt;=$G$3,$L465*1&lt;=$G$4,$I465*$J465&gt;0,OR($I465&lt;&gt;$I466,$L465-$L466&gt;25),IF(ABS($I465)&gt;10,$I465/POW(10,$J465),$J465/POW(10,$I465))*MAXIFS(Token!$C:$C,Token!$A:$A,$K465)&gt;0.01),$L465/86400+DATE(1970,1,1)+$G$6,)</f>
        <v/>
      </c>
      <c r="B465" s="27" t="str">
        <f t="shared" si="1"/>
        <v/>
      </c>
      <c r="C465" s="14" t="str">
        <f>IF($A465&lt;&gt;"",MINIFS(Merchant!$A:$A,Merchant!$B:$B,$G$2),)</f>
        <v/>
      </c>
      <c r="D465" s="14" t="str">
        <f t="shared" si="2"/>
        <v/>
      </c>
      <c r="E465" s="14" t="str">
        <f t="shared" si="3"/>
        <v/>
      </c>
      <c r="F465" s="7" t="str">
        <f>IF($A465&lt;&gt;"",MAXIFS(Token!$C:$C,Token!$A:$A,$D465),)</f>
        <v/>
      </c>
    </row>
    <row r="466">
      <c r="A466" s="39" t="str">
        <f>IF(AND($L466*1&gt;=$G$3,$L466*1&lt;=$G$4,$I466*$J466&gt;0,OR($I466&lt;&gt;$I467,$L466-$L467&gt;25),IF(ABS($I466)&gt;10,$I466/POW(10,$J466),$J466/POW(10,$I466))*MAXIFS(Token!$C:$C,Token!$A:$A,$K466)&gt;0.01),$L466/86400+DATE(1970,1,1)+$G$6,)</f>
        <v/>
      </c>
      <c r="B466" s="27" t="str">
        <f t="shared" si="1"/>
        <v/>
      </c>
      <c r="C466" s="14" t="str">
        <f>IF($A466&lt;&gt;"",MINIFS(Merchant!$A:$A,Merchant!$B:$B,$G$2),)</f>
        <v/>
      </c>
      <c r="D466" s="14" t="str">
        <f t="shared" si="2"/>
        <v/>
      </c>
      <c r="E466" s="14" t="str">
        <f t="shared" si="3"/>
        <v/>
      </c>
      <c r="F466" s="7" t="str">
        <f>IF($A466&lt;&gt;"",MAXIFS(Token!$C:$C,Token!$A:$A,$D466),)</f>
        <v/>
      </c>
    </row>
    <row r="467">
      <c r="A467" s="39" t="str">
        <f>IF(AND($L467*1&gt;=$G$3,$L467*1&lt;=$G$4,$I467*$J467&gt;0,OR($I467&lt;&gt;$I468,$L467-$L468&gt;25),IF(ABS($I467)&gt;10,$I467/POW(10,$J467),$J467/POW(10,$I467))*MAXIFS(Token!$C:$C,Token!$A:$A,$K467)&gt;0.01),$L467/86400+DATE(1970,1,1)+$G$6,)</f>
        <v/>
      </c>
      <c r="B467" s="27" t="str">
        <f t="shared" si="1"/>
        <v/>
      </c>
      <c r="C467" s="14" t="str">
        <f>IF($A467&lt;&gt;"",MINIFS(Merchant!$A:$A,Merchant!$B:$B,$G$2),)</f>
        <v/>
      </c>
      <c r="D467" s="14" t="str">
        <f t="shared" si="2"/>
        <v/>
      </c>
      <c r="E467" s="14" t="str">
        <f t="shared" si="3"/>
        <v/>
      </c>
      <c r="F467" s="7" t="str">
        <f>IF($A467&lt;&gt;"",MAXIFS(Token!$C:$C,Token!$A:$A,$D467),)</f>
        <v/>
      </c>
    </row>
    <row r="468">
      <c r="A468" s="39" t="str">
        <f>IF(AND($L468*1&gt;=$G$3,$L468*1&lt;=$G$4,$I468*$J468&gt;0,OR($I468&lt;&gt;$I469,$L468-$L469&gt;25),IF(ABS($I468)&gt;10,$I468/POW(10,$J468),$J468/POW(10,$I468))*MAXIFS(Token!$C:$C,Token!$A:$A,$K468)&gt;0.01),$L468/86400+DATE(1970,1,1)+$G$6,)</f>
        <v/>
      </c>
      <c r="B468" s="27" t="str">
        <f t="shared" si="1"/>
        <v/>
      </c>
      <c r="C468" s="14" t="str">
        <f>IF($A468&lt;&gt;"",MINIFS(Merchant!$A:$A,Merchant!$B:$B,$G$2),)</f>
        <v/>
      </c>
      <c r="D468" s="14" t="str">
        <f t="shared" si="2"/>
        <v/>
      </c>
      <c r="E468" s="14" t="str">
        <f t="shared" si="3"/>
        <v/>
      </c>
      <c r="F468" s="7" t="str">
        <f>IF($A468&lt;&gt;"",MAXIFS(Token!$C:$C,Token!$A:$A,$D468),)</f>
        <v/>
      </c>
    </row>
    <row r="469">
      <c r="A469" s="39" t="str">
        <f>IF(AND($L469*1&gt;=$G$3,$L469*1&lt;=$G$4,$I469*$J469&gt;0,OR($I469&lt;&gt;$I470,$L469-$L470&gt;25),IF(ABS($I469)&gt;10,$I469/POW(10,$J469),$J469/POW(10,$I469))*MAXIFS(Token!$C:$C,Token!$A:$A,$K469)&gt;0.01),$L469/86400+DATE(1970,1,1)+$G$6,)</f>
        <v/>
      </c>
      <c r="B469" s="27" t="str">
        <f t="shared" si="1"/>
        <v/>
      </c>
      <c r="C469" s="14" t="str">
        <f>IF($A469&lt;&gt;"",MINIFS(Merchant!$A:$A,Merchant!$B:$B,$G$2),)</f>
        <v/>
      </c>
      <c r="D469" s="14" t="str">
        <f t="shared" si="2"/>
        <v/>
      </c>
      <c r="E469" s="14" t="str">
        <f t="shared" si="3"/>
        <v/>
      </c>
      <c r="F469" s="7" t="str">
        <f>IF($A469&lt;&gt;"",MAXIFS(Token!$C:$C,Token!$A:$A,$D469),)</f>
        <v/>
      </c>
    </row>
    <row r="470">
      <c r="A470" s="39" t="str">
        <f>IF(AND($L470*1&gt;=$G$3,$L470*1&lt;=$G$4,$I470*$J470&gt;0,OR($I470&lt;&gt;$I471,$L470-$L471&gt;25),IF(ABS($I470)&gt;10,$I470/POW(10,$J470),$J470/POW(10,$I470))*MAXIFS(Token!$C:$C,Token!$A:$A,$K470)&gt;0.01),$L470/86400+DATE(1970,1,1)+$G$6,)</f>
        <v/>
      </c>
      <c r="B470" s="27" t="str">
        <f t="shared" si="1"/>
        <v/>
      </c>
      <c r="C470" s="14" t="str">
        <f>IF($A470&lt;&gt;"",MINIFS(Merchant!$A:$A,Merchant!$B:$B,$G$2),)</f>
        <v/>
      </c>
      <c r="D470" s="14" t="str">
        <f t="shared" si="2"/>
        <v/>
      </c>
      <c r="E470" s="14" t="str">
        <f t="shared" si="3"/>
        <v/>
      </c>
      <c r="F470" s="7" t="str">
        <f>IF($A470&lt;&gt;"",MAXIFS(Token!$C:$C,Token!$A:$A,$D470),)</f>
        <v/>
      </c>
    </row>
    <row r="471">
      <c r="A471" s="39" t="str">
        <f>IF(AND($L471*1&gt;=$G$3,$L471*1&lt;=$G$4,$I471*$J471&gt;0,OR($I471&lt;&gt;$I472,$L471-$L472&gt;25),IF(ABS($I471)&gt;10,$I471/POW(10,$J471),$J471/POW(10,$I471))*MAXIFS(Token!$C:$C,Token!$A:$A,$K471)&gt;0.01),$L471/86400+DATE(1970,1,1)+$G$6,)</f>
        <v/>
      </c>
      <c r="B471" s="27" t="str">
        <f t="shared" si="1"/>
        <v/>
      </c>
      <c r="C471" s="14" t="str">
        <f>IF($A471&lt;&gt;"",MINIFS(Merchant!$A:$A,Merchant!$B:$B,$G$2),)</f>
        <v/>
      </c>
      <c r="D471" s="14" t="str">
        <f t="shared" si="2"/>
        <v/>
      </c>
      <c r="E471" s="14" t="str">
        <f t="shared" si="3"/>
        <v/>
      </c>
      <c r="F471" s="7" t="str">
        <f>IF($A471&lt;&gt;"",MAXIFS(Token!$C:$C,Token!$A:$A,$D471),)</f>
        <v/>
      </c>
    </row>
    <row r="472">
      <c r="A472" s="39" t="str">
        <f>IF(AND($L472*1&gt;=$G$3,$L472*1&lt;=$G$4,$I472*$J472&gt;0,OR($I472&lt;&gt;$I473,$L472-$L473&gt;25),IF(ABS($I472)&gt;10,$I472/POW(10,$J472),$J472/POW(10,$I472))*MAXIFS(Token!$C:$C,Token!$A:$A,$K472)&gt;0.01),$L472/86400+DATE(1970,1,1)+$G$6,)</f>
        <v/>
      </c>
      <c r="B472" s="27" t="str">
        <f t="shared" si="1"/>
        <v/>
      </c>
      <c r="C472" s="14" t="str">
        <f>IF($A472&lt;&gt;"",MINIFS(Merchant!$A:$A,Merchant!$B:$B,$G$2),)</f>
        <v/>
      </c>
      <c r="D472" s="14" t="str">
        <f t="shared" si="2"/>
        <v/>
      </c>
      <c r="E472" s="14" t="str">
        <f t="shared" si="3"/>
        <v/>
      </c>
      <c r="F472" s="7" t="str">
        <f>IF($A472&lt;&gt;"",MAXIFS(Token!$C:$C,Token!$A:$A,$D472),)</f>
        <v/>
      </c>
    </row>
    <row r="473">
      <c r="A473" s="39" t="str">
        <f>IF(AND($L473*1&gt;=$G$3,$L473*1&lt;=$G$4,$I473*$J473&gt;0,OR($I473&lt;&gt;$I474,$L473-$L474&gt;25),IF(ABS($I473)&gt;10,$I473/POW(10,$J473),$J473/POW(10,$I473))*MAXIFS(Token!$C:$C,Token!$A:$A,$K473)&gt;0.01),$L473/86400+DATE(1970,1,1)+$G$6,)</f>
        <v/>
      </c>
      <c r="B473" s="27" t="str">
        <f t="shared" si="1"/>
        <v/>
      </c>
      <c r="C473" s="14" t="str">
        <f>IF($A473&lt;&gt;"",MINIFS(Merchant!$A:$A,Merchant!$B:$B,$G$2),)</f>
        <v/>
      </c>
      <c r="D473" s="14" t="str">
        <f t="shared" si="2"/>
        <v/>
      </c>
      <c r="E473" s="14" t="str">
        <f t="shared" si="3"/>
        <v/>
      </c>
      <c r="F473" s="7" t="str">
        <f>IF($A473&lt;&gt;"",MAXIFS(Token!$C:$C,Token!$A:$A,$D473),)</f>
        <v/>
      </c>
    </row>
    <row r="474">
      <c r="A474" s="39" t="str">
        <f>IF(AND($L474*1&gt;=$G$3,$L474*1&lt;=$G$4,$I474*$J474&gt;0,OR($I474&lt;&gt;$I475,$L474-$L475&gt;25),IF(ABS($I474)&gt;10,$I474/POW(10,$J474),$J474/POW(10,$I474))*MAXIFS(Token!$C:$C,Token!$A:$A,$K474)&gt;0.01),$L474/86400+DATE(1970,1,1)+$G$6,)</f>
        <v/>
      </c>
      <c r="B474" s="27" t="str">
        <f t="shared" si="1"/>
        <v/>
      </c>
      <c r="C474" s="14" t="str">
        <f>IF($A474&lt;&gt;"",MINIFS(Merchant!$A:$A,Merchant!$B:$B,$G$2),)</f>
        <v/>
      </c>
      <c r="D474" s="14" t="str">
        <f t="shared" si="2"/>
        <v/>
      </c>
      <c r="E474" s="14" t="str">
        <f t="shared" si="3"/>
        <v/>
      </c>
      <c r="F474" s="7" t="str">
        <f>IF($A474&lt;&gt;"",MAXIFS(Token!$C:$C,Token!$A:$A,$D474),)</f>
        <v/>
      </c>
    </row>
    <row r="475">
      <c r="A475" s="39" t="str">
        <f>IF(AND($L475*1&gt;=$G$3,$L475*1&lt;=$G$4,$I475*$J475&gt;0,OR($I475&lt;&gt;$I476,$L475-$L476&gt;25),IF(ABS($I475)&gt;10,$I475/POW(10,$J475),$J475/POW(10,$I475))*MAXIFS(Token!$C:$C,Token!$A:$A,$K475)&gt;0.01),$L475/86400+DATE(1970,1,1)+$G$6,)</f>
        <v/>
      </c>
      <c r="B475" s="27" t="str">
        <f t="shared" si="1"/>
        <v/>
      </c>
      <c r="C475" s="14" t="str">
        <f>IF($A475&lt;&gt;"",MINIFS(Merchant!$A:$A,Merchant!$B:$B,$G$2),)</f>
        <v/>
      </c>
      <c r="D475" s="14" t="str">
        <f t="shared" si="2"/>
        <v/>
      </c>
      <c r="E475" s="14" t="str">
        <f t="shared" si="3"/>
        <v/>
      </c>
      <c r="F475" s="7" t="str">
        <f>IF($A475&lt;&gt;"",MAXIFS(Token!$C:$C,Token!$A:$A,$D475),)</f>
        <v/>
      </c>
    </row>
    <row r="476">
      <c r="A476" s="39" t="str">
        <f>IF(AND($L476*1&gt;=$G$3,$L476*1&lt;=$G$4,$I476*$J476&gt;0,OR($I476&lt;&gt;$I477,$L476-$L477&gt;25),IF(ABS($I476)&gt;10,$I476/POW(10,$J476),$J476/POW(10,$I476))*MAXIFS(Token!$C:$C,Token!$A:$A,$K476)&gt;0.01),$L476/86400+DATE(1970,1,1)+$G$6,)</f>
        <v/>
      </c>
      <c r="B476" s="27" t="str">
        <f t="shared" si="1"/>
        <v/>
      </c>
      <c r="C476" s="14" t="str">
        <f>IF($A476&lt;&gt;"",MINIFS(Merchant!$A:$A,Merchant!$B:$B,$G$2),)</f>
        <v/>
      </c>
      <c r="D476" s="14" t="str">
        <f t="shared" si="2"/>
        <v/>
      </c>
      <c r="E476" s="14" t="str">
        <f t="shared" si="3"/>
        <v/>
      </c>
      <c r="F476" s="7" t="str">
        <f>IF($A476&lt;&gt;"",MAXIFS(Token!$C:$C,Token!$A:$A,$D476),)</f>
        <v/>
      </c>
    </row>
    <row r="477">
      <c r="A477" s="39" t="str">
        <f>IF(AND($L477*1&gt;=$G$3,$L477*1&lt;=$G$4,$I477*$J477&gt;0,OR($I477&lt;&gt;$I478,$L477-$L478&gt;25),IF(ABS($I477)&gt;10,$I477/POW(10,$J477),$J477/POW(10,$I477))*MAXIFS(Token!$C:$C,Token!$A:$A,$K477)&gt;0.01),$L477/86400+DATE(1970,1,1)+$G$6,)</f>
        <v/>
      </c>
      <c r="B477" s="27" t="str">
        <f t="shared" si="1"/>
        <v/>
      </c>
      <c r="C477" s="14" t="str">
        <f>IF($A477&lt;&gt;"",MINIFS(Merchant!$A:$A,Merchant!$B:$B,$G$2),)</f>
        <v/>
      </c>
      <c r="D477" s="14" t="str">
        <f t="shared" si="2"/>
        <v/>
      </c>
      <c r="E477" s="14" t="str">
        <f t="shared" si="3"/>
        <v/>
      </c>
      <c r="F477" s="7" t="str">
        <f>IF($A477&lt;&gt;"",MAXIFS(Token!$C:$C,Token!$A:$A,$D477),)</f>
        <v/>
      </c>
    </row>
    <row r="478">
      <c r="A478" s="39" t="str">
        <f>IF(AND($L478*1&gt;=$G$3,$L478*1&lt;=$G$4,$I478*$J478&gt;0,OR($I478&lt;&gt;$I479,$L478-$L479&gt;25),IF(ABS($I478)&gt;10,$I478/POW(10,$J478),$J478/POW(10,$I478))*MAXIFS(Token!$C:$C,Token!$A:$A,$K478)&gt;0.01),$L478/86400+DATE(1970,1,1)+$G$6,)</f>
        <v/>
      </c>
      <c r="B478" s="27" t="str">
        <f t="shared" si="1"/>
        <v/>
      </c>
      <c r="C478" s="14" t="str">
        <f>IF($A478&lt;&gt;"",MINIFS(Merchant!$A:$A,Merchant!$B:$B,$G$2),)</f>
        <v/>
      </c>
      <c r="D478" s="14" t="str">
        <f t="shared" si="2"/>
        <v/>
      </c>
      <c r="E478" s="14" t="str">
        <f t="shared" si="3"/>
        <v/>
      </c>
      <c r="F478" s="7" t="str">
        <f>IF($A478&lt;&gt;"",MAXIFS(Token!$C:$C,Token!$A:$A,$D478),)</f>
        <v/>
      </c>
    </row>
    <row r="479">
      <c r="A479" s="39" t="str">
        <f>IF(AND($L479*1&gt;=$G$3,$L479*1&lt;=$G$4,$I479*$J479&gt;0,OR($I479&lt;&gt;$I480,$L479-$L480&gt;25),IF(ABS($I479)&gt;10,$I479/POW(10,$J479),$J479/POW(10,$I479))*MAXIFS(Token!$C:$C,Token!$A:$A,$K479)&gt;0.01),$L479/86400+DATE(1970,1,1)+$G$6,)</f>
        <v/>
      </c>
      <c r="B479" s="27" t="str">
        <f t="shared" si="1"/>
        <v/>
      </c>
      <c r="C479" s="14" t="str">
        <f>IF($A479&lt;&gt;"",MINIFS(Merchant!$A:$A,Merchant!$B:$B,$G$2),)</f>
        <v/>
      </c>
      <c r="D479" s="14" t="str">
        <f t="shared" si="2"/>
        <v/>
      </c>
      <c r="E479" s="14" t="str">
        <f t="shared" si="3"/>
        <v/>
      </c>
      <c r="F479" s="7" t="str">
        <f>IF($A479&lt;&gt;"",MAXIFS(Token!$C:$C,Token!$A:$A,$D479),)</f>
        <v/>
      </c>
    </row>
    <row r="480">
      <c r="A480" s="39" t="str">
        <f>IF(AND($L480*1&gt;=$G$3,$L480*1&lt;=$G$4,$I480*$J480&gt;0,OR($I480&lt;&gt;$I481,$L480-$L481&gt;25),IF(ABS($I480)&gt;10,$I480/POW(10,$J480),$J480/POW(10,$I480))*MAXIFS(Token!$C:$C,Token!$A:$A,$K480)&gt;0.01),$L480/86400+DATE(1970,1,1)+$G$6,)</f>
        <v/>
      </c>
      <c r="B480" s="27" t="str">
        <f t="shared" si="1"/>
        <v/>
      </c>
      <c r="C480" s="14" t="str">
        <f>IF($A480&lt;&gt;"",MINIFS(Merchant!$A:$A,Merchant!$B:$B,$G$2),)</f>
        <v/>
      </c>
      <c r="D480" s="14" t="str">
        <f t="shared" si="2"/>
        <v/>
      </c>
      <c r="E480" s="14" t="str">
        <f t="shared" si="3"/>
        <v/>
      </c>
      <c r="F480" s="7" t="str">
        <f>IF($A480&lt;&gt;"",MAXIFS(Token!$C:$C,Token!$A:$A,$D480),)</f>
        <v/>
      </c>
    </row>
    <row r="481">
      <c r="A481" s="39" t="str">
        <f>IF(AND($L481*1&gt;=$G$3,$L481*1&lt;=$G$4,$I481*$J481&gt;0,OR($I481&lt;&gt;$I482,$L481-$L482&gt;25),IF(ABS($I481)&gt;10,$I481/POW(10,$J481),$J481/POW(10,$I481))*MAXIFS(Token!$C:$C,Token!$A:$A,$K481)&gt;0.01),$L481/86400+DATE(1970,1,1)+$G$6,)</f>
        <v/>
      </c>
      <c r="B481" s="27" t="str">
        <f t="shared" si="1"/>
        <v/>
      </c>
      <c r="C481" s="14" t="str">
        <f>IF($A481&lt;&gt;"",MINIFS(Merchant!$A:$A,Merchant!$B:$B,$G$2),)</f>
        <v/>
      </c>
      <c r="D481" s="14" t="str">
        <f t="shared" si="2"/>
        <v/>
      </c>
      <c r="E481" s="14" t="str">
        <f t="shared" si="3"/>
        <v/>
      </c>
      <c r="F481" s="7" t="str">
        <f>IF($A481&lt;&gt;"",MAXIFS(Token!$C:$C,Token!$A:$A,$D481),)</f>
        <v/>
      </c>
    </row>
    <row r="482">
      <c r="A482" s="39" t="str">
        <f>IF(AND($L482*1&gt;=$G$3,$L482*1&lt;=$G$4,$I482*$J482&gt;0,OR($I482&lt;&gt;$I483,$L482-$L483&gt;25),IF(ABS($I482)&gt;10,$I482/POW(10,$J482),$J482/POW(10,$I482))*MAXIFS(Token!$C:$C,Token!$A:$A,$K482)&gt;0.01),$L482/86400+DATE(1970,1,1)+$G$6,)</f>
        <v/>
      </c>
      <c r="B482" s="27" t="str">
        <f t="shared" si="1"/>
        <v/>
      </c>
      <c r="C482" s="14" t="str">
        <f>IF($A482&lt;&gt;"",MINIFS(Merchant!$A:$A,Merchant!$B:$B,$G$2),)</f>
        <v/>
      </c>
      <c r="D482" s="14" t="str">
        <f t="shared" si="2"/>
        <v/>
      </c>
      <c r="E482" s="14" t="str">
        <f t="shared" si="3"/>
        <v/>
      </c>
      <c r="F482" s="7" t="str">
        <f>IF($A482&lt;&gt;"",MAXIFS(Token!$C:$C,Token!$A:$A,$D482),)</f>
        <v/>
      </c>
    </row>
    <row r="483">
      <c r="A483" s="39" t="str">
        <f>IF(AND($L483*1&gt;=$G$3,$L483*1&lt;=$G$4,$I483*$J483&gt;0,OR($I483&lt;&gt;$I484,$L483-$L484&gt;25),IF(ABS($I483)&gt;10,$I483/POW(10,$J483),$J483/POW(10,$I483))*MAXIFS(Token!$C:$C,Token!$A:$A,$K483)&gt;0.01),$L483/86400+DATE(1970,1,1)+$G$6,)</f>
        <v/>
      </c>
      <c r="B483" s="27" t="str">
        <f t="shared" si="1"/>
        <v/>
      </c>
      <c r="C483" s="14" t="str">
        <f>IF($A483&lt;&gt;"",MINIFS(Merchant!$A:$A,Merchant!$B:$B,$G$2),)</f>
        <v/>
      </c>
      <c r="D483" s="14" t="str">
        <f t="shared" si="2"/>
        <v/>
      </c>
      <c r="E483" s="14" t="str">
        <f t="shared" si="3"/>
        <v/>
      </c>
      <c r="F483" s="7" t="str">
        <f>IF($A483&lt;&gt;"",MAXIFS(Token!$C:$C,Token!$A:$A,$D483),)</f>
        <v/>
      </c>
    </row>
    <row r="484">
      <c r="A484" s="39" t="str">
        <f>IF(AND($L484*1&gt;=$G$3,$L484*1&lt;=$G$4,$I484*$J484&gt;0,OR($I484&lt;&gt;$I485,$L484-$L485&gt;25),IF(ABS($I484)&gt;10,$I484/POW(10,$J484),$J484/POW(10,$I484))*MAXIFS(Token!$C:$C,Token!$A:$A,$K484)&gt;0.01),$L484/86400+DATE(1970,1,1)+$G$6,)</f>
        <v/>
      </c>
      <c r="B484" s="27" t="str">
        <f t="shared" si="1"/>
        <v/>
      </c>
      <c r="C484" s="14" t="str">
        <f>IF($A484&lt;&gt;"",MINIFS(Merchant!$A:$A,Merchant!$B:$B,$G$2),)</f>
        <v/>
      </c>
      <c r="D484" s="14" t="str">
        <f t="shared" si="2"/>
        <v/>
      </c>
      <c r="E484" s="14" t="str">
        <f t="shared" si="3"/>
        <v/>
      </c>
      <c r="F484" s="7" t="str">
        <f>IF($A484&lt;&gt;"",MAXIFS(Token!$C:$C,Token!$A:$A,$D484),)</f>
        <v/>
      </c>
    </row>
    <row r="485">
      <c r="A485" s="39" t="str">
        <f>IF(AND($L485*1&gt;=$G$3,$L485*1&lt;=$G$4,$I485*$J485&gt;0,OR($I485&lt;&gt;$I486,$L485-$L486&gt;25),IF(ABS($I485)&gt;10,$I485/POW(10,$J485),$J485/POW(10,$I485))*MAXIFS(Token!$C:$C,Token!$A:$A,$K485)&gt;0.01),$L485/86400+DATE(1970,1,1)+$G$6,)</f>
        <v/>
      </c>
      <c r="B485" s="27" t="str">
        <f t="shared" si="1"/>
        <v/>
      </c>
      <c r="C485" s="14" t="str">
        <f>IF($A485&lt;&gt;"",MINIFS(Merchant!$A:$A,Merchant!$B:$B,$G$2),)</f>
        <v/>
      </c>
      <c r="D485" s="14" t="str">
        <f t="shared" si="2"/>
        <v/>
      </c>
      <c r="E485" s="14" t="str">
        <f t="shared" si="3"/>
        <v/>
      </c>
      <c r="F485" s="7" t="str">
        <f>IF($A485&lt;&gt;"",MAXIFS(Token!$C:$C,Token!$A:$A,$D485),)</f>
        <v/>
      </c>
    </row>
    <row r="486">
      <c r="A486" s="39" t="str">
        <f>IF(AND($L486*1&gt;=$G$3,$L486*1&lt;=$G$4,$I486*$J486&gt;0,OR($I486&lt;&gt;$I487,$L486-$L487&gt;25),IF(ABS($I486)&gt;10,$I486/POW(10,$J486),$J486/POW(10,$I486))*MAXIFS(Token!$C:$C,Token!$A:$A,$K486)&gt;0.01),$L486/86400+DATE(1970,1,1)+$G$6,)</f>
        <v/>
      </c>
      <c r="B486" s="27" t="str">
        <f t="shared" si="1"/>
        <v/>
      </c>
      <c r="C486" s="14" t="str">
        <f>IF($A486&lt;&gt;"",MINIFS(Merchant!$A:$A,Merchant!$B:$B,$G$2),)</f>
        <v/>
      </c>
      <c r="D486" s="14" t="str">
        <f t="shared" si="2"/>
        <v/>
      </c>
      <c r="E486" s="14" t="str">
        <f t="shared" si="3"/>
        <v/>
      </c>
      <c r="F486" s="7" t="str">
        <f>IF($A486&lt;&gt;"",MAXIFS(Token!$C:$C,Token!$A:$A,$D486),)</f>
        <v/>
      </c>
    </row>
    <row r="487">
      <c r="A487" s="39" t="str">
        <f>IF(AND($L487*1&gt;=$G$3,$L487*1&lt;=$G$4,$I487*$J487&gt;0,OR($I487&lt;&gt;$I488,$L487-$L488&gt;25),IF(ABS($I487)&gt;10,$I487/POW(10,$J487),$J487/POW(10,$I487))*MAXIFS(Token!$C:$C,Token!$A:$A,$K487)&gt;0.01),$L487/86400+DATE(1970,1,1)+$G$6,)</f>
        <v/>
      </c>
      <c r="B487" s="27" t="str">
        <f t="shared" si="1"/>
        <v/>
      </c>
      <c r="C487" s="14" t="str">
        <f>IF($A487&lt;&gt;"",MINIFS(Merchant!$A:$A,Merchant!$B:$B,$G$2),)</f>
        <v/>
      </c>
      <c r="D487" s="14" t="str">
        <f t="shared" si="2"/>
        <v/>
      </c>
      <c r="E487" s="14" t="str">
        <f t="shared" si="3"/>
        <v/>
      </c>
      <c r="F487" s="7" t="str">
        <f>IF($A487&lt;&gt;"",MAXIFS(Token!$C:$C,Token!$A:$A,$D487),)</f>
        <v/>
      </c>
    </row>
    <row r="488">
      <c r="A488" s="39" t="str">
        <f>IF(AND($L488*1&gt;=$G$3,$L488*1&lt;=$G$4,$I488*$J488&gt;0,OR($I488&lt;&gt;$I489,$L488-$L489&gt;25),IF(ABS($I488)&gt;10,$I488/POW(10,$J488),$J488/POW(10,$I488))*MAXIFS(Token!$C:$C,Token!$A:$A,$K488)&gt;0.01),$L488/86400+DATE(1970,1,1)+$G$6,)</f>
        <v/>
      </c>
      <c r="B488" s="27" t="str">
        <f t="shared" si="1"/>
        <v/>
      </c>
      <c r="C488" s="14" t="str">
        <f>IF($A488&lt;&gt;"",MINIFS(Merchant!$A:$A,Merchant!$B:$B,$G$2),)</f>
        <v/>
      </c>
      <c r="D488" s="14" t="str">
        <f t="shared" si="2"/>
        <v/>
      </c>
      <c r="E488" s="14" t="str">
        <f t="shared" si="3"/>
        <v/>
      </c>
      <c r="F488" s="7" t="str">
        <f>IF($A488&lt;&gt;"",MAXIFS(Token!$C:$C,Token!$A:$A,$D488),)</f>
        <v/>
      </c>
    </row>
    <row r="489">
      <c r="A489" s="39" t="str">
        <f>IF(AND($L489*1&gt;=$G$3,$L489*1&lt;=$G$4,$I489*$J489&gt;0,OR($I489&lt;&gt;$I490,$L489-$L490&gt;25),IF(ABS($I489)&gt;10,$I489/POW(10,$J489),$J489/POW(10,$I489))*MAXIFS(Token!$C:$C,Token!$A:$A,$K489)&gt;0.01),$L489/86400+DATE(1970,1,1)+$G$6,)</f>
        <v/>
      </c>
      <c r="B489" s="27" t="str">
        <f t="shared" si="1"/>
        <v/>
      </c>
      <c r="C489" s="14" t="str">
        <f>IF($A489&lt;&gt;"",MINIFS(Merchant!$A:$A,Merchant!$B:$B,$G$2),)</f>
        <v/>
      </c>
      <c r="D489" s="14" t="str">
        <f t="shared" si="2"/>
        <v/>
      </c>
      <c r="E489" s="14" t="str">
        <f t="shared" si="3"/>
        <v/>
      </c>
      <c r="F489" s="7" t="str">
        <f>IF($A489&lt;&gt;"",MAXIFS(Token!$C:$C,Token!$A:$A,$D489),)</f>
        <v/>
      </c>
    </row>
    <row r="490">
      <c r="A490" s="39" t="str">
        <f>IF(AND($L490*1&gt;=$G$3,$L490*1&lt;=$G$4,$I490*$J490&gt;0,OR($I490&lt;&gt;$I491,$L490-$L491&gt;25),IF(ABS($I490)&gt;10,$I490/POW(10,$J490),$J490/POW(10,$I490))*MAXIFS(Token!$C:$C,Token!$A:$A,$K490)&gt;0.01),$L490/86400+DATE(1970,1,1)+$G$6,)</f>
        <v/>
      </c>
      <c r="B490" s="27" t="str">
        <f t="shared" si="1"/>
        <v/>
      </c>
      <c r="C490" s="14" t="str">
        <f>IF($A490&lt;&gt;"",MINIFS(Merchant!$A:$A,Merchant!$B:$B,$G$2),)</f>
        <v/>
      </c>
      <c r="D490" s="14" t="str">
        <f t="shared" si="2"/>
        <v/>
      </c>
      <c r="E490" s="14" t="str">
        <f t="shared" si="3"/>
        <v/>
      </c>
      <c r="F490" s="7" t="str">
        <f>IF($A490&lt;&gt;"",MAXIFS(Token!$C:$C,Token!$A:$A,$D490),)</f>
        <v/>
      </c>
    </row>
    <row r="491">
      <c r="A491" s="39" t="str">
        <f>IF(AND($L491*1&gt;=$G$3,$L491*1&lt;=$G$4,$I491*$J491&gt;0,OR($I491&lt;&gt;$I492,$L491-$L492&gt;25),IF(ABS($I491)&gt;10,$I491/POW(10,$J491),$J491/POW(10,$I491))*MAXIFS(Token!$C:$C,Token!$A:$A,$K491)&gt;0.01),$L491/86400+DATE(1970,1,1)+$G$6,)</f>
        <v/>
      </c>
      <c r="B491" s="27" t="str">
        <f t="shared" si="1"/>
        <v/>
      </c>
      <c r="C491" s="14" t="str">
        <f>IF($A491&lt;&gt;"",MINIFS(Merchant!$A:$A,Merchant!$B:$B,$G$2),)</f>
        <v/>
      </c>
      <c r="D491" s="14" t="str">
        <f t="shared" si="2"/>
        <v/>
      </c>
      <c r="E491" s="14" t="str">
        <f t="shared" si="3"/>
        <v/>
      </c>
      <c r="F491" s="7" t="str">
        <f>IF($A491&lt;&gt;"",MAXIFS(Token!$C:$C,Token!$A:$A,$D491),)</f>
        <v/>
      </c>
    </row>
    <row r="492">
      <c r="A492" s="39" t="str">
        <f>IF(AND($L492*1&gt;=$G$3,$L492*1&lt;=$G$4,$I492*$J492&gt;0,OR($I492&lt;&gt;$I493,$L492-$L493&gt;25),IF(ABS($I492)&gt;10,$I492/POW(10,$J492),$J492/POW(10,$I492))*MAXIFS(Token!$C:$C,Token!$A:$A,$K492)&gt;0.01),$L492/86400+DATE(1970,1,1)+$G$6,)</f>
        <v/>
      </c>
      <c r="B492" s="27" t="str">
        <f t="shared" si="1"/>
        <v/>
      </c>
      <c r="C492" s="14" t="str">
        <f>IF($A492&lt;&gt;"",MINIFS(Merchant!$A:$A,Merchant!$B:$B,$G$2),)</f>
        <v/>
      </c>
      <c r="D492" s="14" t="str">
        <f t="shared" si="2"/>
        <v/>
      </c>
      <c r="E492" s="14" t="str">
        <f t="shared" si="3"/>
        <v/>
      </c>
      <c r="F492" s="7" t="str">
        <f>IF($A492&lt;&gt;"",MAXIFS(Token!$C:$C,Token!$A:$A,$D492),)</f>
        <v/>
      </c>
    </row>
    <row r="493">
      <c r="A493" s="39" t="str">
        <f>IF(AND($L493*1&gt;=$G$3,$L493*1&lt;=$G$4,$I493*$J493&gt;0,OR($I493&lt;&gt;$I494,$L493-$L494&gt;25),IF(ABS($I493)&gt;10,$I493/POW(10,$J493),$J493/POW(10,$I493))*MAXIFS(Token!$C:$C,Token!$A:$A,$K493)&gt;0.01),$L493/86400+DATE(1970,1,1)+$G$6,)</f>
        <v/>
      </c>
      <c r="B493" s="27" t="str">
        <f t="shared" si="1"/>
        <v/>
      </c>
      <c r="C493" s="14" t="str">
        <f>IF($A493&lt;&gt;"",MINIFS(Merchant!$A:$A,Merchant!$B:$B,$G$2),)</f>
        <v/>
      </c>
      <c r="D493" s="14" t="str">
        <f t="shared" si="2"/>
        <v/>
      </c>
      <c r="E493" s="14" t="str">
        <f t="shared" si="3"/>
        <v/>
      </c>
      <c r="F493" s="7" t="str">
        <f>IF($A493&lt;&gt;"",MAXIFS(Token!$C:$C,Token!$A:$A,$D493),)</f>
        <v/>
      </c>
    </row>
    <row r="494">
      <c r="A494" s="39" t="str">
        <f>IF(AND($L494*1&gt;=$G$3,$L494*1&lt;=$G$4,$I494*$J494&gt;0,OR($I494&lt;&gt;$I495,$L494-$L495&gt;25),IF(ABS($I494)&gt;10,$I494/POW(10,$J494),$J494/POW(10,$I494))*MAXIFS(Token!$C:$C,Token!$A:$A,$K494)&gt;0.01),$L494/86400+DATE(1970,1,1)+$G$6,)</f>
        <v/>
      </c>
      <c r="B494" s="27" t="str">
        <f t="shared" si="1"/>
        <v/>
      </c>
      <c r="C494" s="14" t="str">
        <f>IF($A494&lt;&gt;"",MINIFS(Merchant!$A:$A,Merchant!$B:$B,$G$2),)</f>
        <v/>
      </c>
      <c r="D494" s="14" t="str">
        <f t="shared" si="2"/>
        <v/>
      </c>
      <c r="E494" s="14" t="str">
        <f t="shared" si="3"/>
        <v/>
      </c>
      <c r="F494" s="7" t="str">
        <f>IF($A494&lt;&gt;"",MAXIFS(Token!$C:$C,Token!$A:$A,$D494),)</f>
        <v/>
      </c>
    </row>
    <row r="495">
      <c r="A495" s="39" t="str">
        <f>IF(AND($L495*1&gt;=$G$3,$L495*1&lt;=$G$4,$I495*$J495&gt;0,OR($I495&lt;&gt;$I496,$L495-$L496&gt;25),IF(ABS($I495)&gt;10,$I495/POW(10,$J495),$J495/POW(10,$I495))*MAXIFS(Token!$C:$C,Token!$A:$A,$K495)&gt;0.01),$L495/86400+DATE(1970,1,1)+$G$6,)</f>
        <v/>
      </c>
      <c r="B495" s="27" t="str">
        <f t="shared" si="1"/>
        <v/>
      </c>
      <c r="C495" s="14" t="str">
        <f>IF($A495&lt;&gt;"",MINIFS(Merchant!$A:$A,Merchant!$B:$B,$G$2),)</f>
        <v/>
      </c>
      <c r="D495" s="14" t="str">
        <f t="shared" si="2"/>
        <v/>
      </c>
      <c r="E495" s="14" t="str">
        <f t="shared" si="3"/>
        <v/>
      </c>
      <c r="F495" s="7" t="str">
        <f>IF($A495&lt;&gt;"",MAXIFS(Token!$C:$C,Token!$A:$A,$D495),)</f>
        <v/>
      </c>
    </row>
    <row r="496">
      <c r="A496" s="39" t="str">
        <f>IF(AND($L496*1&gt;=$G$3,$L496*1&lt;=$G$4,$I496*$J496&gt;0,OR($I496&lt;&gt;$I497,$L496-$L497&gt;25),IF(ABS($I496)&gt;10,$I496/POW(10,$J496),$J496/POW(10,$I496))*MAXIFS(Token!$C:$C,Token!$A:$A,$K496)&gt;0.01),$L496/86400+DATE(1970,1,1)+$G$6,)</f>
        <v/>
      </c>
      <c r="B496" s="27" t="str">
        <f t="shared" si="1"/>
        <v/>
      </c>
      <c r="C496" s="14" t="str">
        <f>IF($A496&lt;&gt;"",MINIFS(Merchant!$A:$A,Merchant!$B:$B,$G$2),)</f>
        <v/>
      </c>
      <c r="D496" s="14" t="str">
        <f t="shared" si="2"/>
        <v/>
      </c>
      <c r="E496" s="14" t="str">
        <f t="shared" si="3"/>
        <v/>
      </c>
      <c r="F496" s="7" t="str">
        <f>IF($A496&lt;&gt;"",MAXIFS(Token!$C:$C,Token!$A:$A,$D496),)</f>
        <v/>
      </c>
    </row>
    <row r="497">
      <c r="A497" s="39" t="str">
        <f>IF(AND($L497*1&gt;=$G$3,$L497*1&lt;=$G$4,$I497*$J497&gt;0,OR($I497&lt;&gt;$I498,$L497-$L498&gt;25),IF(ABS($I497)&gt;10,$I497/POW(10,$J497),$J497/POW(10,$I497))*MAXIFS(Token!$C:$C,Token!$A:$A,$K497)&gt;0.01),$L497/86400+DATE(1970,1,1)+$G$6,)</f>
        <v/>
      </c>
      <c r="B497" s="27" t="str">
        <f t="shared" si="1"/>
        <v/>
      </c>
      <c r="C497" s="14" t="str">
        <f>IF($A497&lt;&gt;"",MINIFS(Merchant!$A:$A,Merchant!$B:$B,$G$2),)</f>
        <v/>
      </c>
      <c r="D497" s="14" t="str">
        <f t="shared" si="2"/>
        <v/>
      </c>
      <c r="E497" s="14" t="str">
        <f t="shared" si="3"/>
        <v/>
      </c>
      <c r="F497" s="7" t="str">
        <f>IF($A497&lt;&gt;"",MAXIFS(Token!$C:$C,Token!$A:$A,$D497),)</f>
        <v/>
      </c>
    </row>
    <row r="498">
      <c r="A498" s="39" t="str">
        <f>IF(AND($L498*1&gt;=$G$3,$L498*1&lt;=$G$4,$I498*$J498&gt;0,OR($I498&lt;&gt;$I499,$L498-$L499&gt;25),IF(ABS($I498)&gt;10,$I498/POW(10,$J498),$J498/POW(10,$I498))*MAXIFS(Token!$C:$C,Token!$A:$A,$K498)&gt;0.01),$L498/86400+DATE(1970,1,1)+$G$6,)</f>
        <v/>
      </c>
      <c r="B498" s="27" t="str">
        <f t="shared" si="1"/>
        <v/>
      </c>
      <c r="C498" s="14" t="str">
        <f>IF($A498&lt;&gt;"",MINIFS(Merchant!$A:$A,Merchant!$B:$B,$G$2),)</f>
        <v/>
      </c>
      <c r="D498" s="14" t="str">
        <f t="shared" si="2"/>
        <v/>
      </c>
      <c r="E498" s="14" t="str">
        <f t="shared" si="3"/>
        <v/>
      </c>
      <c r="F498" s="7" t="str">
        <f>IF($A498&lt;&gt;"",MAXIFS(Token!$C:$C,Token!$A:$A,$D498),)</f>
        <v/>
      </c>
    </row>
    <row r="499">
      <c r="A499" s="39" t="str">
        <f>IF(AND($L499*1&gt;=$G$3,$L499*1&lt;=$G$4,$I499*$J499&gt;0,OR($I499&lt;&gt;$I500,$L499-$L500&gt;25),IF(ABS($I499)&gt;10,$I499/POW(10,$J499),$J499/POW(10,$I499))*MAXIFS(Token!$C:$C,Token!$A:$A,$K499)&gt;0.01),$L499/86400+DATE(1970,1,1)+$G$6,)</f>
        <v/>
      </c>
      <c r="B499" s="27" t="str">
        <f t="shared" si="1"/>
        <v/>
      </c>
      <c r="C499" s="14" t="str">
        <f>IF($A499&lt;&gt;"",MINIFS(Merchant!$A:$A,Merchant!$B:$B,$G$2),)</f>
        <v/>
      </c>
      <c r="D499" s="14" t="str">
        <f t="shared" si="2"/>
        <v/>
      </c>
      <c r="E499" s="14" t="str">
        <f t="shared" si="3"/>
        <v/>
      </c>
      <c r="F499" s="7" t="str">
        <f>IF($A499&lt;&gt;"",MAXIFS(Token!$C:$C,Token!$A:$A,$D499),)</f>
        <v/>
      </c>
    </row>
    <row r="500">
      <c r="A500" s="39" t="str">
        <f>IF(AND($L500*1&gt;=$G$3,$L500*1&lt;=$G$4,$I500*$J500&gt;0,OR($I500&lt;&gt;$I501,$L500-$L501&gt;25),IF(ABS($I500)&gt;10,$I500/POW(10,$J500),$J500/POW(10,$I500))*MAXIFS(Token!$C:$C,Token!$A:$A,$K500)&gt;0.01),$L500/86400+DATE(1970,1,1)+$G$6,)</f>
        <v/>
      </c>
      <c r="B500" s="27" t="str">
        <f t="shared" si="1"/>
        <v/>
      </c>
      <c r="C500" s="14" t="str">
        <f>IF($A500&lt;&gt;"",MINIFS(Merchant!$A:$A,Merchant!$B:$B,$G$2),)</f>
        <v/>
      </c>
      <c r="D500" s="14" t="str">
        <f t="shared" si="2"/>
        <v/>
      </c>
      <c r="E500" s="14" t="str">
        <f t="shared" si="3"/>
        <v/>
      </c>
      <c r="F500" s="7" t="str">
        <f>IF($A500&lt;&gt;"",MAXIFS(Token!$C:$C,Token!$A:$A,$D500),)</f>
        <v/>
      </c>
    </row>
    <row r="501">
      <c r="A501" s="39" t="str">
        <f>IF(AND($L501*1&gt;=$G$3,$L501*1&lt;=$G$4,$I501*$J501&gt;0,OR($I501&lt;&gt;$I502,$L501-$L502&gt;25),IF(ABS($I501)&gt;10,$I501/POW(10,$J501),$J501/POW(10,$I501))*MAXIFS(Token!$C:$C,Token!$A:$A,$K501)&gt;0.01),$L501/86400+DATE(1970,1,1)+$G$6,)</f>
        <v/>
      </c>
      <c r="B501" s="27" t="str">
        <f t="shared" si="1"/>
        <v/>
      </c>
      <c r="C501" s="14" t="str">
        <f>IF($A501&lt;&gt;"",MINIFS(Merchant!$A:$A,Merchant!$B:$B,$G$2),)</f>
        <v/>
      </c>
      <c r="D501" s="14" t="str">
        <f t="shared" si="2"/>
        <v/>
      </c>
      <c r="E501" s="14" t="str">
        <f t="shared" si="3"/>
        <v/>
      </c>
      <c r="F501" s="7" t="str">
        <f>IF($A501&lt;&gt;"",MAXIFS(Token!$C:$C,Token!$A:$A,$D501),)</f>
        <v/>
      </c>
    </row>
    <row r="502">
      <c r="A502" s="39" t="str">
        <f>IF(AND($L502*1&gt;=$G$3,$L502*1&lt;=$G$4,$I502*$J502&gt;0,OR($I502&lt;&gt;$I503,$L502-$L503&gt;25),IF(ABS($I502)&gt;10,$I502/POW(10,$J502),$J502/POW(10,$I502))*MAXIFS(Token!$C:$C,Token!$A:$A,$K502)&gt;0.01),$L502/86400+DATE(1970,1,1)+$G$6,)</f>
        <v/>
      </c>
      <c r="B502" s="27" t="str">
        <f t="shared" si="1"/>
        <v/>
      </c>
      <c r="C502" s="14" t="str">
        <f>IF($A502&lt;&gt;"",MINIFS(Merchant!$A:$A,Merchant!$B:$B,$G$2),)</f>
        <v/>
      </c>
      <c r="D502" s="14" t="str">
        <f t="shared" si="2"/>
        <v/>
      </c>
      <c r="E502" s="14" t="str">
        <f t="shared" si="3"/>
        <v/>
      </c>
      <c r="F502" s="7" t="str">
        <f>IF($A502&lt;&gt;"",MAXIFS(Token!$C:$C,Token!$A:$A,$D502),)</f>
        <v/>
      </c>
    </row>
    <row r="503">
      <c r="A503" s="39" t="str">
        <f>IF(AND($L503*1&gt;=$G$3,$L503*1&lt;=$G$4,$I503*$J503&gt;0,OR($I503&lt;&gt;$I504,$L503-$L504&gt;25),IF(ABS($I503)&gt;10,$I503/POW(10,$J503),$J503/POW(10,$I503))*MAXIFS(Token!$C:$C,Token!$A:$A,$K503)&gt;0.01),$L503/86400+DATE(1970,1,1)+$G$6,)</f>
        <v/>
      </c>
      <c r="B503" s="27" t="str">
        <f t="shared" si="1"/>
        <v/>
      </c>
      <c r="C503" s="14" t="str">
        <f>IF($A503&lt;&gt;"",MINIFS(Merchant!$A:$A,Merchant!$B:$B,$G$2),)</f>
        <v/>
      </c>
      <c r="D503" s="14" t="str">
        <f t="shared" si="2"/>
        <v/>
      </c>
      <c r="E503" s="14" t="str">
        <f t="shared" si="3"/>
        <v/>
      </c>
      <c r="F503" s="7" t="str">
        <f>IF($A503&lt;&gt;"",MAXIFS(Token!$C:$C,Token!$A:$A,$D503),)</f>
        <v/>
      </c>
    </row>
    <row r="504">
      <c r="A504" s="39" t="str">
        <f>IF(AND($L504*1&gt;=$G$3,$L504*1&lt;=$G$4,$I504*$J504&gt;0,OR($I504&lt;&gt;$I505,$L504-$L505&gt;25),IF(ABS($I504)&gt;10,$I504/POW(10,$J504),$J504/POW(10,$I504))*MAXIFS(Token!$C:$C,Token!$A:$A,$K504)&gt;0.01),$L504/86400+DATE(1970,1,1)+$G$6,)</f>
        <v/>
      </c>
      <c r="B504" s="27" t="str">
        <f t="shared" si="1"/>
        <v/>
      </c>
      <c r="C504" s="14" t="str">
        <f>IF($A504&lt;&gt;"",MINIFS(Merchant!$A:$A,Merchant!$B:$B,$G$2),)</f>
        <v/>
      </c>
      <c r="D504" s="14" t="str">
        <f t="shared" si="2"/>
        <v/>
      </c>
      <c r="E504" s="14" t="str">
        <f t="shared" si="3"/>
        <v/>
      </c>
      <c r="F504" s="7" t="str">
        <f>IF($A504&lt;&gt;"",MAXIFS(Token!$C:$C,Token!$A:$A,$D504),)</f>
        <v/>
      </c>
    </row>
    <row r="505">
      <c r="A505" s="39" t="str">
        <f>IF(AND($L505*1&gt;=$G$3,$L505*1&lt;=$G$4,$I505*$J505&gt;0,OR($I505&lt;&gt;$I506,$L505-$L506&gt;25),IF(ABS($I505)&gt;10,$I505/POW(10,$J505),$J505/POW(10,$I505))*MAXIFS(Token!$C:$C,Token!$A:$A,$K505)&gt;0.01),$L505/86400+DATE(1970,1,1)+$G$6,)</f>
        <v/>
      </c>
      <c r="B505" s="27" t="str">
        <f t="shared" si="1"/>
        <v/>
      </c>
      <c r="C505" s="14" t="str">
        <f>IF($A505&lt;&gt;"",MINIFS(Merchant!$A:$A,Merchant!$B:$B,$G$2),)</f>
        <v/>
      </c>
      <c r="D505" s="14" t="str">
        <f t="shared" si="2"/>
        <v/>
      </c>
      <c r="E505" s="14" t="str">
        <f t="shared" si="3"/>
        <v/>
      </c>
      <c r="F505" s="7" t="str">
        <f>IF($A505&lt;&gt;"",MAXIFS(Token!$C:$C,Token!$A:$A,$D505),)</f>
        <v/>
      </c>
    </row>
    <row r="506">
      <c r="A506" s="39" t="str">
        <f>IF(AND($L506*1&gt;=$G$3,$L506*1&lt;=$G$4,$I506*$J506&gt;0,OR($I506&lt;&gt;$I507,$L506-$L507&gt;25),IF(ABS($I506)&gt;10,$I506/POW(10,$J506),$J506/POW(10,$I506))*MAXIFS(Token!$C:$C,Token!$A:$A,$K506)&gt;0.01),$L506/86400+DATE(1970,1,1)+$G$6,)</f>
        <v/>
      </c>
      <c r="B506" s="27" t="str">
        <f t="shared" si="1"/>
        <v/>
      </c>
      <c r="C506" s="14" t="str">
        <f>IF($A506&lt;&gt;"",MINIFS(Merchant!$A:$A,Merchant!$B:$B,$G$2),)</f>
        <v/>
      </c>
      <c r="D506" s="14" t="str">
        <f t="shared" si="2"/>
        <v/>
      </c>
      <c r="E506" s="14" t="str">
        <f t="shared" si="3"/>
        <v/>
      </c>
      <c r="F506" s="7" t="str">
        <f>IF($A506&lt;&gt;"",MAXIFS(Token!$C:$C,Token!$A:$A,$D506),)</f>
        <v/>
      </c>
    </row>
    <row r="507">
      <c r="A507" s="39" t="str">
        <f>IF(AND($L507*1&gt;=$G$3,$L507*1&lt;=$G$4,$I507*$J507&gt;0,OR($I507&lt;&gt;$I508,$L507-$L508&gt;25),IF(ABS($I507)&gt;10,$I507/POW(10,$J507),$J507/POW(10,$I507))*MAXIFS(Token!$C:$C,Token!$A:$A,$K507)&gt;0.01),$L507/86400+DATE(1970,1,1)+$G$6,)</f>
        <v/>
      </c>
      <c r="B507" s="27" t="str">
        <f t="shared" si="1"/>
        <v/>
      </c>
      <c r="C507" s="14" t="str">
        <f>IF($A507&lt;&gt;"",MINIFS(Merchant!$A:$A,Merchant!$B:$B,$G$2),)</f>
        <v/>
      </c>
      <c r="D507" s="14" t="str">
        <f t="shared" si="2"/>
        <v/>
      </c>
      <c r="E507" s="14" t="str">
        <f t="shared" si="3"/>
        <v/>
      </c>
      <c r="F507" s="7" t="str">
        <f>IF($A507&lt;&gt;"",MAXIFS(Token!$C:$C,Token!$A:$A,$D507),)</f>
        <v/>
      </c>
    </row>
    <row r="508">
      <c r="A508" s="39" t="str">
        <f>IF(AND($L508*1&gt;=$G$3,$L508*1&lt;=$G$4,$I508*$J508&gt;0,OR($I508&lt;&gt;$I509,$L508-$L509&gt;25),IF(ABS($I508)&gt;10,$I508/POW(10,$J508),$J508/POW(10,$I508))*MAXIFS(Token!$C:$C,Token!$A:$A,$K508)&gt;0.01),$L508/86400+DATE(1970,1,1)+$G$6,)</f>
        <v/>
      </c>
      <c r="B508" s="27" t="str">
        <f t="shared" si="1"/>
        <v/>
      </c>
      <c r="C508" s="14" t="str">
        <f>IF($A508&lt;&gt;"",MINIFS(Merchant!$A:$A,Merchant!$B:$B,$G$2),)</f>
        <v/>
      </c>
      <c r="D508" s="14" t="str">
        <f t="shared" si="2"/>
        <v/>
      </c>
      <c r="E508" s="14" t="str">
        <f t="shared" si="3"/>
        <v/>
      </c>
      <c r="F508" s="7" t="str">
        <f>IF($A508&lt;&gt;"",MAXIFS(Token!$C:$C,Token!$A:$A,$D508),)</f>
        <v/>
      </c>
    </row>
    <row r="509">
      <c r="A509" s="39" t="str">
        <f>IF(AND($L509*1&gt;=$G$3,$L509*1&lt;=$G$4,$I509*$J509&gt;0,OR($I509&lt;&gt;$I510,$L509-$L510&gt;25),IF(ABS($I509)&gt;10,$I509/POW(10,$J509),$J509/POW(10,$I509))*MAXIFS(Token!$C:$C,Token!$A:$A,$K509)&gt;0.01),$L509/86400+DATE(1970,1,1)+$G$6,)</f>
        <v/>
      </c>
      <c r="B509" s="27" t="str">
        <f t="shared" si="1"/>
        <v/>
      </c>
      <c r="C509" s="14" t="str">
        <f>IF($A509&lt;&gt;"",MINIFS(Merchant!$A:$A,Merchant!$B:$B,$G$2),)</f>
        <v/>
      </c>
      <c r="D509" s="14" t="str">
        <f t="shared" si="2"/>
        <v/>
      </c>
      <c r="E509" s="14" t="str">
        <f t="shared" si="3"/>
        <v/>
      </c>
      <c r="F509" s="7" t="str">
        <f>IF($A509&lt;&gt;"",MAXIFS(Token!$C:$C,Token!$A:$A,$D509),)</f>
        <v/>
      </c>
    </row>
    <row r="510">
      <c r="A510" s="39" t="str">
        <f>IF(AND($L510*1&gt;=$G$3,$L510*1&lt;=$G$4,$I510*$J510&gt;0,OR($I510&lt;&gt;$I511,$L510-$L511&gt;25),IF(ABS($I510)&gt;10,$I510/POW(10,$J510),$J510/POW(10,$I510))*MAXIFS(Token!$C:$C,Token!$A:$A,$K510)&gt;0.01),$L510/86400+DATE(1970,1,1)+$G$6,)</f>
        <v/>
      </c>
      <c r="B510" s="27" t="str">
        <f t="shared" si="1"/>
        <v/>
      </c>
      <c r="C510" s="14" t="str">
        <f>IF($A510&lt;&gt;"",MINIFS(Merchant!$A:$A,Merchant!$B:$B,$G$2),)</f>
        <v/>
      </c>
      <c r="D510" s="14" t="str">
        <f t="shared" si="2"/>
        <v/>
      </c>
      <c r="E510" s="14" t="str">
        <f t="shared" si="3"/>
        <v/>
      </c>
      <c r="F510" s="7" t="str">
        <f>IF($A510&lt;&gt;"",MAXIFS(Token!$C:$C,Token!$A:$A,$D510),)</f>
        <v/>
      </c>
    </row>
    <row r="511">
      <c r="A511" s="39" t="str">
        <f>IF(AND($L511*1&gt;=$G$3,$L511*1&lt;=$G$4,$I511*$J511&gt;0,OR($I511&lt;&gt;$I512,$L511-$L512&gt;25),IF(ABS($I511)&gt;10,$I511/POW(10,$J511),$J511/POW(10,$I511))*MAXIFS(Token!$C:$C,Token!$A:$A,$K511)&gt;0.01),$L511/86400+DATE(1970,1,1)+$G$6,)</f>
        <v/>
      </c>
      <c r="B511" s="27" t="str">
        <f t="shared" si="1"/>
        <v/>
      </c>
      <c r="C511" s="14" t="str">
        <f>IF($A511&lt;&gt;"",MINIFS(Merchant!$A:$A,Merchant!$B:$B,$G$2),)</f>
        <v/>
      </c>
      <c r="D511" s="14" t="str">
        <f t="shared" si="2"/>
        <v/>
      </c>
      <c r="E511" s="14" t="str">
        <f t="shared" si="3"/>
        <v/>
      </c>
      <c r="F511" s="7" t="str">
        <f>IF($A511&lt;&gt;"",MAXIFS(Token!$C:$C,Token!$A:$A,$D511),)</f>
        <v/>
      </c>
    </row>
    <row r="512">
      <c r="A512" s="39" t="str">
        <f>IF(AND($L512*1&gt;=$G$3,$L512*1&lt;=$G$4,$I512*$J512&gt;0,OR($I512&lt;&gt;$I513,$L512-$L513&gt;25),IF(ABS($I512)&gt;10,$I512/POW(10,$J512),$J512/POW(10,$I512))*MAXIFS(Token!$C:$C,Token!$A:$A,$K512)&gt;0.01),$L512/86400+DATE(1970,1,1)+$G$6,)</f>
        <v/>
      </c>
      <c r="B512" s="27" t="str">
        <f t="shared" si="1"/>
        <v/>
      </c>
      <c r="C512" s="14" t="str">
        <f>IF($A512&lt;&gt;"",MINIFS(Merchant!$A:$A,Merchant!$B:$B,$G$2),)</f>
        <v/>
      </c>
      <c r="D512" s="14" t="str">
        <f t="shared" si="2"/>
        <v/>
      </c>
      <c r="E512" s="14" t="str">
        <f t="shared" si="3"/>
        <v/>
      </c>
      <c r="F512" s="7" t="str">
        <f>IF($A512&lt;&gt;"",MAXIFS(Token!$C:$C,Token!$A:$A,$D512),)</f>
        <v/>
      </c>
    </row>
    <row r="513">
      <c r="A513" s="39" t="str">
        <f>IF(AND($L513*1&gt;=$G$3,$L513*1&lt;=$G$4,$I513*$J513&gt;0,OR($I513&lt;&gt;$I514,$L513-$L514&gt;25),IF(ABS($I513)&gt;10,$I513/POW(10,$J513),$J513/POW(10,$I513))*MAXIFS(Token!$C:$C,Token!$A:$A,$K513)&gt;0.01),$L513/86400+DATE(1970,1,1)+$G$6,)</f>
        <v/>
      </c>
      <c r="B513" s="27" t="str">
        <f t="shared" si="1"/>
        <v/>
      </c>
      <c r="C513" s="14" t="str">
        <f>IF($A513&lt;&gt;"",MINIFS(Merchant!$A:$A,Merchant!$B:$B,$G$2),)</f>
        <v/>
      </c>
      <c r="D513" s="14" t="str">
        <f t="shared" si="2"/>
        <v/>
      </c>
      <c r="E513" s="14" t="str">
        <f t="shared" si="3"/>
        <v/>
      </c>
      <c r="F513" s="7" t="str">
        <f>IF($A513&lt;&gt;"",MAXIFS(Token!$C:$C,Token!$A:$A,$D513),)</f>
        <v/>
      </c>
    </row>
    <row r="514">
      <c r="A514" s="39" t="str">
        <f>IF(AND($L514*1&gt;=$G$3,$L514*1&lt;=$G$4,$I514*$J514&gt;0,OR($I514&lt;&gt;$I515,$L514-$L515&gt;25),IF(ABS($I514)&gt;10,$I514/POW(10,$J514),$J514/POW(10,$I514))*MAXIFS(Token!$C:$C,Token!$A:$A,$K514)&gt;0.01),$L514/86400+DATE(1970,1,1)+$G$6,)</f>
        <v/>
      </c>
      <c r="B514" s="27" t="str">
        <f t="shared" si="1"/>
        <v/>
      </c>
      <c r="C514" s="14" t="str">
        <f>IF($A514&lt;&gt;"",MINIFS(Merchant!$A:$A,Merchant!$B:$B,$G$2),)</f>
        <v/>
      </c>
      <c r="D514" s="14" t="str">
        <f t="shared" si="2"/>
        <v/>
      </c>
      <c r="E514" s="14" t="str">
        <f t="shared" si="3"/>
        <v/>
      </c>
      <c r="F514" s="7" t="str">
        <f>IF($A514&lt;&gt;"",MAXIFS(Token!$C:$C,Token!$A:$A,$D514),)</f>
        <v/>
      </c>
    </row>
    <row r="515">
      <c r="A515" s="39" t="str">
        <f>IF(AND($L515*1&gt;=$G$3,$L515*1&lt;=$G$4,$I515*$J515&gt;0,OR($I515&lt;&gt;$I516,$L515-$L516&gt;25),IF(ABS($I515)&gt;10,$I515/POW(10,$J515),$J515/POW(10,$I515))*MAXIFS(Token!$C:$C,Token!$A:$A,$K515)&gt;0.01),$L515/86400+DATE(1970,1,1)+$G$6,)</f>
        <v/>
      </c>
      <c r="B515" s="27" t="str">
        <f t="shared" si="1"/>
        <v/>
      </c>
      <c r="C515" s="14" t="str">
        <f>IF($A515&lt;&gt;"",MINIFS(Merchant!$A:$A,Merchant!$B:$B,$G$2),)</f>
        <v/>
      </c>
      <c r="D515" s="14" t="str">
        <f t="shared" si="2"/>
        <v/>
      </c>
      <c r="E515" s="14" t="str">
        <f t="shared" si="3"/>
        <v/>
      </c>
      <c r="F515" s="7" t="str">
        <f>IF($A515&lt;&gt;"",MAXIFS(Token!$C:$C,Token!$A:$A,$D515),)</f>
        <v/>
      </c>
    </row>
    <row r="516">
      <c r="A516" s="39" t="str">
        <f>IF(AND($L516*1&gt;=$G$3,$L516*1&lt;=$G$4,$I516*$J516&gt;0,OR($I516&lt;&gt;$I517,$L516-$L517&gt;25),IF(ABS($I516)&gt;10,$I516/POW(10,$J516),$J516/POW(10,$I516))*MAXIFS(Token!$C:$C,Token!$A:$A,$K516)&gt;0.01),$L516/86400+DATE(1970,1,1)+$G$6,)</f>
        <v/>
      </c>
      <c r="B516" s="27" t="str">
        <f t="shared" si="1"/>
        <v/>
      </c>
      <c r="C516" s="14" t="str">
        <f>IF($A516&lt;&gt;"",MINIFS(Merchant!$A:$A,Merchant!$B:$B,$G$2),)</f>
        <v/>
      </c>
      <c r="D516" s="14" t="str">
        <f t="shared" si="2"/>
        <v/>
      </c>
      <c r="E516" s="14" t="str">
        <f t="shared" si="3"/>
        <v/>
      </c>
      <c r="F516" s="7" t="str">
        <f>IF($A516&lt;&gt;"",MAXIFS(Token!$C:$C,Token!$A:$A,$D516),)</f>
        <v/>
      </c>
    </row>
    <row r="517">
      <c r="A517" s="39" t="str">
        <f>IF(AND($L517*1&gt;=$G$3,$L517*1&lt;=$G$4,$I517*$J517&gt;0,OR($I517&lt;&gt;$I518,$L517-$L518&gt;25),IF(ABS($I517)&gt;10,$I517/POW(10,$J517),$J517/POW(10,$I517))*MAXIFS(Token!$C:$C,Token!$A:$A,$K517)&gt;0.01),$L517/86400+DATE(1970,1,1)+$G$6,)</f>
        <v/>
      </c>
      <c r="B517" s="27" t="str">
        <f t="shared" si="1"/>
        <v/>
      </c>
      <c r="C517" s="14" t="str">
        <f>IF($A517&lt;&gt;"",MINIFS(Merchant!$A:$A,Merchant!$B:$B,$G$2),)</f>
        <v/>
      </c>
      <c r="D517" s="14" t="str">
        <f t="shared" si="2"/>
        <v/>
      </c>
      <c r="E517" s="14" t="str">
        <f t="shared" si="3"/>
        <v/>
      </c>
      <c r="F517" s="7" t="str">
        <f>IF($A517&lt;&gt;"",MAXIFS(Token!$C:$C,Token!$A:$A,$D517),)</f>
        <v/>
      </c>
    </row>
    <row r="518">
      <c r="A518" s="39" t="str">
        <f>IF(AND($L518*1&gt;=$G$3,$L518*1&lt;=$G$4,$I518*$J518&gt;0,OR($I518&lt;&gt;$I519,$L518-$L519&gt;25),IF(ABS($I518)&gt;10,$I518/POW(10,$J518),$J518/POW(10,$I518))*MAXIFS(Token!$C:$C,Token!$A:$A,$K518)&gt;0.01),$L518/86400+DATE(1970,1,1)+$G$6,)</f>
        <v/>
      </c>
      <c r="B518" s="27" t="str">
        <f t="shared" si="1"/>
        <v/>
      </c>
      <c r="C518" s="14" t="str">
        <f>IF($A518&lt;&gt;"",MINIFS(Merchant!$A:$A,Merchant!$B:$B,$G$2),)</f>
        <v/>
      </c>
      <c r="D518" s="14" t="str">
        <f t="shared" si="2"/>
        <v/>
      </c>
      <c r="E518" s="14" t="str">
        <f t="shared" si="3"/>
        <v/>
      </c>
      <c r="F518" s="7" t="str">
        <f>IF($A518&lt;&gt;"",MAXIFS(Token!$C:$C,Token!$A:$A,$D518),)</f>
        <v/>
      </c>
    </row>
    <row r="519">
      <c r="A519" s="39" t="str">
        <f>IF(AND($L519*1&gt;=$G$3,$L519*1&lt;=$G$4,$I519*$J519&gt;0,OR($I519&lt;&gt;$I520,$L519-$L520&gt;25),IF(ABS($I519)&gt;10,$I519/POW(10,$J519),$J519/POW(10,$I519))*MAXIFS(Token!$C:$C,Token!$A:$A,$K519)&gt;0.01),$L519/86400+DATE(1970,1,1)+$G$6,)</f>
        <v/>
      </c>
      <c r="B519" s="27" t="str">
        <f t="shared" si="1"/>
        <v/>
      </c>
      <c r="C519" s="14" t="str">
        <f>IF($A519&lt;&gt;"",MINIFS(Merchant!$A:$A,Merchant!$B:$B,$G$2),)</f>
        <v/>
      </c>
      <c r="D519" s="14" t="str">
        <f t="shared" si="2"/>
        <v/>
      </c>
      <c r="E519" s="14" t="str">
        <f t="shared" si="3"/>
        <v/>
      </c>
      <c r="F519" s="7" t="str">
        <f>IF($A519&lt;&gt;"",MAXIFS(Token!$C:$C,Token!$A:$A,$D519),)</f>
        <v/>
      </c>
    </row>
    <row r="520">
      <c r="A520" s="39" t="str">
        <f>IF(AND($L520*1&gt;=$G$3,$L520*1&lt;=$G$4,$I520*$J520&gt;0,OR($I520&lt;&gt;$I521,$L520-$L521&gt;25),IF(ABS($I520)&gt;10,$I520/POW(10,$J520),$J520/POW(10,$I520))*MAXIFS(Token!$C:$C,Token!$A:$A,$K520)&gt;0.01),$L520/86400+DATE(1970,1,1)+$G$6,)</f>
        <v/>
      </c>
      <c r="B520" s="27" t="str">
        <f t="shared" si="1"/>
        <v/>
      </c>
      <c r="C520" s="14" t="str">
        <f>IF($A520&lt;&gt;"",MINIFS(Merchant!$A:$A,Merchant!$B:$B,$G$2),)</f>
        <v/>
      </c>
      <c r="D520" s="14" t="str">
        <f t="shared" si="2"/>
        <v/>
      </c>
      <c r="E520" s="14" t="str">
        <f t="shared" si="3"/>
        <v/>
      </c>
      <c r="F520" s="7" t="str">
        <f>IF($A520&lt;&gt;"",MAXIFS(Token!$C:$C,Token!$A:$A,$D520),)</f>
        <v/>
      </c>
    </row>
    <row r="521">
      <c r="A521" s="39" t="str">
        <f>IF(AND($L521*1&gt;=$G$3,$L521*1&lt;=$G$4,$I521*$J521&gt;0,OR($I521&lt;&gt;$I522,$L521-$L522&gt;25),IF(ABS($I521)&gt;10,$I521/POW(10,$J521),$J521/POW(10,$I521))*MAXIFS(Token!$C:$C,Token!$A:$A,$K521)&gt;0.01),$L521/86400+DATE(1970,1,1)+$G$6,)</f>
        <v/>
      </c>
      <c r="B521" s="27" t="str">
        <f t="shared" si="1"/>
        <v/>
      </c>
      <c r="C521" s="14" t="str">
        <f>IF($A521&lt;&gt;"",MINIFS(Merchant!$A:$A,Merchant!$B:$B,$G$2),)</f>
        <v/>
      </c>
      <c r="D521" s="14" t="str">
        <f t="shared" si="2"/>
        <v/>
      </c>
      <c r="E521" s="14" t="str">
        <f t="shared" si="3"/>
        <v/>
      </c>
      <c r="F521" s="7" t="str">
        <f>IF($A521&lt;&gt;"",MAXIFS(Token!$C:$C,Token!$A:$A,$D521),)</f>
        <v/>
      </c>
    </row>
    <row r="522">
      <c r="A522" s="39" t="str">
        <f>IF(AND($L522*1&gt;=$G$3,$L522*1&lt;=$G$4,$I522*$J522&gt;0,OR($I522&lt;&gt;$I523,$L522-$L523&gt;25),IF(ABS($I522)&gt;10,$I522/POW(10,$J522),$J522/POW(10,$I522))*MAXIFS(Token!$C:$C,Token!$A:$A,$K522)&gt;0.01),$L522/86400+DATE(1970,1,1)+$G$6,)</f>
        <v/>
      </c>
      <c r="B522" s="27" t="str">
        <f t="shared" si="1"/>
        <v/>
      </c>
      <c r="C522" s="14" t="str">
        <f>IF($A522&lt;&gt;"",MINIFS(Merchant!$A:$A,Merchant!$B:$B,$G$2),)</f>
        <v/>
      </c>
      <c r="D522" s="14" t="str">
        <f t="shared" si="2"/>
        <v/>
      </c>
      <c r="E522" s="14" t="str">
        <f t="shared" si="3"/>
        <v/>
      </c>
      <c r="F522" s="7" t="str">
        <f>IF($A522&lt;&gt;"",MAXIFS(Token!$C:$C,Token!$A:$A,$D522),)</f>
        <v/>
      </c>
    </row>
    <row r="523">
      <c r="A523" s="39" t="str">
        <f>IF(AND($L523*1&gt;=$G$3,$L523*1&lt;=$G$4,$I523*$J523&gt;0,OR($I523&lt;&gt;$I524,$L523-$L524&gt;25),IF(ABS($I523)&gt;10,$I523/POW(10,$J523),$J523/POW(10,$I523))*MAXIFS(Token!$C:$C,Token!$A:$A,$K523)&gt;0.01),$L523/86400+DATE(1970,1,1)+$G$6,)</f>
        <v/>
      </c>
      <c r="B523" s="27" t="str">
        <f t="shared" si="1"/>
        <v/>
      </c>
      <c r="C523" s="14" t="str">
        <f>IF($A523&lt;&gt;"",MINIFS(Merchant!$A:$A,Merchant!$B:$B,$G$2),)</f>
        <v/>
      </c>
      <c r="D523" s="14" t="str">
        <f t="shared" si="2"/>
        <v/>
      </c>
      <c r="E523" s="14" t="str">
        <f t="shared" si="3"/>
        <v/>
      </c>
      <c r="F523" s="7" t="str">
        <f>IF($A523&lt;&gt;"",MAXIFS(Token!$C:$C,Token!$A:$A,$D523),)</f>
        <v/>
      </c>
    </row>
    <row r="524">
      <c r="A524" s="39" t="str">
        <f>IF(AND($L524*1&gt;=$G$3,$L524*1&lt;=$G$4,$I524*$J524&gt;0,OR($I524&lt;&gt;$I525,$L524-$L525&gt;25),IF(ABS($I524)&gt;10,$I524/POW(10,$J524),$J524/POW(10,$I524))*MAXIFS(Token!$C:$C,Token!$A:$A,$K524)&gt;0.01),$L524/86400+DATE(1970,1,1)+$G$6,)</f>
        <v/>
      </c>
      <c r="B524" s="27" t="str">
        <f t="shared" si="1"/>
        <v/>
      </c>
      <c r="C524" s="14" t="str">
        <f>IF($A524&lt;&gt;"",MINIFS(Merchant!$A:$A,Merchant!$B:$B,$G$2),)</f>
        <v/>
      </c>
      <c r="D524" s="14" t="str">
        <f t="shared" si="2"/>
        <v/>
      </c>
      <c r="E524" s="14" t="str">
        <f t="shared" si="3"/>
        <v/>
      </c>
      <c r="F524" s="7" t="str">
        <f>IF($A524&lt;&gt;"",MAXIFS(Token!$C:$C,Token!$A:$A,$D524),)</f>
        <v/>
      </c>
    </row>
    <row r="525">
      <c r="A525" s="39" t="str">
        <f>IF(AND($L525*1&gt;=$G$3,$L525*1&lt;=$G$4,$I525*$J525&gt;0,OR($I525&lt;&gt;$I526,$L525-$L526&gt;25),IF(ABS($I525)&gt;10,$I525/POW(10,$J525),$J525/POW(10,$I525))*MAXIFS(Token!$C:$C,Token!$A:$A,$K525)&gt;0.01),$L525/86400+DATE(1970,1,1)+$G$6,)</f>
        <v/>
      </c>
      <c r="B525" s="27" t="str">
        <f t="shared" si="1"/>
        <v/>
      </c>
      <c r="C525" s="14" t="str">
        <f>IF($A525&lt;&gt;"",MINIFS(Merchant!$A:$A,Merchant!$B:$B,$G$2),)</f>
        <v/>
      </c>
      <c r="D525" s="14" t="str">
        <f t="shared" si="2"/>
        <v/>
      </c>
      <c r="E525" s="14" t="str">
        <f t="shared" si="3"/>
        <v/>
      </c>
      <c r="F525" s="7" t="str">
        <f>IF($A525&lt;&gt;"",MAXIFS(Token!$C:$C,Token!$A:$A,$D525),)</f>
        <v/>
      </c>
    </row>
    <row r="526">
      <c r="A526" s="39" t="str">
        <f>IF(AND($L526*1&gt;=$G$3,$L526*1&lt;=$G$4,$I526*$J526&gt;0,OR($I526&lt;&gt;$I527,$L526-$L527&gt;25),IF(ABS($I526)&gt;10,$I526/POW(10,$J526),$J526/POW(10,$I526))*MAXIFS(Token!$C:$C,Token!$A:$A,$K526)&gt;0.01),$L526/86400+DATE(1970,1,1)+$G$6,)</f>
        <v/>
      </c>
      <c r="B526" s="27" t="str">
        <f t="shared" si="1"/>
        <v/>
      </c>
      <c r="C526" s="14" t="str">
        <f>IF($A526&lt;&gt;"",MINIFS(Merchant!$A:$A,Merchant!$B:$B,$G$2),)</f>
        <v/>
      </c>
      <c r="D526" s="14" t="str">
        <f t="shared" si="2"/>
        <v/>
      </c>
      <c r="E526" s="14" t="str">
        <f t="shared" si="3"/>
        <v/>
      </c>
      <c r="F526" s="7" t="str">
        <f>IF($A526&lt;&gt;"",MAXIFS(Token!$C:$C,Token!$A:$A,$D526),)</f>
        <v/>
      </c>
    </row>
    <row r="527">
      <c r="A527" s="39" t="str">
        <f>IF(AND($L527*1&gt;=$G$3,$L527*1&lt;=$G$4,$I527*$J527&gt;0,OR($I527&lt;&gt;$I528,$L527-$L528&gt;25),IF(ABS($I527)&gt;10,$I527/POW(10,$J527),$J527/POW(10,$I527))*MAXIFS(Token!$C:$C,Token!$A:$A,$K527)&gt;0.01),$L527/86400+DATE(1970,1,1)+$G$6,)</f>
        <v/>
      </c>
      <c r="B527" s="27" t="str">
        <f t="shared" si="1"/>
        <v/>
      </c>
      <c r="C527" s="14" t="str">
        <f>IF($A527&lt;&gt;"",MINIFS(Merchant!$A:$A,Merchant!$B:$B,$G$2),)</f>
        <v/>
      </c>
      <c r="D527" s="14" t="str">
        <f t="shared" si="2"/>
        <v/>
      </c>
      <c r="E527" s="14" t="str">
        <f t="shared" si="3"/>
        <v/>
      </c>
      <c r="F527" s="7" t="str">
        <f>IF($A527&lt;&gt;"",MAXIFS(Token!$C:$C,Token!$A:$A,$D527),)</f>
        <v/>
      </c>
    </row>
    <row r="528">
      <c r="A528" s="39" t="str">
        <f>IF(AND($L528*1&gt;=$G$3,$L528*1&lt;=$G$4,$I528*$J528&gt;0,OR($I528&lt;&gt;$I529,$L528-$L529&gt;25),IF(ABS($I528)&gt;10,$I528/POW(10,$J528),$J528/POW(10,$I528))*MAXIFS(Token!$C:$C,Token!$A:$A,$K528)&gt;0.01),$L528/86400+DATE(1970,1,1)+$G$6,)</f>
        <v/>
      </c>
      <c r="B528" s="27" t="str">
        <f t="shared" si="1"/>
        <v/>
      </c>
      <c r="C528" s="14" t="str">
        <f>IF($A528&lt;&gt;"",MINIFS(Merchant!$A:$A,Merchant!$B:$B,$G$2),)</f>
        <v/>
      </c>
      <c r="D528" s="14" t="str">
        <f t="shared" si="2"/>
        <v/>
      </c>
      <c r="E528" s="14" t="str">
        <f t="shared" si="3"/>
        <v/>
      </c>
      <c r="F528" s="7" t="str">
        <f>IF($A528&lt;&gt;"",MAXIFS(Token!$C:$C,Token!$A:$A,$D528),)</f>
        <v/>
      </c>
    </row>
    <row r="529">
      <c r="A529" s="39" t="str">
        <f>IF(AND($L529*1&gt;=$G$3,$L529*1&lt;=$G$4,$I529*$J529&gt;0,OR($I529&lt;&gt;$I530,$L529-$L530&gt;25),IF(ABS($I529)&gt;10,$I529/POW(10,$J529),$J529/POW(10,$I529))*MAXIFS(Token!$C:$C,Token!$A:$A,$K529)&gt;0.01),$L529/86400+DATE(1970,1,1)+$G$6,)</f>
        <v/>
      </c>
      <c r="B529" s="27" t="str">
        <f t="shared" si="1"/>
        <v/>
      </c>
      <c r="C529" s="14" t="str">
        <f>IF($A529&lt;&gt;"",MINIFS(Merchant!$A:$A,Merchant!$B:$B,$G$2),)</f>
        <v/>
      </c>
      <c r="D529" s="14" t="str">
        <f t="shared" si="2"/>
        <v/>
      </c>
      <c r="E529" s="14" t="str">
        <f t="shared" si="3"/>
        <v/>
      </c>
      <c r="F529" s="7" t="str">
        <f>IF($A529&lt;&gt;"",MAXIFS(Token!$C:$C,Token!$A:$A,$D529),)</f>
        <v/>
      </c>
    </row>
    <row r="530">
      <c r="A530" s="39" t="str">
        <f>IF(AND($L530*1&gt;=$G$3,$L530*1&lt;=$G$4,$I530*$J530&gt;0,OR($I530&lt;&gt;$I531,$L530-$L531&gt;25),IF(ABS($I530)&gt;10,$I530/POW(10,$J530),$J530/POW(10,$I530))*MAXIFS(Token!$C:$C,Token!$A:$A,$K530)&gt;0.01),$L530/86400+DATE(1970,1,1)+$G$6,)</f>
        <v/>
      </c>
      <c r="B530" s="27" t="str">
        <f t="shared" si="1"/>
        <v/>
      </c>
      <c r="C530" s="14" t="str">
        <f>IF($A530&lt;&gt;"",MINIFS(Merchant!$A:$A,Merchant!$B:$B,$G$2),)</f>
        <v/>
      </c>
      <c r="D530" s="14" t="str">
        <f t="shared" si="2"/>
        <v/>
      </c>
      <c r="E530" s="14" t="str">
        <f t="shared" si="3"/>
        <v/>
      </c>
      <c r="F530" s="7" t="str">
        <f>IF($A530&lt;&gt;"",MAXIFS(Token!$C:$C,Token!$A:$A,$D530),)</f>
        <v/>
      </c>
    </row>
    <row r="531">
      <c r="A531" s="39" t="str">
        <f>IF(AND($L531*1&gt;=$G$3,$L531*1&lt;=$G$4,$I531*$J531&gt;0,OR($I531&lt;&gt;$I532,$L531-$L532&gt;25),IF(ABS($I531)&gt;10,$I531/POW(10,$J531),$J531/POW(10,$I531))*MAXIFS(Token!$C:$C,Token!$A:$A,$K531)&gt;0.01),$L531/86400+DATE(1970,1,1)+$G$6,)</f>
        <v/>
      </c>
      <c r="B531" s="27" t="str">
        <f t="shared" si="1"/>
        <v/>
      </c>
      <c r="C531" s="14" t="str">
        <f>IF($A531&lt;&gt;"",MINIFS(Merchant!$A:$A,Merchant!$B:$B,$G$2),)</f>
        <v/>
      </c>
      <c r="D531" s="14" t="str">
        <f t="shared" si="2"/>
        <v/>
      </c>
      <c r="E531" s="14" t="str">
        <f t="shared" si="3"/>
        <v/>
      </c>
      <c r="F531" s="7" t="str">
        <f>IF($A531&lt;&gt;"",MAXIFS(Token!$C:$C,Token!$A:$A,$D531),)</f>
        <v/>
      </c>
    </row>
    <row r="532">
      <c r="A532" s="39" t="str">
        <f>IF(AND($L532*1&gt;=$G$3,$L532*1&lt;=$G$4,$I532*$J532&gt;0,OR($I532&lt;&gt;$I533,$L532-$L533&gt;25),IF(ABS($I532)&gt;10,$I532/POW(10,$J532),$J532/POW(10,$I532))*MAXIFS(Token!$C:$C,Token!$A:$A,$K532)&gt;0.01),$L532/86400+DATE(1970,1,1)+$G$6,)</f>
        <v/>
      </c>
      <c r="B532" s="27" t="str">
        <f t="shared" si="1"/>
        <v/>
      </c>
      <c r="C532" s="14" t="str">
        <f>IF($A532&lt;&gt;"",MINIFS(Merchant!$A:$A,Merchant!$B:$B,$G$2),)</f>
        <v/>
      </c>
      <c r="D532" s="14" t="str">
        <f t="shared" si="2"/>
        <v/>
      </c>
      <c r="E532" s="14" t="str">
        <f t="shared" si="3"/>
        <v/>
      </c>
      <c r="F532" s="7" t="str">
        <f>IF($A532&lt;&gt;"",MAXIFS(Token!$C:$C,Token!$A:$A,$D532),)</f>
        <v/>
      </c>
    </row>
    <row r="533">
      <c r="A533" s="39" t="str">
        <f>IF(AND($L533*1&gt;=$G$3,$L533*1&lt;=$G$4,$I533*$J533&gt;0,OR($I533&lt;&gt;$I534,$L533-$L534&gt;25),IF(ABS($I533)&gt;10,$I533/POW(10,$J533),$J533/POW(10,$I533))*MAXIFS(Token!$C:$C,Token!$A:$A,$K533)&gt;0.01),$L533/86400+DATE(1970,1,1)+$G$6,)</f>
        <v/>
      </c>
      <c r="B533" s="27" t="str">
        <f t="shared" si="1"/>
        <v/>
      </c>
      <c r="C533" s="14" t="str">
        <f>IF($A533&lt;&gt;"",MINIFS(Merchant!$A:$A,Merchant!$B:$B,$G$2),)</f>
        <v/>
      </c>
      <c r="D533" s="14" t="str">
        <f t="shared" si="2"/>
        <v/>
      </c>
      <c r="E533" s="14" t="str">
        <f t="shared" si="3"/>
        <v/>
      </c>
      <c r="F533" s="7" t="str">
        <f>IF($A533&lt;&gt;"",MAXIFS(Token!$C:$C,Token!$A:$A,$D533),)</f>
        <v/>
      </c>
    </row>
    <row r="534">
      <c r="A534" s="39" t="str">
        <f>IF(AND($L534*1&gt;=$G$3,$L534*1&lt;=$G$4,$I534*$J534&gt;0,OR($I534&lt;&gt;$I535,$L534-$L535&gt;25),IF(ABS($I534)&gt;10,$I534/POW(10,$J534),$J534/POW(10,$I534))*MAXIFS(Token!$C:$C,Token!$A:$A,$K534)&gt;0.01),$L534/86400+DATE(1970,1,1)+$G$6,)</f>
        <v/>
      </c>
      <c r="B534" s="27" t="str">
        <f t="shared" si="1"/>
        <v/>
      </c>
      <c r="C534" s="14" t="str">
        <f>IF($A534&lt;&gt;"",MINIFS(Merchant!$A:$A,Merchant!$B:$B,$G$2),)</f>
        <v/>
      </c>
      <c r="D534" s="14" t="str">
        <f t="shared" si="2"/>
        <v/>
      </c>
      <c r="E534" s="14" t="str">
        <f t="shared" si="3"/>
        <v/>
      </c>
      <c r="F534" s="7" t="str">
        <f>IF($A534&lt;&gt;"",MAXIFS(Token!$C:$C,Token!$A:$A,$D534),)</f>
        <v/>
      </c>
    </row>
    <row r="535">
      <c r="A535" s="39" t="str">
        <f>IF(AND($L535*1&gt;=$G$3,$L535*1&lt;=$G$4,$I535*$J535&gt;0,OR($I535&lt;&gt;$I536,$L535-$L536&gt;25),IF(ABS($I535)&gt;10,$I535/POW(10,$J535),$J535/POW(10,$I535))*MAXIFS(Token!$C:$C,Token!$A:$A,$K535)&gt;0.01),$L535/86400+DATE(1970,1,1)+$G$6,)</f>
        <v/>
      </c>
      <c r="B535" s="27" t="str">
        <f t="shared" si="1"/>
        <v/>
      </c>
      <c r="C535" s="14" t="str">
        <f>IF($A535&lt;&gt;"",MINIFS(Merchant!$A:$A,Merchant!$B:$B,$G$2),)</f>
        <v/>
      </c>
      <c r="D535" s="14" t="str">
        <f t="shared" si="2"/>
        <v/>
      </c>
      <c r="E535" s="14" t="str">
        <f t="shared" si="3"/>
        <v/>
      </c>
      <c r="F535" s="7" t="str">
        <f>IF($A535&lt;&gt;"",MAXIFS(Token!$C:$C,Token!$A:$A,$D535),)</f>
        <v/>
      </c>
    </row>
    <row r="536">
      <c r="A536" s="39" t="str">
        <f>IF(AND($L536*1&gt;=$G$3,$L536*1&lt;=$G$4,$I536*$J536&gt;0,OR($I536&lt;&gt;$I537,$L536-$L537&gt;25),IF(ABS($I536)&gt;10,$I536/POW(10,$J536),$J536/POW(10,$I536))*MAXIFS(Token!$C:$C,Token!$A:$A,$K536)&gt;0.01),$L536/86400+DATE(1970,1,1)+$G$6,)</f>
        <v/>
      </c>
      <c r="B536" s="27" t="str">
        <f t="shared" si="1"/>
        <v/>
      </c>
      <c r="C536" s="14" t="str">
        <f>IF($A536&lt;&gt;"",MINIFS(Merchant!$A:$A,Merchant!$B:$B,$G$2),)</f>
        <v/>
      </c>
      <c r="D536" s="14" t="str">
        <f t="shared" si="2"/>
        <v/>
      </c>
      <c r="E536" s="14" t="str">
        <f t="shared" si="3"/>
        <v/>
      </c>
      <c r="F536" s="7" t="str">
        <f>IF($A536&lt;&gt;"",MAXIFS(Token!$C:$C,Token!$A:$A,$D536),)</f>
        <v/>
      </c>
    </row>
    <row r="537">
      <c r="A537" s="39" t="str">
        <f>IF(AND($L537*1&gt;=$G$3,$L537*1&lt;=$G$4,$I537*$J537&gt;0,OR($I537&lt;&gt;$I538,$L537-$L538&gt;25),IF(ABS($I537)&gt;10,$I537/POW(10,$J537),$J537/POW(10,$I537))*MAXIFS(Token!$C:$C,Token!$A:$A,$K537)&gt;0.01),$L537/86400+DATE(1970,1,1)+$G$6,)</f>
        <v/>
      </c>
      <c r="B537" s="27" t="str">
        <f t="shared" si="1"/>
        <v/>
      </c>
      <c r="C537" s="14" t="str">
        <f>IF($A537&lt;&gt;"",MINIFS(Merchant!$A:$A,Merchant!$B:$B,$G$2),)</f>
        <v/>
      </c>
      <c r="D537" s="14" t="str">
        <f t="shared" si="2"/>
        <v/>
      </c>
      <c r="E537" s="14" t="str">
        <f t="shared" si="3"/>
        <v/>
      </c>
      <c r="F537" s="7" t="str">
        <f>IF($A537&lt;&gt;"",MAXIFS(Token!$C:$C,Token!$A:$A,$D537),)</f>
        <v/>
      </c>
    </row>
    <row r="538">
      <c r="A538" s="39" t="str">
        <f>IF(AND($L538*1&gt;=$G$3,$L538*1&lt;=$G$4,$I538*$J538&gt;0,OR($I538&lt;&gt;$I539,$L538-$L539&gt;25),IF(ABS($I538)&gt;10,$I538/POW(10,$J538),$J538/POW(10,$I538))*MAXIFS(Token!$C:$C,Token!$A:$A,$K538)&gt;0.01),$L538/86400+DATE(1970,1,1)+$G$6,)</f>
        <v/>
      </c>
      <c r="B538" s="27" t="str">
        <f t="shared" si="1"/>
        <v/>
      </c>
      <c r="C538" s="14" t="str">
        <f>IF($A538&lt;&gt;"",MINIFS(Merchant!$A:$A,Merchant!$B:$B,$G$2),)</f>
        <v/>
      </c>
      <c r="D538" s="14" t="str">
        <f t="shared" si="2"/>
        <v/>
      </c>
      <c r="E538" s="14" t="str">
        <f t="shared" si="3"/>
        <v/>
      </c>
      <c r="F538" s="7" t="str">
        <f>IF($A538&lt;&gt;"",MAXIFS(Token!$C:$C,Token!$A:$A,$D538),)</f>
        <v/>
      </c>
    </row>
    <row r="539">
      <c r="A539" s="39" t="str">
        <f>IF(AND($L539*1&gt;=$G$3,$L539*1&lt;=$G$4,$I539*$J539&gt;0,OR($I539&lt;&gt;$I540,$L539-$L540&gt;25),IF(ABS($I539)&gt;10,$I539/POW(10,$J539),$J539/POW(10,$I539))*MAXIFS(Token!$C:$C,Token!$A:$A,$K539)&gt;0.01),$L539/86400+DATE(1970,1,1)+$G$6,)</f>
        <v/>
      </c>
      <c r="B539" s="27" t="str">
        <f t="shared" si="1"/>
        <v/>
      </c>
      <c r="C539" s="14" t="str">
        <f>IF($A539&lt;&gt;"",MINIFS(Merchant!$A:$A,Merchant!$B:$B,$G$2),)</f>
        <v/>
      </c>
      <c r="D539" s="14" t="str">
        <f t="shared" si="2"/>
        <v/>
      </c>
      <c r="E539" s="14" t="str">
        <f t="shared" si="3"/>
        <v/>
      </c>
      <c r="F539" s="7" t="str">
        <f>IF($A539&lt;&gt;"",MAXIFS(Token!$C:$C,Token!$A:$A,$D539),)</f>
        <v/>
      </c>
    </row>
    <row r="540">
      <c r="A540" s="39" t="str">
        <f>IF(AND($L540*1&gt;=$G$3,$L540*1&lt;=$G$4,$I540*$J540&gt;0,OR($I540&lt;&gt;$I541,$L540-$L541&gt;25),IF(ABS($I540)&gt;10,$I540/POW(10,$J540),$J540/POW(10,$I540))*MAXIFS(Token!$C:$C,Token!$A:$A,$K540)&gt;0.01),$L540/86400+DATE(1970,1,1)+$G$6,)</f>
        <v/>
      </c>
      <c r="B540" s="27" t="str">
        <f t="shared" si="1"/>
        <v/>
      </c>
      <c r="C540" s="14" t="str">
        <f>IF($A540&lt;&gt;"",MINIFS(Merchant!$A:$A,Merchant!$B:$B,$G$2),)</f>
        <v/>
      </c>
      <c r="D540" s="14" t="str">
        <f t="shared" si="2"/>
        <v/>
      </c>
      <c r="E540" s="14" t="str">
        <f t="shared" si="3"/>
        <v/>
      </c>
      <c r="F540" s="7" t="str">
        <f>IF($A540&lt;&gt;"",MAXIFS(Token!$C:$C,Token!$A:$A,$D540),)</f>
        <v/>
      </c>
    </row>
    <row r="541">
      <c r="A541" s="39" t="str">
        <f>IF(AND($L541*1&gt;=$G$3,$L541*1&lt;=$G$4,$I541*$J541&gt;0,OR($I541&lt;&gt;$I542,$L541-$L542&gt;25),IF(ABS($I541)&gt;10,$I541/POW(10,$J541),$J541/POW(10,$I541))*MAXIFS(Token!$C:$C,Token!$A:$A,$K541)&gt;0.01),$L541/86400+DATE(1970,1,1)+$G$6,)</f>
        <v/>
      </c>
      <c r="B541" s="27" t="str">
        <f t="shared" si="1"/>
        <v/>
      </c>
      <c r="C541" s="14" t="str">
        <f>IF($A541&lt;&gt;"",MINIFS(Merchant!$A:$A,Merchant!$B:$B,$G$2),)</f>
        <v/>
      </c>
      <c r="D541" s="14" t="str">
        <f t="shared" si="2"/>
        <v/>
      </c>
      <c r="E541" s="14" t="str">
        <f t="shared" si="3"/>
        <v/>
      </c>
      <c r="F541" s="7" t="str">
        <f>IF($A541&lt;&gt;"",MAXIFS(Token!$C:$C,Token!$A:$A,$D541),)</f>
        <v/>
      </c>
    </row>
    <row r="542">
      <c r="A542" s="39" t="str">
        <f>IF(AND($L542*1&gt;=$G$3,$L542*1&lt;=$G$4,$I542*$J542&gt;0,OR($I542&lt;&gt;$I543,$L542-$L543&gt;25),IF(ABS($I542)&gt;10,$I542/POW(10,$J542),$J542/POW(10,$I542))*MAXIFS(Token!$C:$C,Token!$A:$A,$K542)&gt;0.01),$L542/86400+DATE(1970,1,1)+$G$6,)</f>
        <v/>
      </c>
      <c r="B542" s="27" t="str">
        <f t="shared" si="1"/>
        <v/>
      </c>
      <c r="C542" s="14" t="str">
        <f>IF($A542&lt;&gt;"",MINIFS(Merchant!$A:$A,Merchant!$B:$B,$G$2),)</f>
        <v/>
      </c>
      <c r="D542" s="14" t="str">
        <f t="shared" si="2"/>
        <v/>
      </c>
      <c r="E542" s="14" t="str">
        <f t="shared" si="3"/>
        <v/>
      </c>
      <c r="F542" s="7" t="str">
        <f>IF($A542&lt;&gt;"",MAXIFS(Token!$C:$C,Token!$A:$A,$D542),)</f>
        <v/>
      </c>
    </row>
    <row r="543">
      <c r="A543" s="39" t="str">
        <f>IF(AND($L543*1&gt;=$G$3,$L543*1&lt;=$G$4,$I543*$J543&gt;0,OR($I543&lt;&gt;$I544,$L543-$L544&gt;25),IF(ABS($I543)&gt;10,$I543/POW(10,$J543),$J543/POW(10,$I543))*MAXIFS(Token!$C:$C,Token!$A:$A,$K543)&gt;0.01),$L543/86400+DATE(1970,1,1)+$G$6,)</f>
        <v/>
      </c>
      <c r="B543" s="27" t="str">
        <f t="shared" si="1"/>
        <v/>
      </c>
      <c r="C543" s="14" t="str">
        <f>IF($A543&lt;&gt;"",MINIFS(Merchant!$A:$A,Merchant!$B:$B,$G$2),)</f>
        <v/>
      </c>
      <c r="D543" s="14" t="str">
        <f t="shared" si="2"/>
        <v/>
      </c>
      <c r="E543" s="14" t="str">
        <f t="shared" si="3"/>
        <v/>
      </c>
      <c r="F543" s="7" t="str">
        <f>IF($A543&lt;&gt;"",MAXIFS(Token!$C:$C,Token!$A:$A,$D543),)</f>
        <v/>
      </c>
    </row>
    <row r="544">
      <c r="A544" s="39" t="str">
        <f>IF(AND($L544*1&gt;=$G$3,$L544*1&lt;=$G$4,$I544*$J544&gt;0,OR($I544&lt;&gt;$I545,$L544-$L545&gt;25),IF(ABS($I544)&gt;10,$I544/POW(10,$J544),$J544/POW(10,$I544))*MAXIFS(Token!$C:$C,Token!$A:$A,$K544)&gt;0.01),$L544/86400+DATE(1970,1,1)+$G$6,)</f>
        <v/>
      </c>
      <c r="B544" s="27" t="str">
        <f t="shared" si="1"/>
        <v/>
      </c>
      <c r="C544" s="14" t="str">
        <f>IF($A544&lt;&gt;"",MINIFS(Merchant!$A:$A,Merchant!$B:$B,$G$2),)</f>
        <v/>
      </c>
      <c r="D544" s="14" t="str">
        <f t="shared" si="2"/>
        <v/>
      </c>
      <c r="E544" s="14" t="str">
        <f t="shared" si="3"/>
        <v/>
      </c>
      <c r="F544" s="7" t="str">
        <f>IF($A544&lt;&gt;"",MAXIFS(Token!$C:$C,Token!$A:$A,$D544),)</f>
        <v/>
      </c>
    </row>
    <row r="545">
      <c r="A545" s="39" t="str">
        <f>IF(AND($L545*1&gt;=$G$3,$L545*1&lt;=$G$4,$I545*$J545&gt;0,OR($I545&lt;&gt;$I546,$L545-$L546&gt;25),IF(ABS($I545)&gt;10,$I545/POW(10,$J545),$J545/POW(10,$I545))*MAXIFS(Token!$C:$C,Token!$A:$A,$K545)&gt;0.01),$L545/86400+DATE(1970,1,1)+$G$6,)</f>
        <v/>
      </c>
      <c r="B545" s="27" t="str">
        <f t="shared" si="1"/>
        <v/>
      </c>
      <c r="C545" s="14" t="str">
        <f>IF($A545&lt;&gt;"",MINIFS(Merchant!$A:$A,Merchant!$B:$B,$G$2),)</f>
        <v/>
      </c>
      <c r="D545" s="14" t="str">
        <f t="shared" si="2"/>
        <v/>
      </c>
      <c r="E545" s="14" t="str">
        <f t="shared" si="3"/>
        <v/>
      </c>
      <c r="F545" s="7" t="str">
        <f>IF($A545&lt;&gt;"",MAXIFS(Token!$C:$C,Token!$A:$A,$D545),)</f>
        <v/>
      </c>
    </row>
    <row r="546">
      <c r="A546" s="39" t="str">
        <f>IF(AND($L546*1&gt;=$G$3,$L546*1&lt;=$G$4,$I546*$J546&gt;0,OR($I546&lt;&gt;$I547,$L546-$L547&gt;25),IF(ABS($I546)&gt;10,$I546/POW(10,$J546),$J546/POW(10,$I546))*MAXIFS(Token!$C:$C,Token!$A:$A,$K546)&gt;0.01),$L546/86400+DATE(1970,1,1)+$G$6,)</f>
        <v/>
      </c>
      <c r="B546" s="27" t="str">
        <f t="shared" si="1"/>
        <v/>
      </c>
      <c r="C546" s="14" t="str">
        <f>IF($A546&lt;&gt;"",MINIFS(Merchant!$A:$A,Merchant!$B:$B,$G$2),)</f>
        <v/>
      </c>
      <c r="D546" s="14" t="str">
        <f t="shared" si="2"/>
        <v/>
      </c>
      <c r="E546" s="14" t="str">
        <f t="shared" si="3"/>
        <v/>
      </c>
      <c r="F546" s="7" t="str">
        <f>IF($A546&lt;&gt;"",MAXIFS(Token!$C:$C,Token!$A:$A,$D546),)</f>
        <v/>
      </c>
    </row>
    <row r="547">
      <c r="A547" s="39" t="str">
        <f>IF(AND($L547*1&gt;=$G$3,$L547*1&lt;=$G$4,$I547*$J547&gt;0,OR($I547&lt;&gt;$I548,$L547-$L548&gt;25),IF(ABS($I547)&gt;10,$I547/POW(10,$J547),$J547/POW(10,$I547))*MAXIFS(Token!$C:$C,Token!$A:$A,$K547)&gt;0.01),$L547/86400+DATE(1970,1,1)+$G$6,)</f>
        <v/>
      </c>
      <c r="B547" s="27" t="str">
        <f t="shared" si="1"/>
        <v/>
      </c>
      <c r="C547" s="14" t="str">
        <f>IF($A547&lt;&gt;"",MINIFS(Merchant!$A:$A,Merchant!$B:$B,$G$2),)</f>
        <v/>
      </c>
      <c r="D547" s="14" t="str">
        <f t="shared" si="2"/>
        <v/>
      </c>
      <c r="E547" s="14" t="str">
        <f t="shared" si="3"/>
        <v/>
      </c>
      <c r="F547" s="7" t="str">
        <f>IF($A547&lt;&gt;"",MAXIFS(Token!$C:$C,Token!$A:$A,$D547),)</f>
        <v/>
      </c>
    </row>
    <row r="548">
      <c r="A548" s="39" t="str">
        <f>IF(AND($L548*1&gt;=$G$3,$L548*1&lt;=$G$4,$I548*$J548&gt;0,OR($I548&lt;&gt;$I549,$L548-$L549&gt;25),IF(ABS($I548)&gt;10,$I548/POW(10,$J548),$J548/POW(10,$I548))*MAXIFS(Token!$C:$C,Token!$A:$A,$K548)&gt;0.01),$L548/86400+DATE(1970,1,1)+$G$6,)</f>
        <v/>
      </c>
      <c r="B548" s="27" t="str">
        <f t="shared" si="1"/>
        <v/>
      </c>
      <c r="C548" s="14" t="str">
        <f>IF($A548&lt;&gt;"",MINIFS(Merchant!$A:$A,Merchant!$B:$B,$G$2),)</f>
        <v/>
      </c>
      <c r="D548" s="14" t="str">
        <f t="shared" si="2"/>
        <v/>
      </c>
      <c r="E548" s="14" t="str">
        <f t="shared" si="3"/>
        <v/>
      </c>
      <c r="F548" s="7" t="str">
        <f>IF($A548&lt;&gt;"",MAXIFS(Token!$C:$C,Token!$A:$A,$D548),)</f>
        <v/>
      </c>
    </row>
    <row r="549">
      <c r="A549" s="39" t="str">
        <f>IF(AND($L549*1&gt;=$G$3,$L549*1&lt;=$G$4,$I549*$J549&gt;0,OR($I549&lt;&gt;$I550,$L549-$L550&gt;25),IF(ABS($I549)&gt;10,$I549/POW(10,$J549),$J549/POW(10,$I549))*MAXIFS(Token!$C:$C,Token!$A:$A,$K549)&gt;0.01),$L549/86400+DATE(1970,1,1)+$G$6,)</f>
        <v/>
      </c>
      <c r="B549" s="27" t="str">
        <f t="shared" si="1"/>
        <v/>
      </c>
      <c r="C549" s="14" t="str">
        <f>IF($A549&lt;&gt;"",MINIFS(Merchant!$A:$A,Merchant!$B:$B,$G$2),)</f>
        <v/>
      </c>
      <c r="D549" s="14" t="str">
        <f t="shared" si="2"/>
        <v/>
      </c>
      <c r="E549" s="14" t="str">
        <f t="shared" si="3"/>
        <v/>
      </c>
      <c r="F549" s="7" t="str">
        <f>IF($A549&lt;&gt;"",MAXIFS(Token!$C:$C,Token!$A:$A,$D549),)</f>
        <v/>
      </c>
    </row>
    <row r="550">
      <c r="A550" s="39" t="str">
        <f>IF(AND($L550*1&gt;=$G$3,$L550*1&lt;=$G$4,$I550*$J550&gt;0,OR($I550&lt;&gt;$I551,$L550-$L551&gt;25),IF(ABS($I550)&gt;10,$I550/POW(10,$J550),$J550/POW(10,$I550))*MAXIFS(Token!$C:$C,Token!$A:$A,$K550)&gt;0.01),$L550/86400+DATE(1970,1,1)+$G$6,)</f>
        <v/>
      </c>
      <c r="B550" s="27" t="str">
        <f t="shared" si="1"/>
        <v/>
      </c>
      <c r="C550" s="14" t="str">
        <f>IF($A550&lt;&gt;"",MINIFS(Merchant!$A:$A,Merchant!$B:$B,$G$2),)</f>
        <v/>
      </c>
      <c r="D550" s="14" t="str">
        <f t="shared" si="2"/>
        <v/>
      </c>
      <c r="E550" s="14" t="str">
        <f t="shared" si="3"/>
        <v/>
      </c>
      <c r="F550" s="7" t="str">
        <f>IF($A550&lt;&gt;"",MAXIFS(Token!$C:$C,Token!$A:$A,$D550),)</f>
        <v/>
      </c>
    </row>
    <row r="551">
      <c r="A551" s="39" t="str">
        <f>IF(AND($L551*1&gt;=$G$3,$L551*1&lt;=$G$4,$I551*$J551&gt;0,OR($I551&lt;&gt;$I552,$L551-$L552&gt;25),IF(ABS($I551)&gt;10,$I551/POW(10,$J551),$J551/POW(10,$I551))*MAXIFS(Token!$C:$C,Token!$A:$A,$K551)&gt;0.01),$L551/86400+DATE(1970,1,1)+$G$6,)</f>
        <v/>
      </c>
      <c r="B551" s="27" t="str">
        <f t="shared" si="1"/>
        <v/>
      </c>
      <c r="C551" s="14" t="str">
        <f>IF($A551&lt;&gt;"",MINIFS(Merchant!$A:$A,Merchant!$B:$B,$G$2),)</f>
        <v/>
      </c>
      <c r="D551" s="14" t="str">
        <f t="shared" si="2"/>
        <v/>
      </c>
      <c r="E551" s="14" t="str">
        <f t="shared" si="3"/>
        <v/>
      </c>
      <c r="F551" s="7" t="str">
        <f>IF($A551&lt;&gt;"",MAXIFS(Token!$C:$C,Token!$A:$A,$D551),)</f>
        <v/>
      </c>
    </row>
    <row r="552">
      <c r="A552" s="39" t="str">
        <f>IF(AND($L552*1&gt;=$G$3,$L552*1&lt;=$G$4,$I552*$J552&gt;0,OR($I552&lt;&gt;$I553,$L552-$L553&gt;25),IF(ABS($I552)&gt;10,$I552/POW(10,$J552),$J552/POW(10,$I552))*MAXIFS(Token!$C:$C,Token!$A:$A,$K552)&gt;0.01),$L552/86400+DATE(1970,1,1)+$G$6,)</f>
        <v/>
      </c>
      <c r="B552" s="27" t="str">
        <f t="shared" si="1"/>
        <v/>
      </c>
      <c r="C552" s="14" t="str">
        <f>IF($A552&lt;&gt;"",MINIFS(Merchant!$A:$A,Merchant!$B:$B,$G$2),)</f>
        <v/>
      </c>
      <c r="D552" s="14" t="str">
        <f t="shared" si="2"/>
        <v/>
      </c>
      <c r="E552" s="14" t="str">
        <f t="shared" si="3"/>
        <v/>
      </c>
      <c r="F552" s="7" t="str">
        <f>IF($A552&lt;&gt;"",MAXIFS(Token!$C:$C,Token!$A:$A,$D552),)</f>
        <v/>
      </c>
    </row>
    <row r="553">
      <c r="A553" s="39" t="str">
        <f>IF(AND($L553*1&gt;=$G$3,$L553*1&lt;=$G$4,$I553*$J553&gt;0,OR($I553&lt;&gt;$I554,$L553-$L554&gt;25),IF(ABS($I553)&gt;10,$I553/POW(10,$J553),$J553/POW(10,$I553))*MAXIFS(Token!$C:$C,Token!$A:$A,$K553)&gt;0.01),$L553/86400+DATE(1970,1,1)+$G$6,)</f>
        <v/>
      </c>
      <c r="B553" s="27" t="str">
        <f t="shared" si="1"/>
        <v/>
      </c>
      <c r="C553" s="14" t="str">
        <f>IF($A553&lt;&gt;"",MINIFS(Merchant!$A:$A,Merchant!$B:$B,$G$2),)</f>
        <v/>
      </c>
      <c r="D553" s="14" t="str">
        <f t="shared" si="2"/>
        <v/>
      </c>
      <c r="E553" s="14" t="str">
        <f t="shared" si="3"/>
        <v/>
      </c>
      <c r="F553" s="7" t="str">
        <f>IF($A553&lt;&gt;"",MAXIFS(Token!$C:$C,Token!$A:$A,$D553),)</f>
        <v/>
      </c>
    </row>
    <row r="554">
      <c r="A554" s="39" t="str">
        <f>IF(AND($L554*1&gt;=$G$3,$L554*1&lt;=$G$4,$I554*$J554&gt;0,OR($I554&lt;&gt;$I555,$L554-$L555&gt;25),IF(ABS($I554)&gt;10,$I554/POW(10,$J554),$J554/POW(10,$I554))*MAXIFS(Token!$C:$C,Token!$A:$A,$K554)&gt;0.01),$L554/86400+DATE(1970,1,1)+$G$6,)</f>
        <v/>
      </c>
      <c r="B554" s="27" t="str">
        <f t="shared" si="1"/>
        <v/>
      </c>
      <c r="C554" s="14" t="str">
        <f>IF($A554&lt;&gt;"",MINIFS(Merchant!$A:$A,Merchant!$B:$B,$G$2),)</f>
        <v/>
      </c>
      <c r="D554" s="14" t="str">
        <f t="shared" si="2"/>
        <v/>
      </c>
      <c r="E554" s="14" t="str">
        <f t="shared" si="3"/>
        <v/>
      </c>
      <c r="F554" s="7" t="str">
        <f>IF($A554&lt;&gt;"",MAXIFS(Token!$C:$C,Token!$A:$A,$D554),)</f>
        <v/>
      </c>
    </row>
    <row r="555">
      <c r="A555" s="39" t="str">
        <f>IF(AND($L555*1&gt;=$G$3,$L555*1&lt;=$G$4,$I555*$J555&gt;0,OR($I555&lt;&gt;$I556,$L555-$L556&gt;25),IF(ABS($I555)&gt;10,$I555/POW(10,$J555),$J555/POW(10,$I555))*MAXIFS(Token!$C:$C,Token!$A:$A,$K555)&gt;0.01),$L555/86400+DATE(1970,1,1)+$G$6,)</f>
        <v/>
      </c>
      <c r="B555" s="27" t="str">
        <f t="shared" si="1"/>
        <v/>
      </c>
      <c r="C555" s="14" t="str">
        <f>IF($A555&lt;&gt;"",MINIFS(Merchant!$A:$A,Merchant!$B:$B,$G$2),)</f>
        <v/>
      </c>
      <c r="D555" s="14" t="str">
        <f t="shared" si="2"/>
        <v/>
      </c>
      <c r="E555" s="14" t="str">
        <f t="shared" si="3"/>
        <v/>
      </c>
      <c r="F555" s="7" t="str">
        <f>IF($A555&lt;&gt;"",MAXIFS(Token!$C:$C,Token!$A:$A,$D555),)</f>
        <v/>
      </c>
    </row>
    <row r="556">
      <c r="A556" s="39" t="str">
        <f>IF(AND($L556*1&gt;=$G$3,$L556*1&lt;=$G$4,$I556*$J556&gt;0,OR($I556&lt;&gt;$I557,$L556-$L557&gt;25),IF(ABS($I556)&gt;10,$I556/POW(10,$J556),$J556/POW(10,$I556))*MAXIFS(Token!$C:$C,Token!$A:$A,$K556)&gt;0.01),$L556/86400+DATE(1970,1,1)+$G$6,)</f>
        <v/>
      </c>
      <c r="B556" s="27" t="str">
        <f t="shared" si="1"/>
        <v/>
      </c>
      <c r="C556" s="14" t="str">
        <f>IF($A556&lt;&gt;"",MINIFS(Merchant!$A:$A,Merchant!$B:$B,$G$2),)</f>
        <v/>
      </c>
      <c r="D556" s="14" t="str">
        <f t="shared" si="2"/>
        <v/>
      </c>
      <c r="E556" s="14" t="str">
        <f t="shared" si="3"/>
        <v/>
      </c>
      <c r="F556" s="7" t="str">
        <f>IF($A556&lt;&gt;"",MAXIFS(Token!$C:$C,Token!$A:$A,$D556),)</f>
        <v/>
      </c>
    </row>
    <row r="557">
      <c r="A557" s="39" t="str">
        <f>IF(AND($L557*1&gt;=$G$3,$L557*1&lt;=$G$4,$I557*$J557&gt;0,OR($I557&lt;&gt;$I558,$L557-$L558&gt;25),IF(ABS($I557)&gt;10,$I557/POW(10,$J557),$J557/POW(10,$I557))*MAXIFS(Token!$C:$C,Token!$A:$A,$K557)&gt;0.01),$L557/86400+DATE(1970,1,1)+$G$6,)</f>
        <v/>
      </c>
      <c r="B557" s="27" t="str">
        <f t="shared" si="1"/>
        <v/>
      </c>
      <c r="C557" s="14" t="str">
        <f>IF($A557&lt;&gt;"",MINIFS(Merchant!$A:$A,Merchant!$B:$B,$G$2),)</f>
        <v/>
      </c>
      <c r="D557" s="14" t="str">
        <f t="shared" si="2"/>
        <v/>
      </c>
      <c r="E557" s="14" t="str">
        <f t="shared" si="3"/>
        <v/>
      </c>
      <c r="F557" s="7" t="str">
        <f>IF($A557&lt;&gt;"",MAXIFS(Token!$C:$C,Token!$A:$A,$D557),)</f>
        <v/>
      </c>
    </row>
    <row r="558">
      <c r="A558" s="39" t="str">
        <f>IF(AND($L558*1&gt;=$G$3,$L558*1&lt;=$G$4,$I558*$J558&gt;0,OR($I558&lt;&gt;$I559,$L558-$L559&gt;25),IF(ABS($I558)&gt;10,$I558/POW(10,$J558),$J558/POW(10,$I558))*MAXIFS(Token!$C:$C,Token!$A:$A,$K558)&gt;0.01),$L558/86400+DATE(1970,1,1)+$G$6,)</f>
        <v/>
      </c>
      <c r="B558" s="27" t="str">
        <f t="shared" si="1"/>
        <v/>
      </c>
      <c r="C558" s="14" t="str">
        <f>IF($A558&lt;&gt;"",MINIFS(Merchant!$A:$A,Merchant!$B:$B,$G$2),)</f>
        <v/>
      </c>
      <c r="D558" s="14" t="str">
        <f t="shared" si="2"/>
        <v/>
      </c>
      <c r="E558" s="14" t="str">
        <f t="shared" si="3"/>
        <v/>
      </c>
      <c r="F558" s="7" t="str">
        <f>IF($A558&lt;&gt;"",MAXIFS(Token!$C:$C,Token!$A:$A,$D558),)</f>
        <v/>
      </c>
    </row>
    <row r="559">
      <c r="A559" s="39" t="str">
        <f>IF(AND($L559*1&gt;=$G$3,$L559*1&lt;=$G$4,$I559*$J559&gt;0,OR($I559&lt;&gt;$I560,$L559-$L560&gt;25),IF(ABS($I559)&gt;10,$I559/POW(10,$J559),$J559/POW(10,$I559))*MAXIFS(Token!$C:$C,Token!$A:$A,$K559)&gt;0.01),$L559/86400+DATE(1970,1,1)+$G$6,)</f>
        <v/>
      </c>
      <c r="B559" s="27" t="str">
        <f t="shared" si="1"/>
        <v/>
      </c>
      <c r="C559" s="14" t="str">
        <f>IF($A559&lt;&gt;"",MINIFS(Merchant!$A:$A,Merchant!$B:$B,$G$2),)</f>
        <v/>
      </c>
      <c r="D559" s="14" t="str">
        <f t="shared" si="2"/>
        <v/>
      </c>
      <c r="E559" s="14" t="str">
        <f t="shared" si="3"/>
        <v/>
      </c>
      <c r="F559" s="7" t="str">
        <f>IF($A559&lt;&gt;"",MAXIFS(Token!$C:$C,Token!$A:$A,$D559),)</f>
        <v/>
      </c>
    </row>
    <row r="560">
      <c r="A560" s="39" t="str">
        <f>IF(AND($L560*1&gt;=$G$3,$L560*1&lt;=$G$4,$I560*$J560&gt;0,OR($I560&lt;&gt;$I561,$L560-$L561&gt;25),IF(ABS($I560)&gt;10,$I560/POW(10,$J560),$J560/POW(10,$I560))*MAXIFS(Token!$C:$C,Token!$A:$A,$K560)&gt;0.01),$L560/86400+DATE(1970,1,1)+$G$6,)</f>
        <v/>
      </c>
      <c r="B560" s="27" t="str">
        <f t="shared" si="1"/>
        <v/>
      </c>
      <c r="C560" s="14" t="str">
        <f>IF($A560&lt;&gt;"",MINIFS(Merchant!$A:$A,Merchant!$B:$B,$G$2),)</f>
        <v/>
      </c>
      <c r="D560" s="14" t="str">
        <f t="shared" si="2"/>
        <v/>
      </c>
      <c r="E560" s="14" t="str">
        <f t="shared" si="3"/>
        <v/>
      </c>
      <c r="F560" s="7" t="str">
        <f>IF($A560&lt;&gt;"",MAXIFS(Token!$C:$C,Token!$A:$A,$D560),)</f>
        <v/>
      </c>
    </row>
    <row r="561">
      <c r="A561" s="39" t="str">
        <f>IF(AND($L561*1&gt;=$G$3,$L561*1&lt;=$G$4,$I561*$J561&gt;0,OR($I561&lt;&gt;$I562,$L561-$L562&gt;25),IF(ABS($I561)&gt;10,$I561/POW(10,$J561),$J561/POW(10,$I561))*MAXIFS(Token!$C:$C,Token!$A:$A,$K561)&gt;0.01),$L561/86400+DATE(1970,1,1)+$G$6,)</f>
        <v/>
      </c>
      <c r="B561" s="27" t="str">
        <f t="shared" si="1"/>
        <v/>
      </c>
      <c r="C561" s="14" t="str">
        <f>IF($A561&lt;&gt;"",MINIFS(Merchant!$A:$A,Merchant!$B:$B,$G$2),)</f>
        <v/>
      </c>
      <c r="D561" s="14" t="str">
        <f t="shared" si="2"/>
        <v/>
      </c>
      <c r="E561" s="14" t="str">
        <f t="shared" si="3"/>
        <v/>
      </c>
      <c r="F561" s="7" t="str">
        <f>IF($A561&lt;&gt;"",MAXIFS(Token!$C:$C,Token!$A:$A,$D561),)</f>
        <v/>
      </c>
    </row>
    <row r="562">
      <c r="A562" s="39" t="str">
        <f>IF(AND($L562*1&gt;=$G$3,$L562*1&lt;=$G$4,$I562*$J562&gt;0,OR($I562&lt;&gt;$I563,$L562-$L563&gt;25),IF(ABS($I562)&gt;10,$I562/POW(10,$J562),$J562/POW(10,$I562))*MAXIFS(Token!$C:$C,Token!$A:$A,$K562)&gt;0.01),$L562/86400+DATE(1970,1,1)+$G$6,)</f>
        <v/>
      </c>
      <c r="B562" s="27" t="str">
        <f t="shared" si="1"/>
        <v/>
      </c>
      <c r="C562" s="14" t="str">
        <f>IF($A562&lt;&gt;"",MINIFS(Merchant!$A:$A,Merchant!$B:$B,$G$2),)</f>
        <v/>
      </c>
      <c r="D562" s="14" t="str">
        <f t="shared" si="2"/>
        <v/>
      </c>
      <c r="E562" s="14" t="str">
        <f t="shared" si="3"/>
        <v/>
      </c>
      <c r="F562" s="7" t="str">
        <f>IF($A562&lt;&gt;"",MAXIFS(Token!$C:$C,Token!$A:$A,$D562),)</f>
        <v/>
      </c>
    </row>
    <row r="563">
      <c r="A563" s="39" t="str">
        <f>IF(AND($L563*1&gt;=$G$3,$L563*1&lt;=$G$4,$I563*$J563&gt;0,OR($I563&lt;&gt;$I564,$L563-$L564&gt;25),IF(ABS($I563)&gt;10,$I563/POW(10,$J563),$J563/POW(10,$I563))*MAXIFS(Token!$C:$C,Token!$A:$A,$K563)&gt;0.01),$L563/86400+DATE(1970,1,1)+$G$6,)</f>
        <v/>
      </c>
      <c r="B563" s="27" t="str">
        <f t="shared" si="1"/>
        <v/>
      </c>
      <c r="C563" s="14" t="str">
        <f>IF($A563&lt;&gt;"",MINIFS(Merchant!$A:$A,Merchant!$B:$B,$G$2),)</f>
        <v/>
      </c>
      <c r="D563" s="14" t="str">
        <f t="shared" si="2"/>
        <v/>
      </c>
      <c r="E563" s="14" t="str">
        <f t="shared" si="3"/>
        <v/>
      </c>
      <c r="F563" s="7" t="str">
        <f>IF($A563&lt;&gt;"",MAXIFS(Token!$C:$C,Token!$A:$A,$D563),)</f>
        <v/>
      </c>
    </row>
    <row r="564">
      <c r="A564" s="39" t="str">
        <f>IF(AND($L564*1&gt;=$G$3,$L564*1&lt;=$G$4,$I564*$J564&gt;0,OR($I564&lt;&gt;$I565,$L564-$L565&gt;25),IF(ABS($I564)&gt;10,$I564/POW(10,$J564),$J564/POW(10,$I564))*MAXIFS(Token!$C:$C,Token!$A:$A,$K564)&gt;0.01),$L564/86400+DATE(1970,1,1)+$G$6,)</f>
        <v/>
      </c>
      <c r="B564" s="27" t="str">
        <f t="shared" si="1"/>
        <v/>
      </c>
      <c r="C564" s="14" t="str">
        <f>IF($A564&lt;&gt;"",MINIFS(Merchant!$A:$A,Merchant!$B:$B,$G$2),)</f>
        <v/>
      </c>
      <c r="D564" s="14" t="str">
        <f t="shared" si="2"/>
        <v/>
      </c>
      <c r="E564" s="14" t="str">
        <f t="shared" si="3"/>
        <v/>
      </c>
      <c r="F564" s="7" t="str">
        <f>IF($A564&lt;&gt;"",MAXIFS(Token!$C:$C,Token!$A:$A,$D564),)</f>
        <v/>
      </c>
    </row>
    <row r="565">
      <c r="A565" s="39" t="str">
        <f>IF(AND($L565*1&gt;=$G$3,$L565*1&lt;=$G$4,$I565*$J565&gt;0,OR($I565&lt;&gt;$I566,$L565-$L566&gt;25),IF(ABS($I565)&gt;10,$I565/POW(10,$J565),$J565/POW(10,$I565))*MAXIFS(Token!$C:$C,Token!$A:$A,$K565)&gt;0.01),$L565/86400+DATE(1970,1,1)+$G$6,)</f>
        <v/>
      </c>
      <c r="B565" s="27" t="str">
        <f t="shared" si="1"/>
        <v/>
      </c>
      <c r="C565" s="14" t="str">
        <f>IF($A565&lt;&gt;"",MINIFS(Merchant!$A:$A,Merchant!$B:$B,$G$2),)</f>
        <v/>
      </c>
      <c r="D565" s="14" t="str">
        <f t="shared" si="2"/>
        <v/>
      </c>
      <c r="E565" s="14" t="str">
        <f t="shared" si="3"/>
        <v/>
      </c>
      <c r="F565" s="7" t="str">
        <f>IF($A565&lt;&gt;"",MAXIFS(Token!$C:$C,Token!$A:$A,$D565),)</f>
        <v/>
      </c>
    </row>
    <row r="566">
      <c r="A566" s="39" t="str">
        <f>IF(AND($L566*1&gt;=$G$3,$L566*1&lt;=$G$4,$I566*$J566&gt;0,OR($I566&lt;&gt;$I567,$L566-$L567&gt;25),IF(ABS($I566)&gt;10,$I566/POW(10,$J566),$J566/POW(10,$I566))*MAXIFS(Token!$C:$C,Token!$A:$A,$K566)&gt;0.01),$L566/86400+DATE(1970,1,1)+$G$6,)</f>
        <v/>
      </c>
      <c r="B566" s="27" t="str">
        <f t="shared" si="1"/>
        <v/>
      </c>
      <c r="C566" s="14" t="str">
        <f>IF($A566&lt;&gt;"",MINIFS(Merchant!$A:$A,Merchant!$B:$B,$G$2),)</f>
        <v/>
      </c>
      <c r="D566" s="14" t="str">
        <f t="shared" si="2"/>
        <v/>
      </c>
      <c r="E566" s="14" t="str">
        <f t="shared" si="3"/>
        <v/>
      </c>
      <c r="F566" s="7" t="str">
        <f>IF($A566&lt;&gt;"",MAXIFS(Token!$C:$C,Token!$A:$A,$D566),)</f>
        <v/>
      </c>
    </row>
    <row r="567">
      <c r="A567" s="39" t="str">
        <f>IF(AND($L567*1&gt;=$G$3,$L567*1&lt;=$G$4,$I567*$J567&gt;0,OR($I567&lt;&gt;$I568,$L567-$L568&gt;25),IF(ABS($I567)&gt;10,$I567/POW(10,$J567),$J567/POW(10,$I567))*MAXIFS(Token!$C:$C,Token!$A:$A,$K567)&gt;0.01),$L567/86400+DATE(1970,1,1)+$G$6,)</f>
        <v/>
      </c>
      <c r="B567" s="27" t="str">
        <f t="shared" si="1"/>
        <v/>
      </c>
      <c r="C567" s="14" t="str">
        <f>IF($A567&lt;&gt;"",MINIFS(Merchant!$A:$A,Merchant!$B:$B,$G$2),)</f>
        <v/>
      </c>
      <c r="D567" s="14" t="str">
        <f t="shared" si="2"/>
        <v/>
      </c>
      <c r="E567" s="14" t="str">
        <f t="shared" si="3"/>
        <v/>
      </c>
      <c r="F567" s="7" t="str">
        <f>IF($A567&lt;&gt;"",MAXIFS(Token!$C:$C,Token!$A:$A,$D567),)</f>
        <v/>
      </c>
    </row>
    <row r="568">
      <c r="A568" s="39" t="str">
        <f>IF(AND($L568*1&gt;=$G$3,$L568*1&lt;=$G$4,$I568*$J568&gt;0,OR($I568&lt;&gt;$I569,$L568-$L569&gt;25),IF(ABS($I568)&gt;10,$I568/POW(10,$J568),$J568/POW(10,$I568))*MAXIFS(Token!$C:$C,Token!$A:$A,$K568)&gt;0.01),$L568/86400+DATE(1970,1,1)+$G$6,)</f>
        <v/>
      </c>
      <c r="B568" s="27" t="str">
        <f t="shared" si="1"/>
        <v/>
      </c>
      <c r="C568" s="14" t="str">
        <f>IF($A568&lt;&gt;"",MINIFS(Merchant!$A:$A,Merchant!$B:$B,$G$2),)</f>
        <v/>
      </c>
      <c r="D568" s="14" t="str">
        <f t="shared" si="2"/>
        <v/>
      </c>
      <c r="E568" s="14" t="str">
        <f t="shared" si="3"/>
        <v/>
      </c>
      <c r="F568" s="7" t="str">
        <f>IF($A568&lt;&gt;"",MAXIFS(Token!$C:$C,Token!$A:$A,$D568),)</f>
        <v/>
      </c>
    </row>
    <row r="569">
      <c r="A569" s="39" t="str">
        <f>IF(AND($L569*1&gt;=$G$3,$L569*1&lt;=$G$4,$I569*$J569&gt;0,OR($I569&lt;&gt;$I570,$L569-$L570&gt;25),IF(ABS($I569)&gt;10,$I569/POW(10,$J569),$J569/POW(10,$I569))*MAXIFS(Token!$C:$C,Token!$A:$A,$K569)&gt;0.01),$L569/86400+DATE(1970,1,1)+$G$6,)</f>
        <v/>
      </c>
      <c r="B569" s="27" t="str">
        <f t="shared" si="1"/>
        <v/>
      </c>
      <c r="C569" s="14" t="str">
        <f>IF($A569&lt;&gt;"",MINIFS(Merchant!$A:$A,Merchant!$B:$B,$G$2),)</f>
        <v/>
      </c>
      <c r="D569" s="14" t="str">
        <f t="shared" si="2"/>
        <v/>
      </c>
      <c r="E569" s="14" t="str">
        <f t="shared" si="3"/>
        <v/>
      </c>
      <c r="F569" s="7" t="str">
        <f>IF($A569&lt;&gt;"",MAXIFS(Token!$C:$C,Token!$A:$A,$D569),)</f>
        <v/>
      </c>
    </row>
    <row r="570">
      <c r="A570" s="39" t="str">
        <f>IF(AND($L570*1&gt;=$G$3,$L570*1&lt;=$G$4,$I570*$J570&gt;0,OR($I570&lt;&gt;$I571,$L570-$L571&gt;25),IF(ABS($I570)&gt;10,$I570/POW(10,$J570),$J570/POW(10,$I570))*MAXIFS(Token!$C:$C,Token!$A:$A,$K570)&gt;0.01),$L570/86400+DATE(1970,1,1)+$G$6,)</f>
        <v/>
      </c>
      <c r="B570" s="27" t="str">
        <f t="shared" si="1"/>
        <v/>
      </c>
      <c r="C570" s="14" t="str">
        <f>IF($A570&lt;&gt;"",MINIFS(Merchant!$A:$A,Merchant!$B:$B,$G$2),)</f>
        <v/>
      </c>
      <c r="D570" s="14" t="str">
        <f t="shared" si="2"/>
        <v/>
      </c>
      <c r="E570" s="14" t="str">
        <f t="shared" si="3"/>
        <v/>
      </c>
      <c r="F570" s="7" t="str">
        <f>IF($A570&lt;&gt;"",MAXIFS(Token!$C:$C,Token!$A:$A,$D570),)</f>
        <v/>
      </c>
    </row>
    <row r="571">
      <c r="A571" s="39" t="str">
        <f>IF(AND($L571*1&gt;=$G$3,$L571*1&lt;=$G$4,$I571*$J571&gt;0,OR($I571&lt;&gt;$I572,$L571-$L572&gt;25),IF(ABS($I571)&gt;10,$I571/POW(10,$J571),$J571/POW(10,$I571))*MAXIFS(Token!$C:$C,Token!$A:$A,$K571)&gt;0.01),$L571/86400+DATE(1970,1,1)+$G$6,)</f>
        <v/>
      </c>
      <c r="B571" s="27" t="str">
        <f t="shared" si="1"/>
        <v/>
      </c>
      <c r="C571" s="14" t="str">
        <f>IF($A571&lt;&gt;"",MINIFS(Merchant!$A:$A,Merchant!$B:$B,$G$2),)</f>
        <v/>
      </c>
      <c r="D571" s="14" t="str">
        <f t="shared" si="2"/>
        <v/>
      </c>
      <c r="E571" s="14" t="str">
        <f t="shared" si="3"/>
        <v/>
      </c>
      <c r="F571" s="7" t="str">
        <f>IF($A571&lt;&gt;"",MAXIFS(Token!$C:$C,Token!$A:$A,$D571),)</f>
        <v/>
      </c>
    </row>
    <row r="572">
      <c r="A572" s="39" t="str">
        <f>IF(AND($L572*1&gt;=$G$3,$L572*1&lt;=$G$4,$I572*$J572&gt;0,OR($I572&lt;&gt;$I573,$L572-$L573&gt;25),IF(ABS($I572)&gt;10,$I572/POW(10,$J572),$J572/POW(10,$I572))*MAXIFS(Token!$C:$C,Token!$A:$A,$K572)&gt;0.01),$L572/86400+DATE(1970,1,1)+$G$6,)</f>
        <v/>
      </c>
      <c r="B572" s="27" t="str">
        <f t="shared" si="1"/>
        <v/>
      </c>
      <c r="C572" s="14" t="str">
        <f>IF($A572&lt;&gt;"",MINIFS(Merchant!$A:$A,Merchant!$B:$B,$G$2),)</f>
        <v/>
      </c>
      <c r="D572" s="14" t="str">
        <f t="shared" si="2"/>
        <v/>
      </c>
      <c r="E572" s="14" t="str">
        <f t="shared" si="3"/>
        <v/>
      </c>
      <c r="F572" s="7" t="str">
        <f>IF($A572&lt;&gt;"",MAXIFS(Token!$C:$C,Token!$A:$A,$D572),)</f>
        <v/>
      </c>
    </row>
    <row r="573">
      <c r="A573" s="39" t="str">
        <f>IF(AND($L573*1&gt;=$G$3,$L573*1&lt;=$G$4,$I573*$J573&gt;0,OR($I573&lt;&gt;$I574,$L573-$L574&gt;25),IF(ABS($I573)&gt;10,$I573/POW(10,$J573),$J573/POW(10,$I573))*MAXIFS(Token!$C:$C,Token!$A:$A,$K573)&gt;0.01),$L573/86400+DATE(1970,1,1)+$G$6,)</f>
        <v/>
      </c>
      <c r="B573" s="27" t="str">
        <f t="shared" si="1"/>
        <v/>
      </c>
      <c r="C573" s="14" t="str">
        <f>IF($A573&lt;&gt;"",MINIFS(Merchant!$A:$A,Merchant!$B:$B,$G$2),)</f>
        <v/>
      </c>
      <c r="D573" s="14" t="str">
        <f t="shared" si="2"/>
        <v/>
      </c>
      <c r="E573" s="14" t="str">
        <f t="shared" si="3"/>
        <v/>
      </c>
      <c r="F573" s="7" t="str">
        <f>IF($A573&lt;&gt;"",MAXIFS(Token!$C:$C,Token!$A:$A,$D573),)</f>
        <v/>
      </c>
    </row>
    <row r="574">
      <c r="A574" s="39" t="str">
        <f>IF(AND($L574*1&gt;=$G$3,$L574*1&lt;=$G$4,$I574*$J574&gt;0,OR($I574&lt;&gt;$I575,$L574-$L575&gt;25),IF(ABS($I574)&gt;10,$I574/POW(10,$J574),$J574/POW(10,$I574))*MAXIFS(Token!$C:$C,Token!$A:$A,$K574)&gt;0.01),$L574/86400+DATE(1970,1,1)+$G$6,)</f>
        <v/>
      </c>
      <c r="B574" s="27" t="str">
        <f t="shared" si="1"/>
        <v/>
      </c>
      <c r="C574" s="14" t="str">
        <f>IF($A574&lt;&gt;"",MINIFS(Merchant!$A:$A,Merchant!$B:$B,$G$2),)</f>
        <v/>
      </c>
      <c r="D574" s="14" t="str">
        <f t="shared" si="2"/>
        <v/>
      </c>
      <c r="E574" s="14" t="str">
        <f t="shared" si="3"/>
        <v/>
      </c>
      <c r="F574" s="7" t="str">
        <f>IF($A574&lt;&gt;"",MAXIFS(Token!$C:$C,Token!$A:$A,$D574),)</f>
        <v/>
      </c>
    </row>
    <row r="575">
      <c r="A575" s="39" t="str">
        <f>IF(AND($L575*1&gt;=$G$3,$L575*1&lt;=$G$4,$I575*$J575&gt;0,OR($I575&lt;&gt;$I576,$L575-$L576&gt;25),IF(ABS($I575)&gt;10,$I575/POW(10,$J575),$J575/POW(10,$I575))*MAXIFS(Token!$C:$C,Token!$A:$A,$K575)&gt;0.01),$L575/86400+DATE(1970,1,1)+$G$6,)</f>
        <v/>
      </c>
      <c r="B575" s="27" t="str">
        <f t="shared" si="1"/>
        <v/>
      </c>
      <c r="C575" s="14" t="str">
        <f>IF($A575&lt;&gt;"",MINIFS(Merchant!$A:$A,Merchant!$B:$B,$G$2),)</f>
        <v/>
      </c>
      <c r="D575" s="14" t="str">
        <f t="shared" si="2"/>
        <v/>
      </c>
      <c r="E575" s="14" t="str">
        <f t="shared" si="3"/>
        <v/>
      </c>
      <c r="F575" s="7" t="str">
        <f>IF($A575&lt;&gt;"",MAXIFS(Token!$C:$C,Token!$A:$A,$D575),)</f>
        <v/>
      </c>
    </row>
    <row r="576">
      <c r="A576" s="39" t="str">
        <f>IF(AND($L576*1&gt;=$G$3,$L576*1&lt;=$G$4,$I576*$J576&gt;0,OR($I576&lt;&gt;$I577,$L576-$L577&gt;25),IF(ABS($I576)&gt;10,$I576/POW(10,$J576),$J576/POW(10,$I576))*MAXIFS(Token!$C:$C,Token!$A:$A,$K576)&gt;0.01),$L576/86400+DATE(1970,1,1)+$G$6,)</f>
        <v/>
      </c>
      <c r="B576" s="27" t="str">
        <f t="shared" si="1"/>
        <v/>
      </c>
      <c r="C576" s="14" t="str">
        <f>IF($A576&lt;&gt;"",MINIFS(Merchant!$A:$A,Merchant!$B:$B,$G$2),)</f>
        <v/>
      </c>
      <c r="D576" s="14" t="str">
        <f t="shared" si="2"/>
        <v/>
      </c>
      <c r="E576" s="14" t="str">
        <f t="shared" si="3"/>
        <v/>
      </c>
      <c r="F576" s="7" t="str">
        <f>IF($A576&lt;&gt;"",MAXIFS(Token!$C:$C,Token!$A:$A,$D576),)</f>
        <v/>
      </c>
    </row>
    <row r="577">
      <c r="A577" s="39" t="str">
        <f>IF(AND($L577*1&gt;=$G$3,$L577*1&lt;=$G$4,$I577*$J577&gt;0,OR($I577&lt;&gt;$I578,$L577-$L578&gt;25),IF(ABS($I577)&gt;10,$I577/POW(10,$J577),$J577/POW(10,$I577))*MAXIFS(Token!$C:$C,Token!$A:$A,$K577)&gt;0.01),$L577/86400+DATE(1970,1,1)+$G$6,)</f>
        <v/>
      </c>
      <c r="B577" s="27" t="str">
        <f t="shared" si="1"/>
        <v/>
      </c>
      <c r="C577" s="14" t="str">
        <f>IF($A577&lt;&gt;"",MINIFS(Merchant!$A:$A,Merchant!$B:$B,$G$2),)</f>
        <v/>
      </c>
      <c r="D577" s="14" t="str">
        <f t="shared" si="2"/>
        <v/>
      </c>
      <c r="E577" s="14" t="str">
        <f t="shared" si="3"/>
        <v/>
      </c>
      <c r="F577" s="7" t="str">
        <f>IF($A577&lt;&gt;"",MAXIFS(Token!$C:$C,Token!$A:$A,$D577),)</f>
        <v/>
      </c>
    </row>
    <row r="578">
      <c r="A578" s="39" t="str">
        <f>IF(AND($L578*1&gt;=$G$3,$L578*1&lt;=$G$4,$I578*$J578&gt;0,OR($I578&lt;&gt;$I579,$L578-$L579&gt;25),IF(ABS($I578)&gt;10,$I578/POW(10,$J578),$J578/POW(10,$I578))*MAXIFS(Token!$C:$C,Token!$A:$A,$K578)&gt;0.01),$L578/86400+DATE(1970,1,1)+$G$6,)</f>
        <v/>
      </c>
      <c r="B578" s="27" t="str">
        <f t="shared" si="1"/>
        <v/>
      </c>
      <c r="C578" s="14" t="str">
        <f>IF($A578&lt;&gt;"",MINIFS(Merchant!$A:$A,Merchant!$B:$B,$G$2),)</f>
        <v/>
      </c>
      <c r="D578" s="14" t="str">
        <f t="shared" si="2"/>
        <v/>
      </c>
      <c r="E578" s="14" t="str">
        <f t="shared" si="3"/>
        <v/>
      </c>
      <c r="F578" s="7" t="str">
        <f>IF($A578&lt;&gt;"",MAXIFS(Token!$C:$C,Token!$A:$A,$D578),)</f>
        <v/>
      </c>
    </row>
    <row r="579">
      <c r="A579" s="39" t="str">
        <f>IF(AND($L579*1&gt;=$G$3,$L579*1&lt;=$G$4,$I579*$J579&gt;0,OR($I579&lt;&gt;$I580,$L579-$L580&gt;25),IF(ABS($I579)&gt;10,$I579/POW(10,$J579),$J579/POW(10,$I579))*MAXIFS(Token!$C:$C,Token!$A:$A,$K579)&gt;0.01),$L579/86400+DATE(1970,1,1)+$G$6,)</f>
        <v/>
      </c>
      <c r="B579" s="27" t="str">
        <f t="shared" si="1"/>
        <v/>
      </c>
      <c r="C579" s="14" t="str">
        <f>IF($A579&lt;&gt;"",MINIFS(Merchant!$A:$A,Merchant!$B:$B,$G$2),)</f>
        <v/>
      </c>
      <c r="D579" s="14" t="str">
        <f t="shared" si="2"/>
        <v/>
      </c>
      <c r="E579" s="14" t="str">
        <f t="shared" si="3"/>
        <v/>
      </c>
      <c r="F579" s="7" t="str">
        <f>IF($A579&lt;&gt;"",MAXIFS(Token!$C:$C,Token!$A:$A,$D579),)</f>
        <v/>
      </c>
    </row>
    <row r="580">
      <c r="A580" s="39" t="str">
        <f>IF(AND($L580*1&gt;=$G$3,$L580*1&lt;=$G$4,$I580*$J580&gt;0,OR($I580&lt;&gt;$I581,$L580-$L581&gt;25),IF(ABS($I580)&gt;10,$I580/POW(10,$J580),$J580/POW(10,$I580))*MAXIFS(Token!$C:$C,Token!$A:$A,$K580)&gt;0.01),$L580/86400+DATE(1970,1,1)+$G$6,)</f>
        <v/>
      </c>
      <c r="B580" s="27" t="str">
        <f t="shared" si="1"/>
        <v/>
      </c>
      <c r="C580" s="14" t="str">
        <f>IF($A580&lt;&gt;"",MINIFS(Merchant!$A:$A,Merchant!$B:$B,$G$2),)</f>
        <v/>
      </c>
      <c r="D580" s="14" t="str">
        <f t="shared" si="2"/>
        <v/>
      </c>
      <c r="E580" s="14" t="str">
        <f t="shared" si="3"/>
        <v/>
      </c>
      <c r="F580" s="7" t="str">
        <f>IF($A580&lt;&gt;"",MAXIFS(Token!$C:$C,Token!$A:$A,$D580),)</f>
        <v/>
      </c>
    </row>
    <row r="581">
      <c r="A581" s="39" t="str">
        <f>IF(AND($L581*1&gt;=$G$3,$L581*1&lt;=$G$4,$I581*$J581&gt;0,OR($I581&lt;&gt;$I582,$L581-$L582&gt;25),IF(ABS($I581)&gt;10,$I581/POW(10,$J581),$J581/POW(10,$I581))*MAXIFS(Token!$C:$C,Token!$A:$A,$K581)&gt;0.01),$L581/86400+DATE(1970,1,1)+$G$6,)</f>
        <v/>
      </c>
      <c r="B581" s="27" t="str">
        <f t="shared" si="1"/>
        <v/>
      </c>
      <c r="C581" s="14" t="str">
        <f>IF($A581&lt;&gt;"",MINIFS(Merchant!$A:$A,Merchant!$B:$B,$G$2),)</f>
        <v/>
      </c>
      <c r="D581" s="14" t="str">
        <f t="shared" si="2"/>
        <v/>
      </c>
      <c r="E581" s="14" t="str">
        <f t="shared" si="3"/>
        <v/>
      </c>
      <c r="F581" s="7" t="str">
        <f>IF($A581&lt;&gt;"",MAXIFS(Token!$C:$C,Token!$A:$A,$D581),)</f>
        <v/>
      </c>
    </row>
    <row r="582">
      <c r="A582" s="39" t="str">
        <f>IF(AND($L582*1&gt;=$G$3,$L582*1&lt;=$G$4,$I582*$J582&gt;0,OR($I582&lt;&gt;$I583,$L582-$L583&gt;25),IF(ABS($I582)&gt;10,$I582/POW(10,$J582),$J582/POW(10,$I582))*MAXIFS(Token!$C:$C,Token!$A:$A,$K582)&gt;0.01),$L582/86400+DATE(1970,1,1)+$G$6,)</f>
        <v/>
      </c>
      <c r="B582" s="27" t="str">
        <f t="shared" si="1"/>
        <v/>
      </c>
      <c r="C582" s="14" t="str">
        <f>IF($A582&lt;&gt;"",MINIFS(Merchant!$A:$A,Merchant!$B:$B,$G$2),)</f>
        <v/>
      </c>
      <c r="D582" s="14" t="str">
        <f t="shared" si="2"/>
        <v/>
      </c>
      <c r="E582" s="14" t="str">
        <f t="shared" si="3"/>
        <v/>
      </c>
      <c r="F582" s="7" t="str">
        <f>IF($A582&lt;&gt;"",MAXIFS(Token!$C:$C,Token!$A:$A,$D582),)</f>
        <v/>
      </c>
    </row>
    <row r="583">
      <c r="A583" s="39" t="str">
        <f>IF(AND($L583*1&gt;=$G$3,$L583*1&lt;=$G$4,$I583*$J583&gt;0,OR($I583&lt;&gt;$I584,$L583-$L584&gt;25),IF(ABS($I583)&gt;10,$I583/POW(10,$J583),$J583/POW(10,$I583))*MAXIFS(Token!$C:$C,Token!$A:$A,$K583)&gt;0.01),$L583/86400+DATE(1970,1,1)+$G$6,)</f>
        <v/>
      </c>
      <c r="B583" s="27" t="str">
        <f t="shared" si="1"/>
        <v/>
      </c>
      <c r="C583" s="14" t="str">
        <f>IF($A583&lt;&gt;"",MINIFS(Merchant!$A:$A,Merchant!$B:$B,$G$2),)</f>
        <v/>
      </c>
      <c r="D583" s="14" t="str">
        <f t="shared" si="2"/>
        <v/>
      </c>
      <c r="E583" s="14" t="str">
        <f t="shared" si="3"/>
        <v/>
      </c>
      <c r="F583" s="7" t="str">
        <f>IF($A583&lt;&gt;"",MAXIFS(Token!$C:$C,Token!$A:$A,$D583),)</f>
        <v/>
      </c>
    </row>
    <row r="584">
      <c r="A584" s="39" t="str">
        <f>IF(AND($L584*1&gt;=$G$3,$L584*1&lt;=$G$4,$I584*$J584&gt;0,OR($I584&lt;&gt;$I585,$L584-$L585&gt;25),IF(ABS($I584)&gt;10,$I584/POW(10,$J584),$J584/POW(10,$I584))*MAXIFS(Token!$C:$C,Token!$A:$A,$K584)&gt;0.01),$L584/86400+DATE(1970,1,1)+$G$6,)</f>
        <v/>
      </c>
      <c r="B584" s="27" t="str">
        <f t="shared" si="1"/>
        <v/>
      </c>
      <c r="C584" s="14" t="str">
        <f>IF($A584&lt;&gt;"",MINIFS(Merchant!$A:$A,Merchant!$B:$B,$G$2),)</f>
        <v/>
      </c>
      <c r="D584" s="14" t="str">
        <f t="shared" si="2"/>
        <v/>
      </c>
      <c r="E584" s="14" t="str">
        <f t="shared" si="3"/>
        <v/>
      </c>
      <c r="F584" s="7" t="str">
        <f>IF($A584&lt;&gt;"",MAXIFS(Token!$C:$C,Token!$A:$A,$D584),)</f>
        <v/>
      </c>
    </row>
    <row r="585">
      <c r="A585" s="39" t="str">
        <f>IF(AND($L585*1&gt;=$G$3,$L585*1&lt;=$G$4,$I585*$J585&gt;0,OR($I585&lt;&gt;$I586,$L585-$L586&gt;25),IF(ABS($I585)&gt;10,$I585/POW(10,$J585),$J585/POW(10,$I585))*MAXIFS(Token!$C:$C,Token!$A:$A,$K585)&gt;0.01),$L585/86400+DATE(1970,1,1)+$G$6,)</f>
        <v/>
      </c>
      <c r="B585" s="27" t="str">
        <f t="shared" si="1"/>
        <v/>
      </c>
      <c r="C585" s="14" t="str">
        <f>IF($A585&lt;&gt;"",MINIFS(Merchant!$A:$A,Merchant!$B:$B,$G$2),)</f>
        <v/>
      </c>
      <c r="D585" s="14" t="str">
        <f t="shared" si="2"/>
        <v/>
      </c>
      <c r="E585" s="14" t="str">
        <f t="shared" si="3"/>
        <v/>
      </c>
      <c r="F585" s="7" t="str">
        <f>IF($A585&lt;&gt;"",MAXIFS(Token!$C:$C,Token!$A:$A,$D585),)</f>
        <v/>
      </c>
    </row>
    <row r="586">
      <c r="A586" s="39" t="str">
        <f>IF(AND($L586*1&gt;=$G$3,$L586*1&lt;=$G$4,$I586*$J586&gt;0,OR($I586&lt;&gt;$I587,$L586-$L587&gt;25),IF(ABS($I586)&gt;10,$I586/POW(10,$J586),$J586/POW(10,$I586))*MAXIFS(Token!$C:$C,Token!$A:$A,$K586)&gt;0.01),$L586/86400+DATE(1970,1,1)+$G$6,)</f>
        <v/>
      </c>
      <c r="B586" s="27" t="str">
        <f t="shared" si="1"/>
        <v/>
      </c>
      <c r="C586" s="14" t="str">
        <f>IF($A586&lt;&gt;"",MINIFS(Merchant!$A:$A,Merchant!$B:$B,$G$2),)</f>
        <v/>
      </c>
      <c r="D586" s="14" t="str">
        <f t="shared" si="2"/>
        <v/>
      </c>
      <c r="E586" s="14" t="str">
        <f t="shared" si="3"/>
        <v/>
      </c>
      <c r="F586" s="7" t="str">
        <f>IF($A586&lt;&gt;"",MAXIFS(Token!$C:$C,Token!$A:$A,$D586),)</f>
        <v/>
      </c>
    </row>
    <row r="587">
      <c r="A587" s="39" t="str">
        <f>IF(AND($L587*1&gt;=$G$3,$L587*1&lt;=$G$4,$I587*$J587&gt;0,OR($I587&lt;&gt;$I588,$L587-$L588&gt;25),IF(ABS($I587)&gt;10,$I587/POW(10,$J587),$J587/POW(10,$I587))*MAXIFS(Token!$C:$C,Token!$A:$A,$K587)&gt;0.01),$L587/86400+DATE(1970,1,1)+$G$6,)</f>
        <v/>
      </c>
      <c r="B587" s="27" t="str">
        <f t="shared" si="1"/>
        <v/>
      </c>
      <c r="C587" s="14" t="str">
        <f>IF($A587&lt;&gt;"",MINIFS(Merchant!$A:$A,Merchant!$B:$B,$G$2),)</f>
        <v/>
      </c>
      <c r="D587" s="14" t="str">
        <f t="shared" si="2"/>
        <v/>
      </c>
      <c r="E587" s="14" t="str">
        <f t="shared" si="3"/>
        <v/>
      </c>
      <c r="F587" s="7" t="str">
        <f>IF($A587&lt;&gt;"",MAXIFS(Token!$C:$C,Token!$A:$A,$D587),)</f>
        <v/>
      </c>
    </row>
    <row r="588">
      <c r="A588" s="39" t="str">
        <f>IF(AND($L588*1&gt;=$G$3,$L588*1&lt;=$G$4,$I588*$J588&gt;0,OR($I588&lt;&gt;$I589,$L588-$L589&gt;25),IF(ABS($I588)&gt;10,$I588/POW(10,$J588),$J588/POW(10,$I588))*MAXIFS(Token!$C:$C,Token!$A:$A,$K588)&gt;0.01),$L588/86400+DATE(1970,1,1)+$G$6,)</f>
        <v/>
      </c>
      <c r="B588" s="27" t="str">
        <f t="shared" si="1"/>
        <v/>
      </c>
      <c r="C588" s="14" t="str">
        <f>IF($A588&lt;&gt;"",MINIFS(Merchant!$A:$A,Merchant!$B:$B,$G$2),)</f>
        <v/>
      </c>
      <c r="D588" s="14" t="str">
        <f t="shared" si="2"/>
        <v/>
      </c>
      <c r="E588" s="14" t="str">
        <f t="shared" si="3"/>
        <v/>
      </c>
      <c r="F588" s="7" t="str">
        <f>IF($A588&lt;&gt;"",MAXIFS(Token!$C:$C,Token!$A:$A,$D588),)</f>
        <v/>
      </c>
    </row>
    <row r="589">
      <c r="A589" s="39" t="str">
        <f>IF(AND($L589*1&gt;=$G$3,$L589*1&lt;=$G$4,$I589*$J589&gt;0,OR($I589&lt;&gt;$I590,$L589-$L590&gt;25),IF(ABS($I589)&gt;10,$I589/POW(10,$J589),$J589/POW(10,$I589))*MAXIFS(Token!$C:$C,Token!$A:$A,$K589)&gt;0.01),$L589/86400+DATE(1970,1,1)+$G$6,)</f>
        <v/>
      </c>
      <c r="B589" s="27" t="str">
        <f t="shared" si="1"/>
        <v/>
      </c>
      <c r="C589" s="14" t="str">
        <f>IF($A589&lt;&gt;"",MINIFS(Merchant!$A:$A,Merchant!$B:$B,$G$2),)</f>
        <v/>
      </c>
      <c r="D589" s="14" t="str">
        <f t="shared" si="2"/>
        <v/>
      </c>
      <c r="E589" s="14" t="str">
        <f t="shared" si="3"/>
        <v/>
      </c>
      <c r="F589" s="7" t="str">
        <f>IF($A589&lt;&gt;"",MAXIFS(Token!$C:$C,Token!$A:$A,$D589),)</f>
        <v/>
      </c>
    </row>
    <row r="590">
      <c r="A590" s="39" t="str">
        <f>IF(AND($L590*1&gt;=$G$3,$L590*1&lt;=$G$4,$I590*$J590&gt;0,OR($I590&lt;&gt;$I591,$L590-$L591&gt;25),IF(ABS($I590)&gt;10,$I590/POW(10,$J590),$J590/POW(10,$I590))*MAXIFS(Token!$C:$C,Token!$A:$A,$K590)&gt;0.01),$L590/86400+DATE(1970,1,1)+$G$6,)</f>
        <v/>
      </c>
      <c r="B590" s="27" t="str">
        <f t="shared" si="1"/>
        <v/>
      </c>
      <c r="C590" s="14" t="str">
        <f>IF($A590&lt;&gt;"",MINIFS(Merchant!$A:$A,Merchant!$B:$B,$G$2),)</f>
        <v/>
      </c>
      <c r="D590" s="14" t="str">
        <f t="shared" si="2"/>
        <v/>
      </c>
      <c r="E590" s="14" t="str">
        <f t="shared" si="3"/>
        <v/>
      </c>
      <c r="F590" s="7" t="str">
        <f>IF($A590&lt;&gt;"",MAXIFS(Token!$C:$C,Token!$A:$A,$D590),)</f>
        <v/>
      </c>
    </row>
    <row r="591">
      <c r="A591" s="39" t="str">
        <f>IF(AND($L591*1&gt;=$G$3,$L591*1&lt;=$G$4,$I591*$J591&gt;0,OR($I591&lt;&gt;$I592,$L591-$L592&gt;25),IF(ABS($I591)&gt;10,$I591/POW(10,$J591),$J591/POW(10,$I591))*MAXIFS(Token!$C:$C,Token!$A:$A,$K591)&gt;0.01),$L591/86400+DATE(1970,1,1)+$G$6,)</f>
        <v/>
      </c>
      <c r="B591" s="27" t="str">
        <f t="shared" si="1"/>
        <v/>
      </c>
      <c r="C591" s="14" t="str">
        <f>IF($A591&lt;&gt;"",MINIFS(Merchant!$A:$A,Merchant!$B:$B,$G$2),)</f>
        <v/>
      </c>
      <c r="D591" s="14" t="str">
        <f t="shared" si="2"/>
        <v/>
      </c>
      <c r="E591" s="14" t="str">
        <f t="shared" si="3"/>
        <v/>
      </c>
      <c r="F591" s="7" t="str">
        <f>IF($A591&lt;&gt;"",MAXIFS(Token!$C:$C,Token!$A:$A,$D591),)</f>
        <v/>
      </c>
    </row>
    <row r="592">
      <c r="A592" s="39" t="str">
        <f>IF(AND($L592*1&gt;=$G$3,$L592*1&lt;=$G$4,$I592*$J592&gt;0,OR($I592&lt;&gt;$I593,$L592-$L593&gt;25),IF(ABS($I592)&gt;10,$I592/POW(10,$J592),$J592/POW(10,$I592))*MAXIFS(Token!$C:$C,Token!$A:$A,$K592)&gt;0.01),$L592/86400+DATE(1970,1,1)+$G$6,)</f>
        <v/>
      </c>
      <c r="B592" s="27" t="str">
        <f t="shared" si="1"/>
        <v/>
      </c>
      <c r="C592" s="14" t="str">
        <f>IF($A592&lt;&gt;"",MINIFS(Merchant!$A:$A,Merchant!$B:$B,$G$2),)</f>
        <v/>
      </c>
      <c r="D592" s="14" t="str">
        <f t="shared" si="2"/>
        <v/>
      </c>
      <c r="E592" s="14" t="str">
        <f t="shared" si="3"/>
        <v/>
      </c>
      <c r="F592" s="7" t="str">
        <f>IF($A592&lt;&gt;"",MAXIFS(Token!$C:$C,Token!$A:$A,$D592),)</f>
        <v/>
      </c>
    </row>
    <row r="593">
      <c r="A593" s="39" t="str">
        <f>IF(AND($L593*1&gt;=$G$3,$L593*1&lt;=$G$4,$I593*$J593&gt;0,OR($I593&lt;&gt;$I594,$L593-$L594&gt;25),IF(ABS($I593)&gt;10,$I593/POW(10,$J593),$J593/POW(10,$I593))*MAXIFS(Token!$C:$C,Token!$A:$A,$K593)&gt;0.01),$L593/86400+DATE(1970,1,1)+$G$6,)</f>
        <v/>
      </c>
      <c r="B593" s="27" t="str">
        <f t="shared" si="1"/>
        <v/>
      </c>
      <c r="C593" s="14" t="str">
        <f>IF($A593&lt;&gt;"",MINIFS(Merchant!$A:$A,Merchant!$B:$B,$G$2),)</f>
        <v/>
      </c>
      <c r="D593" s="14" t="str">
        <f t="shared" si="2"/>
        <v/>
      </c>
      <c r="E593" s="14" t="str">
        <f t="shared" si="3"/>
        <v/>
      </c>
      <c r="F593" s="7" t="str">
        <f>IF($A593&lt;&gt;"",MAXIFS(Token!$C:$C,Token!$A:$A,$D593),)</f>
        <v/>
      </c>
    </row>
    <row r="594">
      <c r="A594" s="39" t="str">
        <f>IF(AND($L594*1&gt;=$G$3,$L594*1&lt;=$G$4,$I594*$J594&gt;0,OR($I594&lt;&gt;$I595,$L594-$L595&gt;25),IF(ABS($I594)&gt;10,$I594/POW(10,$J594),$J594/POW(10,$I594))*MAXIFS(Token!$C:$C,Token!$A:$A,$K594)&gt;0.01),$L594/86400+DATE(1970,1,1)+$G$6,)</f>
        <v/>
      </c>
      <c r="B594" s="27" t="str">
        <f t="shared" si="1"/>
        <v/>
      </c>
      <c r="C594" s="14" t="str">
        <f>IF($A594&lt;&gt;"",MINIFS(Merchant!$A:$A,Merchant!$B:$B,$G$2),)</f>
        <v/>
      </c>
      <c r="D594" s="14" t="str">
        <f t="shared" si="2"/>
        <v/>
      </c>
      <c r="E594" s="14" t="str">
        <f t="shared" si="3"/>
        <v/>
      </c>
      <c r="F594" s="7" t="str">
        <f>IF($A594&lt;&gt;"",MAXIFS(Token!$C:$C,Token!$A:$A,$D594),)</f>
        <v/>
      </c>
    </row>
    <row r="595">
      <c r="A595" s="39" t="str">
        <f>IF(AND($L595*1&gt;=$G$3,$L595*1&lt;=$G$4,$I595*$J595&gt;0,OR($I595&lt;&gt;$I596,$L595-$L596&gt;25),IF(ABS($I595)&gt;10,$I595/POW(10,$J595),$J595/POW(10,$I595))*MAXIFS(Token!$C:$C,Token!$A:$A,$K595)&gt;0.01),$L595/86400+DATE(1970,1,1)+$G$6,)</f>
        <v/>
      </c>
      <c r="B595" s="27" t="str">
        <f t="shared" si="1"/>
        <v/>
      </c>
      <c r="C595" s="14" t="str">
        <f>IF($A595&lt;&gt;"",MINIFS(Merchant!$A:$A,Merchant!$B:$B,$G$2),)</f>
        <v/>
      </c>
      <c r="D595" s="14" t="str">
        <f t="shared" si="2"/>
        <v/>
      </c>
      <c r="E595" s="14" t="str">
        <f t="shared" si="3"/>
        <v/>
      </c>
      <c r="F595" s="7" t="str">
        <f>IF($A595&lt;&gt;"",MAXIFS(Token!$C:$C,Token!$A:$A,$D595),)</f>
        <v/>
      </c>
    </row>
    <row r="596">
      <c r="A596" s="39" t="str">
        <f>IF(AND($L596*1&gt;=$G$3,$L596*1&lt;=$G$4,$I596*$J596&gt;0,OR($I596&lt;&gt;$I597,$L596-$L597&gt;25),IF(ABS($I596)&gt;10,$I596/POW(10,$J596),$J596/POW(10,$I596))*MAXIFS(Token!$C:$C,Token!$A:$A,$K596)&gt;0.01),$L596/86400+DATE(1970,1,1)+$G$6,)</f>
        <v/>
      </c>
      <c r="B596" s="27" t="str">
        <f t="shared" si="1"/>
        <v/>
      </c>
      <c r="C596" s="14" t="str">
        <f>IF($A596&lt;&gt;"",MINIFS(Merchant!$A:$A,Merchant!$B:$B,$G$2),)</f>
        <v/>
      </c>
      <c r="D596" s="14" t="str">
        <f t="shared" si="2"/>
        <v/>
      </c>
      <c r="E596" s="14" t="str">
        <f t="shared" si="3"/>
        <v/>
      </c>
      <c r="F596" s="7" t="str">
        <f>IF($A596&lt;&gt;"",MAXIFS(Token!$C:$C,Token!$A:$A,$D596),)</f>
        <v/>
      </c>
    </row>
    <row r="597">
      <c r="A597" s="39" t="str">
        <f>IF(AND($L597*1&gt;=$G$3,$L597*1&lt;=$G$4,$I597*$J597&gt;0,OR($I597&lt;&gt;$I598,$L597-$L598&gt;25),IF(ABS($I597)&gt;10,$I597/POW(10,$J597),$J597/POW(10,$I597))*MAXIFS(Token!$C:$C,Token!$A:$A,$K597)&gt;0.01),$L597/86400+DATE(1970,1,1)+$G$6,)</f>
        <v/>
      </c>
      <c r="B597" s="27" t="str">
        <f t="shared" si="1"/>
        <v/>
      </c>
      <c r="C597" s="14" t="str">
        <f>IF($A597&lt;&gt;"",MINIFS(Merchant!$A:$A,Merchant!$B:$B,$G$2),)</f>
        <v/>
      </c>
      <c r="D597" s="14" t="str">
        <f t="shared" si="2"/>
        <v/>
      </c>
      <c r="E597" s="14" t="str">
        <f t="shared" si="3"/>
        <v/>
      </c>
      <c r="F597" s="7" t="str">
        <f>IF($A597&lt;&gt;"",MAXIFS(Token!$C:$C,Token!$A:$A,$D597),)</f>
        <v/>
      </c>
    </row>
    <row r="598">
      <c r="A598" s="39" t="str">
        <f>IF(AND($L598*1&gt;=$G$3,$L598*1&lt;=$G$4,$I598*$J598&gt;0,OR($I598&lt;&gt;$I599,$L598-$L599&gt;25),IF(ABS($I598)&gt;10,$I598/POW(10,$J598),$J598/POW(10,$I598))*MAXIFS(Token!$C:$C,Token!$A:$A,$K598)&gt;0.01),$L598/86400+DATE(1970,1,1)+$G$6,)</f>
        <v/>
      </c>
      <c r="B598" s="27" t="str">
        <f t="shared" si="1"/>
        <v/>
      </c>
      <c r="C598" s="14" t="str">
        <f>IF($A598&lt;&gt;"",MINIFS(Merchant!$A:$A,Merchant!$B:$B,$G$2),)</f>
        <v/>
      </c>
      <c r="D598" s="14" t="str">
        <f t="shared" si="2"/>
        <v/>
      </c>
      <c r="E598" s="14" t="str">
        <f t="shared" si="3"/>
        <v/>
      </c>
      <c r="F598" s="7" t="str">
        <f>IF($A598&lt;&gt;"",MAXIFS(Token!$C:$C,Token!$A:$A,$D598),)</f>
        <v/>
      </c>
    </row>
    <row r="599">
      <c r="A599" s="39" t="str">
        <f>IF(AND($L599*1&gt;=$G$3,$L599*1&lt;=$G$4,$I599*$J599&gt;0,OR($I599&lt;&gt;$I600,$L599-$L600&gt;25),IF(ABS($I599)&gt;10,$I599/POW(10,$J599),$J599/POW(10,$I599))*MAXIFS(Token!$C:$C,Token!$A:$A,$K599)&gt;0.01),$L599/86400+DATE(1970,1,1)+$G$6,)</f>
        <v/>
      </c>
      <c r="B599" s="27" t="str">
        <f t="shared" si="1"/>
        <v/>
      </c>
      <c r="C599" s="14" t="str">
        <f>IF($A599&lt;&gt;"",MINIFS(Merchant!$A:$A,Merchant!$B:$B,$G$2),)</f>
        <v/>
      </c>
      <c r="D599" s="14" t="str">
        <f t="shared" si="2"/>
        <v/>
      </c>
      <c r="E599" s="14" t="str">
        <f t="shared" si="3"/>
        <v/>
      </c>
      <c r="F599" s="7" t="str">
        <f>IF($A599&lt;&gt;"",MAXIFS(Token!$C:$C,Token!$A:$A,$D599),)</f>
        <v/>
      </c>
    </row>
    <row r="600">
      <c r="A600" s="39" t="str">
        <f>IF(AND($L600*1&gt;=$G$3,$L600*1&lt;=$G$4,$I600*$J600&gt;0,OR($I600&lt;&gt;$I601,$L600-$L601&gt;25),IF(ABS($I600)&gt;10,$I600/POW(10,$J600),$J600/POW(10,$I600))*MAXIFS(Token!$C:$C,Token!$A:$A,$K600)&gt;0.01),$L600/86400+DATE(1970,1,1)+$G$6,)</f>
        <v/>
      </c>
      <c r="B600" s="27" t="str">
        <f t="shared" si="1"/>
        <v/>
      </c>
      <c r="C600" s="14" t="str">
        <f>IF($A600&lt;&gt;"",MINIFS(Merchant!$A:$A,Merchant!$B:$B,$G$2),)</f>
        <v/>
      </c>
      <c r="D600" s="14" t="str">
        <f t="shared" si="2"/>
        <v/>
      </c>
      <c r="E600" s="14" t="str">
        <f t="shared" si="3"/>
        <v/>
      </c>
      <c r="F600" s="7" t="str">
        <f>IF($A600&lt;&gt;"",MAXIFS(Token!$C:$C,Token!$A:$A,$D600),)</f>
        <v/>
      </c>
    </row>
    <row r="601">
      <c r="A601" s="39" t="str">
        <f>IF(AND($L601*1&gt;=$G$3,$L601*1&lt;=$G$4,$I601*$J601&gt;0,OR($I601&lt;&gt;$I602,$L601-$L602&gt;25),IF(ABS($I601)&gt;10,$I601/POW(10,$J601),$J601/POW(10,$I601))*MAXIFS(Token!$C:$C,Token!$A:$A,$K601)&gt;0.01),$L601/86400+DATE(1970,1,1)+$G$6,)</f>
        <v/>
      </c>
      <c r="B601" s="27" t="str">
        <f t="shared" si="1"/>
        <v/>
      </c>
      <c r="C601" s="14" t="str">
        <f>IF($A601&lt;&gt;"",MINIFS(Merchant!$A:$A,Merchant!$B:$B,$G$2),)</f>
        <v/>
      </c>
      <c r="D601" s="14" t="str">
        <f t="shared" si="2"/>
        <v/>
      </c>
      <c r="E601" s="14" t="str">
        <f t="shared" si="3"/>
        <v/>
      </c>
      <c r="F601" s="7" t="str">
        <f>IF($A601&lt;&gt;"",MAXIFS(Token!$C:$C,Token!$A:$A,$D601),)</f>
        <v/>
      </c>
    </row>
    <row r="602">
      <c r="A602" s="39" t="str">
        <f>IF(AND($L602*1&gt;=$G$3,$L602*1&lt;=$G$4,$I602*$J602&gt;0,OR($I602&lt;&gt;$I603,$L602-$L603&gt;25),IF(ABS($I602)&gt;10,$I602/POW(10,$J602),$J602/POW(10,$I602))*MAXIFS(Token!$C:$C,Token!$A:$A,$K602)&gt;0.01),$L602/86400+DATE(1970,1,1)+$G$6,)</f>
        <v/>
      </c>
      <c r="B602" s="27" t="str">
        <f t="shared" si="1"/>
        <v/>
      </c>
      <c r="C602" s="14" t="str">
        <f>IF($A602&lt;&gt;"",MINIFS(Merchant!$A:$A,Merchant!$B:$B,$G$2),)</f>
        <v/>
      </c>
      <c r="D602" s="14" t="str">
        <f t="shared" si="2"/>
        <v/>
      </c>
      <c r="E602" s="14" t="str">
        <f t="shared" si="3"/>
        <v/>
      </c>
      <c r="F602" s="7" t="str">
        <f>IF($A602&lt;&gt;"",MAXIFS(Token!$C:$C,Token!$A:$A,$D602),)</f>
        <v/>
      </c>
    </row>
    <row r="603">
      <c r="A603" s="39" t="str">
        <f>IF(AND($L603*1&gt;=$G$3,$L603*1&lt;=$G$4,$I603*$J603&gt;0,OR($I603&lt;&gt;$I604,$L603-$L604&gt;25),IF(ABS($I603)&gt;10,$I603/POW(10,$J603),$J603/POW(10,$I603))*MAXIFS(Token!$C:$C,Token!$A:$A,$K603)&gt;0.01),$L603/86400+DATE(1970,1,1)+$G$6,)</f>
        <v/>
      </c>
      <c r="B603" s="27" t="str">
        <f t="shared" si="1"/>
        <v/>
      </c>
      <c r="C603" s="14" t="str">
        <f>IF($A603&lt;&gt;"",MINIFS(Merchant!$A:$A,Merchant!$B:$B,$G$2),)</f>
        <v/>
      </c>
      <c r="D603" s="14" t="str">
        <f t="shared" si="2"/>
        <v/>
      </c>
      <c r="E603" s="14" t="str">
        <f t="shared" si="3"/>
        <v/>
      </c>
      <c r="F603" s="7" t="str">
        <f>IF($A603&lt;&gt;"",MAXIFS(Token!$C:$C,Token!$A:$A,$D603),)</f>
        <v/>
      </c>
    </row>
    <row r="604">
      <c r="A604" s="39" t="str">
        <f>IF(AND($L604*1&gt;=$G$3,$L604*1&lt;=$G$4,$I604*$J604&gt;0,OR($I604&lt;&gt;$I605,$L604-$L605&gt;25),IF(ABS($I604)&gt;10,$I604/POW(10,$J604),$J604/POW(10,$I604))*MAXIFS(Token!$C:$C,Token!$A:$A,$K604)&gt;0.01),$L604/86400+DATE(1970,1,1)+$G$6,)</f>
        <v/>
      </c>
      <c r="B604" s="27" t="str">
        <f t="shared" si="1"/>
        <v/>
      </c>
      <c r="C604" s="14" t="str">
        <f>IF($A604&lt;&gt;"",MINIFS(Merchant!$A:$A,Merchant!$B:$B,$G$2),)</f>
        <v/>
      </c>
      <c r="D604" s="14" t="str">
        <f t="shared" si="2"/>
        <v/>
      </c>
      <c r="E604" s="14" t="str">
        <f t="shared" si="3"/>
        <v/>
      </c>
      <c r="F604" s="7" t="str">
        <f>IF($A604&lt;&gt;"",MAXIFS(Token!$C:$C,Token!$A:$A,$D604),)</f>
        <v/>
      </c>
    </row>
    <row r="605">
      <c r="A605" s="39" t="str">
        <f>IF(AND($L605*1&gt;=$G$3,$L605*1&lt;=$G$4,$I605*$J605&gt;0,OR($I605&lt;&gt;$I606,$L605-$L606&gt;25),IF(ABS($I605)&gt;10,$I605/POW(10,$J605),$J605/POW(10,$I605))*MAXIFS(Token!$C:$C,Token!$A:$A,$K605)&gt;0.01),$L605/86400+DATE(1970,1,1)+$G$6,)</f>
        <v/>
      </c>
      <c r="B605" s="27" t="str">
        <f t="shared" si="1"/>
        <v/>
      </c>
      <c r="C605" s="14" t="str">
        <f>IF($A605&lt;&gt;"",MINIFS(Merchant!$A:$A,Merchant!$B:$B,$G$2),)</f>
        <v/>
      </c>
      <c r="D605" s="14" t="str">
        <f t="shared" si="2"/>
        <v/>
      </c>
      <c r="E605" s="14" t="str">
        <f t="shared" si="3"/>
        <v/>
      </c>
      <c r="F605" s="7" t="str">
        <f>IF($A605&lt;&gt;"",MAXIFS(Token!$C:$C,Token!$A:$A,$D605),)</f>
        <v/>
      </c>
    </row>
    <row r="606">
      <c r="A606" s="39" t="str">
        <f>IF(AND($L606*1&gt;=$G$3,$L606*1&lt;=$G$4,$I606*$J606&gt;0,OR($I606&lt;&gt;$I607,$L606-$L607&gt;25),IF(ABS($I606)&gt;10,$I606/POW(10,$J606),$J606/POW(10,$I606))*MAXIFS(Token!$C:$C,Token!$A:$A,$K606)&gt;0.01),$L606/86400+DATE(1970,1,1)+$G$6,)</f>
        <v/>
      </c>
      <c r="B606" s="27" t="str">
        <f t="shared" si="1"/>
        <v/>
      </c>
      <c r="C606" s="14" t="str">
        <f>IF($A606&lt;&gt;"",MINIFS(Merchant!$A:$A,Merchant!$B:$B,$G$2),)</f>
        <v/>
      </c>
      <c r="D606" s="14" t="str">
        <f t="shared" si="2"/>
        <v/>
      </c>
      <c r="E606" s="14" t="str">
        <f t="shared" si="3"/>
        <v/>
      </c>
      <c r="F606" s="7" t="str">
        <f>IF($A606&lt;&gt;"",MAXIFS(Token!$C:$C,Token!$A:$A,$D606),)</f>
        <v/>
      </c>
    </row>
    <row r="607">
      <c r="A607" s="39" t="str">
        <f>IF(AND($L607*1&gt;=$G$3,$L607*1&lt;=$G$4,$I607*$J607&gt;0,OR($I607&lt;&gt;$I608,$L607-$L608&gt;25),IF(ABS($I607)&gt;10,$I607/POW(10,$J607),$J607/POW(10,$I607))*MAXIFS(Token!$C:$C,Token!$A:$A,$K607)&gt;0.01),$L607/86400+DATE(1970,1,1)+$G$6,)</f>
        <v/>
      </c>
      <c r="B607" s="27" t="str">
        <f t="shared" si="1"/>
        <v/>
      </c>
      <c r="C607" s="14" t="str">
        <f>IF($A607&lt;&gt;"",MINIFS(Merchant!$A:$A,Merchant!$B:$B,$G$2),)</f>
        <v/>
      </c>
      <c r="D607" s="14" t="str">
        <f t="shared" si="2"/>
        <v/>
      </c>
      <c r="E607" s="14" t="str">
        <f t="shared" si="3"/>
        <v/>
      </c>
      <c r="F607" s="7" t="str">
        <f>IF($A607&lt;&gt;"",MAXIFS(Token!$C:$C,Token!$A:$A,$D607),)</f>
        <v/>
      </c>
    </row>
    <row r="608">
      <c r="A608" s="39" t="str">
        <f>IF(AND($L608*1&gt;=$G$3,$L608*1&lt;=$G$4,$I608*$J608&gt;0,OR($I608&lt;&gt;$I609,$L608-$L609&gt;25),IF(ABS($I608)&gt;10,$I608/POW(10,$J608),$J608/POW(10,$I608))*MAXIFS(Token!$C:$C,Token!$A:$A,$K608)&gt;0.01),$L608/86400+DATE(1970,1,1)+$G$6,)</f>
        <v/>
      </c>
      <c r="B608" s="27" t="str">
        <f t="shared" si="1"/>
        <v/>
      </c>
      <c r="C608" s="14" t="str">
        <f>IF($A608&lt;&gt;"",MINIFS(Merchant!$A:$A,Merchant!$B:$B,$G$2),)</f>
        <v/>
      </c>
      <c r="D608" s="14" t="str">
        <f t="shared" si="2"/>
        <v/>
      </c>
      <c r="E608" s="14" t="str">
        <f t="shared" si="3"/>
        <v/>
      </c>
      <c r="F608" s="7" t="str">
        <f>IF($A608&lt;&gt;"",MAXIFS(Token!$C:$C,Token!$A:$A,$D608),)</f>
        <v/>
      </c>
    </row>
    <row r="609">
      <c r="A609" s="39" t="str">
        <f>IF(AND($L609*1&gt;=$G$3,$L609*1&lt;=$G$4,$I609*$J609&gt;0,OR($I609&lt;&gt;$I610,$L609-$L610&gt;25),IF(ABS($I609)&gt;10,$I609/POW(10,$J609),$J609/POW(10,$I609))*MAXIFS(Token!$C:$C,Token!$A:$A,$K609)&gt;0.01),$L609/86400+DATE(1970,1,1)+$G$6,)</f>
        <v/>
      </c>
      <c r="B609" s="27" t="str">
        <f t="shared" si="1"/>
        <v/>
      </c>
      <c r="C609" s="14" t="str">
        <f>IF($A609&lt;&gt;"",MINIFS(Merchant!$A:$A,Merchant!$B:$B,$G$2),)</f>
        <v/>
      </c>
      <c r="D609" s="14" t="str">
        <f t="shared" si="2"/>
        <v/>
      </c>
      <c r="E609" s="14" t="str">
        <f t="shared" si="3"/>
        <v/>
      </c>
      <c r="F609" s="7" t="str">
        <f>IF($A609&lt;&gt;"",MAXIFS(Token!$C:$C,Token!$A:$A,$D609),)</f>
        <v/>
      </c>
    </row>
    <row r="610">
      <c r="A610" s="39" t="str">
        <f>IF(AND($L610*1&gt;=$G$3,$L610*1&lt;=$G$4,$I610*$J610&gt;0,OR($I610&lt;&gt;$I611,$L610-$L611&gt;25),IF(ABS($I610)&gt;10,$I610/POW(10,$J610),$J610/POW(10,$I610))*MAXIFS(Token!$C:$C,Token!$A:$A,$K610)&gt;0.01),$L610/86400+DATE(1970,1,1)+$G$6,)</f>
        <v/>
      </c>
      <c r="B610" s="27" t="str">
        <f t="shared" si="1"/>
        <v/>
      </c>
      <c r="C610" s="14" t="str">
        <f>IF($A610&lt;&gt;"",MINIFS(Merchant!$A:$A,Merchant!$B:$B,$G$2),)</f>
        <v/>
      </c>
      <c r="D610" s="14" t="str">
        <f t="shared" si="2"/>
        <v/>
      </c>
      <c r="E610" s="14" t="str">
        <f t="shared" si="3"/>
        <v/>
      </c>
      <c r="F610" s="7" t="str">
        <f>IF($A610&lt;&gt;"",MAXIFS(Token!$C:$C,Token!$A:$A,$D610),)</f>
        <v/>
      </c>
    </row>
    <row r="611">
      <c r="A611" s="39" t="str">
        <f>IF(AND($L611*1&gt;=$G$3,$L611*1&lt;=$G$4,$I611*$J611&gt;0,OR($I611&lt;&gt;$I612,$L611-$L612&gt;25),IF(ABS($I611)&gt;10,$I611/POW(10,$J611),$J611/POW(10,$I611))*MAXIFS(Token!$C:$C,Token!$A:$A,$K611)&gt;0.01),$L611/86400+DATE(1970,1,1)+$G$6,)</f>
        <v/>
      </c>
      <c r="B611" s="27" t="str">
        <f t="shared" si="1"/>
        <v/>
      </c>
      <c r="C611" s="14" t="str">
        <f>IF($A611&lt;&gt;"",MINIFS(Merchant!$A:$A,Merchant!$B:$B,$G$2),)</f>
        <v/>
      </c>
      <c r="D611" s="14" t="str">
        <f t="shared" si="2"/>
        <v/>
      </c>
      <c r="E611" s="14" t="str">
        <f t="shared" si="3"/>
        <v/>
      </c>
      <c r="F611" s="7" t="str">
        <f>IF($A611&lt;&gt;"",MAXIFS(Token!$C:$C,Token!$A:$A,$D611),)</f>
        <v/>
      </c>
    </row>
    <row r="612">
      <c r="A612" s="39" t="str">
        <f>IF(AND($L612*1&gt;=$G$3,$L612*1&lt;=$G$4,$I612*$J612&gt;0,OR($I612&lt;&gt;$I613,$L612-$L613&gt;25),IF(ABS($I612)&gt;10,$I612/POW(10,$J612),$J612/POW(10,$I612))*MAXIFS(Token!$C:$C,Token!$A:$A,$K612)&gt;0.01),$L612/86400+DATE(1970,1,1)+$G$6,)</f>
        <v/>
      </c>
      <c r="B612" s="27" t="str">
        <f t="shared" si="1"/>
        <v/>
      </c>
      <c r="C612" s="14" t="str">
        <f>IF($A612&lt;&gt;"",MINIFS(Merchant!$A:$A,Merchant!$B:$B,$G$2),)</f>
        <v/>
      </c>
      <c r="D612" s="14" t="str">
        <f t="shared" si="2"/>
        <v/>
      </c>
      <c r="E612" s="14" t="str">
        <f t="shared" si="3"/>
        <v/>
      </c>
      <c r="F612" s="7" t="str">
        <f>IF($A612&lt;&gt;"",MAXIFS(Token!$C:$C,Token!$A:$A,$D612),)</f>
        <v/>
      </c>
    </row>
    <row r="613">
      <c r="A613" s="39" t="str">
        <f>IF(AND($L613*1&gt;=$G$3,$L613*1&lt;=$G$4,$I613*$J613&gt;0,OR($I613&lt;&gt;$I614,$L613-$L614&gt;25),IF(ABS($I613)&gt;10,$I613/POW(10,$J613),$J613/POW(10,$I613))*MAXIFS(Token!$C:$C,Token!$A:$A,$K613)&gt;0.01),$L613/86400+DATE(1970,1,1)+$G$6,)</f>
        <v/>
      </c>
      <c r="B613" s="27" t="str">
        <f t="shared" si="1"/>
        <v/>
      </c>
      <c r="C613" s="14" t="str">
        <f>IF($A613&lt;&gt;"",MINIFS(Merchant!$A:$A,Merchant!$B:$B,$G$2),)</f>
        <v/>
      </c>
      <c r="D613" s="14" t="str">
        <f t="shared" si="2"/>
        <v/>
      </c>
      <c r="E613" s="14" t="str">
        <f t="shared" si="3"/>
        <v/>
      </c>
      <c r="F613" s="7" t="str">
        <f>IF($A613&lt;&gt;"",MAXIFS(Token!$C:$C,Token!$A:$A,$D613),)</f>
        <v/>
      </c>
    </row>
    <row r="614">
      <c r="A614" s="39" t="str">
        <f>IF(AND($L614*1&gt;=$G$3,$L614*1&lt;=$G$4,$I614*$J614&gt;0,OR($I614&lt;&gt;$I615,$L614-$L615&gt;25),IF(ABS($I614)&gt;10,$I614/POW(10,$J614),$J614/POW(10,$I614))*MAXIFS(Token!$C:$C,Token!$A:$A,$K614)&gt;0.01),$L614/86400+DATE(1970,1,1)+$G$6,)</f>
        <v/>
      </c>
      <c r="B614" s="27" t="str">
        <f t="shared" si="1"/>
        <v/>
      </c>
      <c r="C614" s="14" t="str">
        <f>IF($A614&lt;&gt;"",MINIFS(Merchant!$A:$A,Merchant!$B:$B,$G$2),)</f>
        <v/>
      </c>
      <c r="D614" s="14" t="str">
        <f t="shared" si="2"/>
        <v/>
      </c>
      <c r="E614" s="14" t="str">
        <f t="shared" si="3"/>
        <v/>
      </c>
      <c r="F614" s="7" t="str">
        <f>IF($A614&lt;&gt;"",MAXIFS(Token!$C:$C,Token!$A:$A,$D614),)</f>
        <v/>
      </c>
    </row>
    <row r="615">
      <c r="A615" s="39" t="str">
        <f>IF(AND($L615*1&gt;=$G$3,$L615*1&lt;=$G$4,$I615*$J615&gt;0,OR($I615&lt;&gt;$I616,$L615-$L616&gt;25),IF(ABS($I615)&gt;10,$I615/POW(10,$J615),$J615/POW(10,$I615))*MAXIFS(Token!$C:$C,Token!$A:$A,$K615)&gt;0.01),$L615/86400+DATE(1970,1,1)+$G$6,)</f>
        <v/>
      </c>
      <c r="B615" s="27" t="str">
        <f t="shared" si="1"/>
        <v/>
      </c>
      <c r="C615" s="14" t="str">
        <f>IF($A615&lt;&gt;"",MINIFS(Merchant!$A:$A,Merchant!$B:$B,$G$2),)</f>
        <v/>
      </c>
      <c r="D615" s="14" t="str">
        <f t="shared" si="2"/>
        <v/>
      </c>
      <c r="E615" s="14" t="str">
        <f t="shared" si="3"/>
        <v/>
      </c>
      <c r="F615" s="7" t="str">
        <f>IF($A615&lt;&gt;"",MAXIFS(Token!$C:$C,Token!$A:$A,$D615),)</f>
        <v/>
      </c>
    </row>
    <row r="616">
      <c r="A616" s="39" t="str">
        <f>IF(AND($L616*1&gt;=$G$3,$L616*1&lt;=$G$4,$I616*$J616&gt;0,OR($I616&lt;&gt;$I617,$L616-$L617&gt;25),IF(ABS($I616)&gt;10,$I616/POW(10,$J616),$J616/POW(10,$I616))*MAXIFS(Token!$C:$C,Token!$A:$A,$K616)&gt;0.01),$L616/86400+DATE(1970,1,1)+$G$6,)</f>
        <v/>
      </c>
      <c r="B616" s="27" t="str">
        <f t="shared" si="1"/>
        <v/>
      </c>
      <c r="C616" s="14" t="str">
        <f>IF($A616&lt;&gt;"",MINIFS(Merchant!$A:$A,Merchant!$B:$B,$G$2),)</f>
        <v/>
      </c>
      <c r="D616" s="14" t="str">
        <f t="shared" si="2"/>
        <v/>
      </c>
      <c r="E616" s="14" t="str">
        <f t="shared" si="3"/>
        <v/>
      </c>
      <c r="F616" s="7" t="str">
        <f>IF($A616&lt;&gt;"",MAXIFS(Token!$C:$C,Token!$A:$A,$D616),)</f>
        <v/>
      </c>
    </row>
    <row r="617">
      <c r="A617" s="39" t="str">
        <f>IF(AND($L617*1&gt;=$G$3,$L617*1&lt;=$G$4,$I617*$J617&gt;0,OR($I617&lt;&gt;$I618,$L617-$L618&gt;25),IF(ABS($I617)&gt;10,$I617/POW(10,$J617),$J617/POW(10,$I617))*MAXIFS(Token!$C:$C,Token!$A:$A,$K617)&gt;0.01),$L617/86400+DATE(1970,1,1)+$G$6,)</f>
        <v/>
      </c>
      <c r="B617" s="27" t="str">
        <f t="shared" si="1"/>
        <v/>
      </c>
      <c r="C617" s="14" t="str">
        <f>IF($A617&lt;&gt;"",MINIFS(Merchant!$A:$A,Merchant!$B:$B,$G$2),)</f>
        <v/>
      </c>
      <c r="D617" s="14" t="str">
        <f t="shared" si="2"/>
        <v/>
      </c>
      <c r="E617" s="14" t="str">
        <f t="shared" si="3"/>
        <v/>
      </c>
      <c r="F617" s="7" t="str">
        <f>IF($A617&lt;&gt;"",MAXIFS(Token!$C:$C,Token!$A:$A,$D617),)</f>
        <v/>
      </c>
    </row>
    <row r="618">
      <c r="A618" s="39" t="str">
        <f>IF(AND($L618*1&gt;=$G$3,$L618*1&lt;=$G$4,$I618*$J618&gt;0,OR($I618&lt;&gt;$I619,$L618-$L619&gt;25),IF(ABS($I618)&gt;10,$I618/POW(10,$J618),$J618/POW(10,$I618))*MAXIFS(Token!$C:$C,Token!$A:$A,$K618)&gt;0.01),$L618/86400+DATE(1970,1,1)+$G$6,)</f>
        <v/>
      </c>
      <c r="B618" s="27" t="str">
        <f t="shared" si="1"/>
        <v/>
      </c>
      <c r="C618" s="14" t="str">
        <f>IF($A618&lt;&gt;"",MINIFS(Merchant!$A:$A,Merchant!$B:$B,$G$2),)</f>
        <v/>
      </c>
      <c r="D618" s="14" t="str">
        <f t="shared" si="2"/>
        <v/>
      </c>
      <c r="E618" s="14" t="str">
        <f t="shared" si="3"/>
        <v/>
      </c>
      <c r="F618" s="7" t="str">
        <f>IF($A618&lt;&gt;"",MAXIFS(Token!$C:$C,Token!$A:$A,$D618),)</f>
        <v/>
      </c>
    </row>
    <row r="619">
      <c r="A619" s="39" t="str">
        <f>IF(AND($L619*1&gt;=$G$3,$L619*1&lt;=$G$4,$I619*$J619&gt;0,OR($I619&lt;&gt;$I620,$L619-$L620&gt;25),IF(ABS($I619)&gt;10,$I619/POW(10,$J619),$J619/POW(10,$I619))*MAXIFS(Token!$C:$C,Token!$A:$A,$K619)&gt;0.01),$L619/86400+DATE(1970,1,1)+$G$6,)</f>
        <v/>
      </c>
      <c r="B619" s="27" t="str">
        <f t="shared" si="1"/>
        <v/>
      </c>
      <c r="C619" s="14" t="str">
        <f>IF($A619&lt;&gt;"",MINIFS(Merchant!$A:$A,Merchant!$B:$B,$G$2),)</f>
        <v/>
      </c>
      <c r="D619" s="14" t="str">
        <f t="shared" si="2"/>
        <v/>
      </c>
      <c r="E619" s="14" t="str">
        <f t="shared" si="3"/>
        <v/>
      </c>
      <c r="F619" s="7" t="str">
        <f>IF($A619&lt;&gt;"",MAXIFS(Token!$C:$C,Token!$A:$A,$D619),)</f>
        <v/>
      </c>
    </row>
    <row r="620">
      <c r="A620" s="39" t="str">
        <f>IF(AND($L620*1&gt;=$G$3,$L620*1&lt;=$G$4,$I620*$J620&gt;0,OR($I620&lt;&gt;$I621,$L620-$L621&gt;25),IF(ABS($I620)&gt;10,$I620/POW(10,$J620),$J620/POW(10,$I620))*MAXIFS(Token!$C:$C,Token!$A:$A,$K620)&gt;0.01),$L620/86400+DATE(1970,1,1)+$G$6,)</f>
        <v/>
      </c>
      <c r="B620" s="27" t="str">
        <f t="shared" si="1"/>
        <v/>
      </c>
      <c r="C620" s="14" t="str">
        <f>IF($A620&lt;&gt;"",MINIFS(Merchant!$A:$A,Merchant!$B:$B,$G$2),)</f>
        <v/>
      </c>
      <c r="D620" s="14" t="str">
        <f t="shared" si="2"/>
        <v/>
      </c>
      <c r="E620" s="14" t="str">
        <f t="shared" si="3"/>
        <v/>
      </c>
      <c r="F620" s="7" t="str">
        <f>IF($A620&lt;&gt;"",MAXIFS(Token!$C:$C,Token!$A:$A,$D620),)</f>
        <v/>
      </c>
    </row>
    <row r="621">
      <c r="A621" s="39" t="str">
        <f>IF(AND($L621*1&gt;=$G$3,$L621*1&lt;=$G$4,$I621*$J621&gt;0,OR($I621&lt;&gt;$I622,$L621-$L622&gt;25),IF(ABS($I621)&gt;10,$I621/POW(10,$J621),$J621/POW(10,$I621))*MAXIFS(Token!$C:$C,Token!$A:$A,$K621)&gt;0.01),$L621/86400+DATE(1970,1,1)+$G$6,)</f>
        <v/>
      </c>
      <c r="B621" s="27" t="str">
        <f t="shared" si="1"/>
        <v/>
      </c>
      <c r="C621" s="14" t="str">
        <f>IF($A621&lt;&gt;"",MINIFS(Merchant!$A:$A,Merchant!$B:$B,$G$2),)</f>
        <v/>
      </c>
      <c r="D621" s="14" t="str">
        <f t="shared" si="2"/>
        <v/>
      </c>
      <c r="E621" s="14" t="str">
        <f t="shared" si="3"/>
        <v/>
      </c>
      <c r="F621" s="7" t="str">
        <f>IF($A621&lt;&gt;"",MAXIFS(Token!$C:$C,Token!$A:$A,$D621),)</f>
        <v/>
      </c>
    </row>
    <row r="622">
      <c r="A622" s="39" t="str">
        <f>IF(AND($L622*1&gt;=$G$3,$L622*1&lt;=$G$4,$I622*$J622&gt;0,OR($I622&lt;&gt;$I623,$L622-$L623&gt;25),IF(ABS($I622)&gt;10,$I622/POW(10,$J622),$J622/POW(10,$I622))*MAXIFS(Token!$C:$C,Token!$A:$A,$K622)&gt;0.01),$L622/86400+DATE(1970,1,1)+$G$6,)</f>
        <v/>
      </c>
      <c r="B622" s="27" t="str">
        <f t="shared" si="1"/>
        <v/>
      </c>
      <c r="C622" s="14" t="str">
        <f>IF($A622&lt;&gt;"",MINIFS(Merchant!$A:$A,Merchant!$B:$B,$G$2),)</f>
        <v/>
      </c>
      <c r="D622" s="14" t="str">
        <f t="shared" si="2"/>
        <v/>
      </c>
      <c r="E622" s="14" t="str">
        <f t="shared" si="3"/>
        <v/>
      </c>
      <c r="F622" s="7" t="str">
        <f>IF($A622&lt;&gt;"",MAXIFS(Token!$C:$C,Token!$A:$A,$D622),)</f>
        <v/>
      </c>
    </row>
    <row r="623">
      <c r="A623" s="39" t="str">
        <f>IF(AND($L623*1&gt;=$G$3,$L623*1&lt;=$G$4,$I623*$J623&gt;0,OR($I623&lt;&gt;$I624,$L623-$L624&gt;25),IF(ABS($I623)&gt;10,$I623/POW(10,$J623),$J623/POW(10,$I623))*MAXIFS(Token!$C:$C,Token!$A:$A,$K623)&gt;0.01),$L623/86400+DATE(1970,1,1)+$G$6,)</f>
        <v/>
      </c>
      <c r="B623" s="27" t="str">
        <f t="shared" si="1"/>
        <v/>
      </c>
      <c r="C623" s="14" t="str">
        <f>IF($A623&lt;&gt;"",MINIFS(Merchant!$A:$A,Merchant!$B:$B,$G$2),)</f>
        <v/>
      </c>
      <c r="D623" s="14" t="str">
        <f t="shared" si="2"/>
        <v/>
      </c>
      <c r="E623" s="14" t="str">
        <f t="shared" si="3"/>
        <v/>
      </c>
      <c r="F623" s="7" t="str">
        <f>IF($A623&lt;&gt;"",MAXIFS(Token!$C:$C,Token!$A:$A,$D623),)</f>
        <v/>
      </c>
    </row>
    <row r="624">
      <c r="A624" s="39" t="str">
        <f>IF(AND($L624*1&gt;=$G$3,$L624*1&lt;=$G$4,$I624*$J624&gt;0,OR($I624&lt;&gt;$I625,$L624-$L625&gt;25),IF(ABS($I624)&gt;10,$I624/POW(10,$J624),$J624/POW(10,$I624))*MAXIFS(Token!$C:$C,Token!$A:$A,$K624)&gt;0.01),$L624/86400+DATE(1970,1,1)+$G$6,)</f>
        <v/>
      </c>
      <c r="B624" s="27" t="str">
        <f t="shared" si="1"/>
        <v/>
      </c>
      <c r="C624" s="14" t="str">
        <f>IF($A624&lt;&gt;"",MINIFS(Merchant!$A:$A,Merchant!$B:$B,$G$2),)</f>
        <v/>
      </c>
      <c r="D624" s="14" t="str">
        <f t="shared" si="2"/>
        <v/>
      </c>
      <c r="E624" s="14" t="str">
        <f t="shared" si="3"/>
        <v/>
      </c>
      <c r="F624" s="7" t="str">
        <f>IF($A624&lt;&gt;"",MAXIFS(Token!$C:$C,Token!$A:$A,$D624),)</f>
        <v/>
      </c>
    </row>
    <row r="625">
      <c r="A625" s="39" t="str">
        <f>IF(AND($L625*1&gt;=$G$3,$L625*1&lt;=$G$4,$I625*$J625&gt;0,OR($I625&lt;&gt;$I626,$L625-$L626&gt;25),IF(ABS($I625)&gt;10,$I625/POW(10,$J625),$J625/POW(10,$I625))*MAXIFS(Token!$C:$C,Token!$A:$A,$K625)&gt;0.01),$L625/86400+DATE(1970,1,1)+$G$6,)</f>
        <v/>
      </c>
      <c r="B625" s="27" t="str">
        <f t="shared" si="1"/>
        <v/>
      </c>
      <c r="C625" s="14" t="str">
        <f>IF($A625&lt;&gt;"",MINIFS(Merchant!$A:$A,Merchant!$B:$B,$G$2),)</f>
        <v/>
      </c>
      <c r="D625" s="14" t="str">
        <f t="shared" si="2"/>
        <v/>
      </c>
      <c r="E625" s="14" t="str">
        <f t="shared" si="3"/>
        <v/>
      </c>
      <c r="F625" s="7" t="str">
        <f>IF($A625&lt;&gt;"",MAXIFS(Token!$C:$C,Token!$A:$A,$D625),)</f>
        <v/>
      </c>
    </row>
    <row r="626">
      <c r="A626" s="39" t="str">
        <f>IF(AND($L626*1&gt;=$G$3,$L626*1&lt;=$G$4,$I626*$J626&gt;0,OR($I626&lt;&gt;$I627,$L626-$L627&gt;25),IF(ABS($I626)&gt;10,$I626/POW(10,$J626),$J626/POW(10,$I626))*MAXIFS(Token!$C:$C,Token!$A:$A,$K626)&gt;0.01),$L626/86400+DATE(1970,1,1)+$G$6,)</f>
        <v/>
      </c>
      <c r="B626" s="27" t="str">
        <f t="shared" si="1"/>
        <v/>
      </c>
      <c r="C626" s="14" t="str">
        <f>IF($A626&lt;&gt;"",MINIFS(Merchant!$A:$A,Merchant!$B:$B,$G$2),)</f>
        <v/>
      </c>
      <c r="D626" s="14" t="str">
        <f t="shared" si="2"/>
        <v/>
      </c>
      <c r="E626" s="14" t="str">
        <f t="shared" si="3"/>
        <v/>
      </c>
      <c r="F626" s="7" t="str">
        <f>IF($A626&lt;&gt;"",MAXIFS(Token!$C:$C,Token!$A:$A,$D626),)</f>
        <v/>
      </c>
    </row>
    <row r="627">
      <c r="A627" s="39" t="str">
        <f>IF(AND($L627*1&gt;=$G$3,$L627*1&lt;=$G$4,$I627*$J627&gt;0,OR($I627&lt;&gt;$I628,$L627-$L628&gt;25),IF(ABS($I627)&gt;10,$I627/POW(10,$J627),$J627/POW(10,$I627))*MAXIFS(Token!$C:$C,Token!$A:$A,$K627)&gt;0.01),$L627/86400+DATE(1970,1,1)+$G$6,)</f>
        <v/>
      </c>
      <c r="B627" s="27" t="str">
        <f t="shared" si="1"/>
        <v/>
      </c>
      <c r="C627" s="14" t="str">
        <f>IF($A627&lt;&gt;"",MINIFS(Merchant!$A:$A,Merchant!$B:$B,$G$2),)</f>
        <v/>
      </c>
      <c r="D627" s="14" t="str">
        <f t="shared" si="2"/>
        <v/>
      </c>
      <c r="E627" s="14" t="str">
        <f t="shared" si="3"/>
        <v/>
      </c>
      <c r="F627" s="7" t="str">
        <f>IF($A627&lt;&gt;"",MAXIFS(Token!$C:$C,Token!$A:$A,$D627),)</f>
        <v/>
      </c>
    </row>
    <row r="628">
      <c r="A628" s="39" t="str">
        <f>IF(AND($L628*1&gt;=$G$3,$L628*1&lt;=$G$4,$I628*$J628&gt;0,OR($I628&lt;&gt;$I629,$L628-$L629&gt;25),IF(ABS($I628)&gt;10,$I628/POW(10,$J628),$J628/POW(10,$I628))*MAXIFS(Token!$C:$C,Token!$A:$A,$K628)&gt;0.01),$L628/86400+DATE(1970,1,1)+$G$6,)</f>
        <v/>
      </c>
      <c r="B628" s="27" t="str">
        <f t="shared" si="1"/>
        <v/>
      </c>
      <c r="C628" s="14" t="str">
        <f>IF($A628&lt;&gt;"",MINIFS(Merchant!$A:$A,Merchant!$B:$B,$G$2),)</f>
        <v/>
      </c>
      <c r="D628" s="14" t="str">
        <f t="shared" si="2"/>
        <v/>
      </c>
      <c r="E628" s="14" t="str">
        <f t="shared" si="3"/>
        <v/>
      </c>
      <c r="F628" s="7" t="str">
        <f>IF($A628&lt;&gt;"",MAXIFS(Token!$C:$C,Token!$A:$A,$D628),)</f>
        <v/>
      </c>
    </row>
    <row r="629">
      <c r="A629" s="39" t="str">
        <f>IF(AND($L629*1&gt;=$G$3,$L629*1&lt;=$G$4,$I629*$J629&gt;0,OR($I629&lt;&gt;$I630,$L629-$L630&gt;25),IF(ABS($I629)&gt;10,$I629/POW(10,$J629),$J629/POW(10,$I629))*MAXIFS(Token!$C:$C,Token!$A:$A,$K629)&gt;0.01),$L629/86400+DATE(1970,1,1)+$G$6,)</f>
        <v/>
      </c>
      <c r="B629" s="27" t="str">
        <f t="shared" si="1"/>
        <v/>
      </c>
      <c r="C629" s="14" t="str">
        <f>IF($A629&lt;&gt;"",MINIFS(Merchant!$A:$A,Merchant!$B:$B,$G$2),)</f>
        <v/>
      </c>
      <c r="D629" s="14" t="str">
        <f t="shared" si="2"/>
        <v/>
      </c>
      <c r="E629" s="14" t="str">
        <f t="shared" si="3"/>
        <v/>
      </c>
      <c r="F629" s="7" t="str">
        <f>IF($A629&lt;&gt;"",MAXIFS(Token!$C:$C,Token!$A:$A,$D629),)</f>
        <v/>
      </c>
    </row>
    <row r="630">
      <c r="A630" s="39" t="str">
        <f>IF(AND($L630*1&gt;=$G$3,$L630*1&lt;=$G$4,$I630*$J630&gt;0,OR($I630&lt;&gt;$I631,$L630-$L631&gt;25),IF(ABS($I630)&gt;10,$I630/POW(10,$J630),$J630/POW(10,$I630))*MAXIFS(Token!$C:$C,Token!$A:$A,$K630)&gt;0.01),$L630/86400+DATE(1970,1,1)+$G$6,)</f>
        <v/>
      </c>
      <c r="B630" s="27" t="str">
        <f t="shared" si="1"/>
        <v/>
      </c>
      <c r="C630" s="14" t="str">
        <f>IF($A630&lt;&gt;"",MINIFS(Merchant!$A:$A,Merchant!$B:$B,$G$2),)</f>
        <v/>
      </c>
      <c r="D630" s="14" t="str">
        <f t="shared" si="2"/>
        <v/>
      </c>
      <c r="E630" s="14" t="str">
        <f t="shared" si="3"/>
        <v/>
      </c>
      <c r="F630" s="7" t="str">
        <f>IF($A630&lt;&gt;"",MAXIFS(Token!$C:$C,Token!$A:$A,$D630),)</f>
        <v/>
      </c>
    </row>
    <row r="631">
      <c r="A631" s="39" t="str">
        <f>IF(AND($L631*1&gt;=$G$3,$L631*1&lt;=$G$4,$I631*$J631&gt;0,OR($I631&lt;&gt;$I632,$L631-$L632&gt;25),IF(ABS($I631)&gt;10,$I631/POW(10,$J631),$J631/POW(10,$I631))*MAXIFS(Token!$C:$C,Token!$A:$A,$K631)&gt;0.01),$L631/86400+DATE(1970,1,1)+$G$6,)</f>
        <v/>
      </c>
      <c r="B631" s="27" t="str">
        <f t="shared" si="1"/>
        <v/>
      </c>
      <c r="C631" s="14" t="str">
        <f>IF($A631&lt;&gt;"",MINIFS(Merchant!$A:$A,Merchant!$B:$B,$G$2),)</f>
        <v/>
      </c>
      <c r="D631" s="14" t="str">
        <f t="shared" si="2"/>
        <v/>
      </c>
      <c r="E631" s="14" t="str">
        <f t="shared" si="3"/>
        <v/>
      </c>
      <c r="F631" s="7" t="str">
        <f>IF($A631&lt;&gt;"",MAXIFS(Token!$C:$C,Token!$A:$A,$D631),)</f>
        <v/>
      </c>
    </row>
    <row r="632">
      <c r="A632" s="39" t="str">
        <f>IF(AND($L632*1&gt;=$G$3,$L632*1&lt;=$G$4,$I632*$J632&gt;0,OR($I632&lt;&gt;$I633,$L632-$L633&gt;25),IF(ABS($I632)&gt;10,$I632/POW(10,$J632),$J632/POW(10,$I632))*MAXIFS(Token!$C:$C,Token!$A:$A,$K632)&gt;0.01),$L632/86400+DATE(1970,1,1)+$G$6,)</f>
        <v/>
      </c>
      <c r="B632" s="27" t="str">
        <f t="shared" si="1"/>
        <v/>
      </c>
      <c r="C632" s="14" t="str">
        <f>IF($A632&lt;&gt;"",MINIFS(Merchant!$A:$A,Merchant!$B:$B,$G$2),)</f>
        <v/>
      </c>
      <c r="D632" s="14" t="str">
        <f t="shared" si="2"/>
        <v/>
      </c>
      <c r="E632" s="14" t="str">
        <f t="shared" si="3"/>
        <v/>
      </c>
      <c r="F632" s="7" t="str">
        <f>IF($A632&lt;&gt;"",MAXIFS(Token!$C:$C,Token!$A:$A,$D632),)</f>
        <v/>
      </c>
    </row>
    <row r="633">
      <c r="A633" s="39" t="str">
        <f>IF(AND($L633*1&gt;=$G$3,$L633*1&lt;=$G$4,$I633*$J633&gt;0,OR($I633&lt;&gt;$I634,$L633-$L634&gt;25),IF(ABS($I633)&gt;10,$I633/POW(10,$J633),$J633/POW(10,$I633))*MAXIFS(Token!$C:$C,Token!$A:$A,$K633)&gt;0.01),$L633/86400+DATE(1970,1,1)+$G$6,)</f>
        <v/>
      </c>
      <c r="B633" s="27" t="str">
        <f t="shared" si="1"/>
        <v/>
      </c>
      <c r="C633" s="14" t="str">
        <f>IF($A633&lt;&gt;"",MINIFS(Merchant!$A:$A,Merchant!$B:$B,$G$2),)</f>
        <v/>
      </c>
      <c r="D633" s="14" t="str">
        <f t="shared" si="2"/>
        <v/>
      </c>
      <c r="E633" s="14" t="str">
        <f t="shared" si="3"/>
        <v/>
      </c>
      <c r="F633" s="7" t="str">
        <f>IF($A633&lt;&gt;"",MAXIFS(Token!$C:$C,Token!$A:$A,$D633),)</f>
        <v/>
      </c>
    </row>
    <row r="634">
      <c r="A634" s="39" t="str">
        <f>IF(AND($L634*1&gt;=$G$3,$L634*1&lt;=$G$4,$I634*$J634&gt;0,OR($I634&lt;&gt;$I635,$L634-$L635&gt;25),IF(ABS($I634)&gt;10,$I634/POW(10,$J634),$J634/POW(10,$I634))*MAXIFS(Token!$C:$C,Token!$A:$A,$K634)&gt;0.01),$L634/86400+DATE(1970,1,1)+$G$6,)</f>
        <v/>
      </c>
      <c r="B634" s="27" t="str">
        <f t="shared" si="1"/>
        <v/>
      </c>
      <c r="C634" s="14" t="str">
        <f>IF($A634&lt;&gt;"",MINIFS(Merchant!$A:$A,Merchant!$B:$B,$G$2),)</f>
        <v/>
      </c>
      <c r="D634" s="14" t="str">
        <f t="shared" si="2"/>
        <v/>
      </c>
      <c r="E634" s="14" t="str">
        <f t="shared" si="3"/>
        <v/>
      </c>
      <c r="F634" s="7" t="str">
        <f>IF($A634&lt;&gt;"",MAXIFS(Token!$C:$C,Token!$A:$A,$D634),)</f>
        <v/>
      </c>
    </row>
    <row r="635">
      <c r="A635" s="39" t="str">
        <f>IF(AND($L635*1&gt;=$G$3,$L635*1&lt;=$G$4,$I635*$J635&gt;0,OR($I635&lt;&gt;$I636,$L635-$L636&gt;25),IF(ABS($I635)&gt;10,$I635/POW(10,$J635),$J635/POW(10,$I635))*MAXIFS(Token!$C:$C,Token!$A:$A,$K635)&gt;0.01),$L635/86400+DATE(1970,1,1)+$G$6,)</f>
        <v/>
      </c>
      <c r="B635" s="27" t="str">
        <f t="shared" si="1"/>
        <v/>
      </c>
      <c r="C635" s="14" t="str">
        <f>IF($A635&lt;&gt;"",MINIFS(Merchant!$A:$A,Merchant!$B:$B,$G$2),)</f>
        <v/>
      </c>
      <c r="D635" s="14" t="str">
        <f t="shared" si="2"/>
        <v/>
      </c>
      <c r="E635" s="14" t="str">
        <f t="shared" si="3"/>
        <v/>
      </c>
      <c r="F635" s="7" t="str">
        <f>IF($A635&lt;&gt;"",MAXIFS(Token!$C:$C,Token!$A:$A,$D635),)</f>
        <v/>
      </c>
    </row>
    <row r="636">
      <c r="A636" s="39" t="str">
        <f>IF(AND($L636*1&gt;=$G$3,$L636*1&lt;=$G$4,$I636*$J636&gt;0,OR($I636&lt;&gt;$I637,$L636-$L637&gt;25),IF(ABS($I636)&gt;10,$I636/POW(10,$J636),$J636/POW(10,$I636))*MAXIFS(Token!$C:$C,Token!$A:$A,$K636)&gt;0.01),$L636/86400+DATE(1970,1,1)+$G$6,)</f>
        <v/>
      </c>
      <c r="B636" s="27" t="str">
        <f t="shared" si="1"/>
        <v/>
      </c>
      <c r="C636" s="14" t="str">
        <f>IF($A636&lt;&gt;"",MINIFS(Merchant!$A:$A,Merchant!$B:$B,$G$2),)</f>
        <v/>
      </c>
      <c r="D636" s="14" t="str">
        <f t="shared" si="2"/>
        <v/>
      </c>
      <c r="E636" s="14" t="str">
        <f t="shared" si="3"/>
        <v/>
      </c>
      <c r="F636" s="7" t="str">
        <f>IF($A636&lt;&gt;"",MAXIFS(Token!$C:$C,Token!$A:$A,$D636),)</f>
        <v/>
      </c>
    </row>
    <row r="637">
      <c r="A637" s="39" t="str">
        <f>IF(AND($L637*1&gt;=$G$3,$L637*1&lt;=$G$4,$I637*$J637&gt;0,OR($I637&lt;&gt;$I638,$L637-$L638&gt;25),IF(ABS($I637)&gt;10,$I637/POW(10,$J637),$J637/POW(10,$I637))*MAXIFS(Token!$C:$C,Token!$A:$A,$K637)&gt;0.01),$L637/86400+DATE(1970,1,1)+$G$6,)</f>
        <v/>
      </c>
      <c r="B637" s="27" t="str">
        <f t="shared" si="1"/>
        <v/>
      </c>
      <c r="C637" s="14" t="str">
        <f>IF($A637&lt;&gt;"",MINIFS(Merchant!$A:$A,Merchant!$B:$B,$G$2),)</f>
        <v/>
      </c>
      <c r="D637" s="14" t="str">
        <f t="shared" si="2"/>
        <v/>
      </c>
      <c r="E637" s="14" t="str">
        <f t="shared" si="3"/>
        <v/>
      </c>
      <c r="F637" s="7" t="str">
        <f>IF($A637&lt;&gt;"",MAXIFS(Token!$C:$C,Token!$A:$A,$D637),)</f>
        <v/>
      </c>
    </row>
    <row r="638">
      <c r="A638" s="39" t="str">
        <f>IF(AND($L638*1&gt;=$G$3,$L638*1&lt;=$G$4,$I638*$J638&gt;0,OR($I638&lt;&gt;$I639,$L638-$L639&gt;25),IF(ABS($I638)&gt;10,$I638/POW(10,$J638),$J638/POW(10,$I638))*MAXIFS(Token!$C:$C,Token!$A:$A,$K638)&gt;0.01),$L638/86400+DATE(1970,1,1)+$G$6,)</f>
        <v/>
      </c>
      <c r="B638" s="27" t="str">
        <f t="shared" si="1"/>
        <v/>
      </c>
      <c r="C638" s="14" t="str">
        <f>IF($A638&lt;&gt;"",MINIFS(Merchant!$A:$A,Merchant!$B:$B,$G$2),)</f>
        <v/>
      </c>
      <c r="D638" s="14" t="str">
        <f t="shared" si="2"/>
        <v/>
      </c>
      <c r="E638" s="14" t="str">
        <f t="shared" si="3"/>
        <v/>
      </c>
      <c r="F638" s="7" t="str">
        <f>IF($A638&lt;&gt;"",MAXIFS(Token!$C:$C,Token!$A:$A,$D638),)</f>
        <v/>
      </c>
    </row>
    <row r="639">
      <c r="A639" s="39" t="str">
        <f>IF(AND($L639*1&gt;=$G$3,$L639*1&lt;=$G$4,$I639*$J639&gt;0,OR($I639&lt;&gt;$I640,$L639-$L640&gt;25),IF(ABS($I639)&gt;10,$I639/POW(10,$J639),$J639/POW(10,$I639))*MAXIFS(Token!$C:$C,Token!$A:$A,$K639)&gt;0.01),$L639/86400+DATE(1970,1,1)+$G$6,)</f>
        <v/>
      </c>
      <c r="B639" s="27" t="str">
        <f t="shared" si="1"/>
        <v/>
      </c>
      <c r="C639" s="14" t="str">
        <f>IF($A639&lt;&gt;"",MINIFS(Merchant!$A:$A,Merchant!$B:$B,$G$2),)</f>
        <v/>
      </c>
      <c r="D639" s="14" t="str">
        <f t="shared" si="2"/>
        <v/>
      </c>
      <c r="E639" s="14" t="str">
        <f t="shared" si="3"/>
        <v/>
      </c>
      <c r="F639" s="7" t="str">
        <f>IF($A639&lt;&gt;"",MAXIFS(Token!$C:$C,Token!$A:$A,$D639),)</f>
        <v/>
      </c>
    </row>
    <row r="640">
      <c r="A640" s="39" t="str">
        <f>IF(AND($L640*1&gt;=$G$3,$L640*1&lt;=$G$4,$I640*$J640&gt;0,OR($I640&lt;&gt;$I641,$L640-$L641&gt;25),IF(ABS($I640)&gt;10,$I640/POW(10,$J640),$J640/POW(10,$I640))*MAXIFS(Token!$C:$C,Token!$A:$A,$K640)&gt;0.01),$L640/86400+DATE(1970,1,1)+$G$6,)</f>
        <v/>
      </c>
      <c r="B640" s="27" t="str">
        <f t="shared" si="1"/>
        <v/>
      </c>
      <c r="C640" s="14" t="str">
        <f>IF($A640&lt;&gt;"",MINIFS(Merchant!$A:$A,Merchant!$B:$B,$G$2),)</f>
        <v/>
      </c>
      <c r="D640" s="14" t="str">
        <f t="shared" si="2"/>
        <v/>
      </c>
      <c r="E640" s="14" t="str">
        <f t="shared" si="3"/>
        <v/>
      </c>
      <c r="F640" s="7" t="str">
        <f>IF($A640&lt;&gt;"",MAXIFS(Token!$C:$C,Token!$A:$A,$D640),)</f>
        <v/>
      </c>
    </row>
    <row r="641">
      <c r="A641" s="39" t="str">
        <f>IF(AND($L641*1&gt;=$G$3,$L641*1&lt;=$G$4,$I641*$J641&gt;0,OR($I641&lt;&gt;$I642,$L641-$L642&gt;25),IF(ABS($I641)&gt;10,$I641/POW(10,$J641),$J641/POW(10,$I641))*MAXIFS(Token!$C:$C,Token!$A:$A,$K641)&gt;0.01),$L641/86400+DATE(1970,1,1)+$G$6,)</f>
        <v/>
      </c>
      <c r="B641" s="27" t="str">
        <f t="shared" si="1"/>
        <v/>
      </c>
      <c r="C641" s="14" t="str">
        <f>IF($A641&lt;&gt;"",MINIFS(Merchant!$A:$A,Merchant!$B:$B,$G$2),)</f>
        <v/>
      </c>
      <c r="D641" s="14" t="str">
        <f t="shared" si="2"/>
        <v/>
      </c>
      <c r="E641" s="14" t="str">
        <f t="shared" si="3"/>
        <v/>
      </c>
      <c r="F641" s="7" t="str">
        <f>IF($A641&lt;&gt;"",MAXIFS(Token!$C:$C,Token!$A:$A,$D641),)</f>
        <v/>
      </c>
    </row>
    <row r="642">
      <c r="A642" s="39" t="str">
        <f>IF(AND($L642*1&gt;=$G$3,$L642*1&lt;=$G$4,$I642*$J642&gt;0,OR($I642&lt;&gt;$I643,$L642-$L643&gt;25),IF(ABS($I642)&gt;10,$I642/POW(10,$J642),$J642/POW(10,$I642))*MAXIFS(Token!$C:$C,Token!$A:$A,$K642)&gt;0.01),$L642/86400+DATE(1970,1,1)+$G$6,)</f>
        <v/>
      </c>
      <c r="B642" s="27" t="str">
        <f t="shared" si="1"/>
        <v/>
      </c>
      <c r="C642" s="14" t="str">
        <f>IF($A642&lt;&gt;"",MINIFS(Merchant!$A:$A,Merchant!$B:$B,$G$2),)</f>
        <v/>
      </c>
      <c r="D642" s="14" t="str">
        <f t="shared" si="2"/>
        <v/>
      </c>
      <c r="E642" s="14" t="str">
        <f t="shared" si="3"/>
        <v/>
      </c>
      <c r="F642" s="7" t="str">
        <f>IF($A642&lt;&gt;"",MAXIFS(Token!$C:$C,Token!$A:$A,$D642),)</f>
        <v/>
      </c>
    </row>
    <row r="643">
      <c r="A643" s="39" t="str">
        <f>IF(AND($L643*1&gt;=$G$3,$L643*1&lt;=$G$4,$I643*$J643&gt;0,OR($I643&lt;&gt;$I644,$L643-$L644&gt;25),IF(ABS($I643)&gt;10,$I643/POW(10,$J643),$J643/POW(10,$I643))*MAXIFS(Token!$C:$C,Token!$A:$A,$K643)&gt;0.01),$L643/86400+DATE(1970,1,1)+$G$6,)</f>
        <v/>
      </c>
      <c r="B643" s="27" t="str">
        <f t="shared" si="1"/>
        <v/>
      </c>
      <c r="C643" s="14" t="str">
        <f>IF($A643&lt;&gt;"",MINIFS(Merchant!$A:$A,Merchant!$B:$B,$G$2),)</f>
        <v/>
      </c>
      <c r="D643" s="14" t="str">
        <f t="shared" si="2"/>
        <v/>
      </c>
      <c r="E643" s="14" t="str">
        <f t="shared" si="3"/>
        <v/>
      </c>
      <c r="F643" s="7" t="str">
        <f>IF($A643&lt;&gt;"",MAXIFS(Token!$C:$C,Token!$A:$A,$D643),)</f>
        <v/>
      </c>
    </row>
    <row r="644">
      <c r="A644" s="39" t="str">
        <f>IF(AND($L644*1&gt;=$G$3,$L644*1&lt;=$G$4,$I644*$J644&gt;0,OR($I644&lt;&gt;$I645,$L644-$L645&gt;25),IF(ABS($I644)&gt;10,$I644/POW(10,$J644),$J644/POW(10,$I644))*MAXIFS(Token!$C:$C,Token!$A:$A,$K644)&gt;0.01),$L644/86400+DATE(1970,1,1)+$G$6,)</f>
        <v/>
      </c>
      <c r="B644" s="27" t="str">
        <f t="shared" si="1"/>
        <v/>
      </c>
      <c r="C644" s="14" t="str">
        <f>IF($A644&lt;&gt;"",MINIFS(Merchant!$A:$A,Merchant!$B:$B,$G$2),)</f>
        <v/>
      </c>
      <c r="D644" s="14" t="str">
        <f t="shared" si="2"/>
        <v/>
      </c>
      <c r="E644" s="14" t="str">
        <f t="shared" si="3"/>
        <v/>
      </c>
      <c r="F644" s="7" t="str">
        <f>IF($A644&lt;&gt;"",MAXIFS(Token!$C:$C,Token!$A:$A,$D644),)</f>
        <v/>
      </c>
    </row>
    <row r="645">
      <c r="A645" s="39" t="str">
        <f>IF(AND($L645*1&gt;=$G$3,$L645*1&lt;=$G$4,$I645*$J645&gt;0,OR($I645&lt;&gt;$I646,$L645-$L646&gt;25),IF(ABS($I645)&gt;10,$I645/POW(10,$J645),$J645/POW(10,$I645))*MAXIFS(Token!$C:$C,Token!$A:$A,$K645)&gt;0.01),$L645/86400+DATE(1970,1,1)+$G$6,)</f>
        <v/>
      </c>
      <c r="B645" s="27" t="str">
        <f t="shared" si="1"/>
        <v/>
      </c>
      <c r="C645" s="14" t="str">
        <f>IF($A645&lt;&gt;"",MINIFS(Merchant!$A:$A,Merchant!$B:$B,$G$2),)</f>
        <v/>
      </c>
      <c r="D645" s="14" t="str">
        <f t="shared" si="2"/>
        <v/>
      </c>
      <c r="E645" s="14" t="str">
        <f t="shared" si="3"/>
        <v/>
      </c>
      <c r="F645" s="7" t="str">
        <f>IF($A645&lt;&gt;"",MAXIFS(Token!$C:$C,Token!$A:$A,$D645),)</f>
        <v/>
      </c>
    </row>
    <row r="646">
      <c r="A646" s="39" t="str">
        <f>IF(AND($L646*1&gt;=$G$3,$L646*1&lt;=$G$4,$I646*$J646&gt;0,OR($I646&lt;&gt;$I647,$L646-$L647&gt;25),IF(ABS($I646)&gt;10,$I646/POW(10,$J646),$J646/POW(10,$I646))*MAXIFS(Token!$C:$C,Token!$A:$A,$K646)&gt;0.01),$L646/86400+DATE(1970,1,1)+$G$6,)</f>
        <v/>
      </c>
      <c r="B646" s="27" t="str">
        <f t="shared" si="1"/>
        <v/>
      </c>
      <c r="C646" s="14" t="str">
        <f>IF($A646&lt;&gt;"",MINIFS(Merchant!$A:$A,Merchant!$B:$B,$G$2),)</f>
        <v/>
      </c>
      <c r="D646" s="14" t="str">
        <f t="shared" si="2"/>
        <v/>
      </c>
      <c r="E646" s="14" t="str">
        <f t="shared" si="3"/>
        <v/>
      </c>
      <c r="F646" s="7" t="str">
        <f>IF($A646&lt;&gt;"",MAXIFS(Token!$C:$C,Token!$A:$A,$D646),)</f>
        <v/>
      </c>
    </row>
    <row r="647">
      <c r="A647" s="39" t="str">
        <f>IF(AND($L647*1&gt;=$G$3,$L647*1&lt;=$G$4,$I647*$J647&gt;0,OR($I647&lt;&gt;$I648,$L647-$L648&gt;25),IF(ABS($I647)&gt;10,$I647/POW(10,$J647),$J647/POW(10,$I647))*MAXIFS(Token!$C:$C,Token!$A:$A,$K647)&gt;0.01),$L647/86400+DATE(1970,1,1)+$G$6,)</f>
        <v/>
      </c>
      <c r="B647" s="27" t="str">
        <f t="shared" si="1"/>
        <v/>
      </c>
      <c r="C647" s="14" t="str">
        <f>IF($A647&lt;&gt;"",MINIFS(Merchant!$A:$A,Merchant!$B:$B,$G$2),)</f>
        <v/>
      </c>
      <c r="D647" s="14" t="str">
        <f t="shared" si="2"/>
        <v/>
      </c>
      <c r="E647" s="14" t="str">
        <f t="shared" si="3"/>
        <v/>
      </c>
      <c r="F647" s="7" t="str">
        <f>IF($A647&lt;&gt;"",MAXIFS(Token!$C:$C,Token!$A:$A,$D647),)</f>
        <v/>
      </c>
    </row>
    <row r="648">
      <c r="A648" s="39" t="str">
        <f>IF(AND($L648*1&gt;=$G$3,$L648*1&lt;=$G$4,$I648*$J648&gt;0,OR($I648&lt;&gt;$I649,$L648-$L649&gt;25),IF(ABS($I648)&gt;10,$I648/POW(10,$J648),$J648/POW(10,$I648))*MAXIFS(Token!$C:$C,Token!$A:$A,$K648)&gt;0.01),$L648/86400+DATE(1970,1,1)+$G$6,)</f>
        <v/>
      </c>
      <c r="B648" s="27" t="str">
        <f t="shared" si="1"/>
        <v/>
      </c>
      <c r="C648" s="14" t="str">
        <f>IF($A648&lt;&gt;"",MINIFS(Merchant!$A:$A,Merchant!$B:$B,$G$2),)</f>
        <v/>
      </c>
      <c r="D648" s="14" t="str">
        <f t="shared" si="2"/>
        <v/>
      </c>
      <c r="E648" s="14" t="str">
        <f t="shared" si="3"/>
        <v/>
      </c>
      <c r="F648" s="7" t="str">
        <f>IF($A648&lt;&gt;"",MAXIFS(Token!$C:$C,Token!$A:$A,$D648),)</f>
        <v/>
      </c>
    </row>
    <row r="649">
      <c r="A649" s="39" t="str">
        <f>IF(AND($L649*1&gt;=$G$3,$L649*1&lt;=$G$4,$I649*$J649&gt;0,OR($I649&lt;&gt;$I650,$L649-$L650&gt;25),IF(ABS($I649)&gt;10,$I649/POW(10,$J649),$J649/POW(10,$I649))*MAXIFS(Token!$C:$C,Token!$A:$A,$K649)&gt;0.01),$L649/86400+DATE(1970,1,1)+$G$6,)</f>
        <v/>
      </c>
      <c r="B649" s="27" t="str">
        <f t="shared" si="1"/>
        <v/>
      </c>
      <c r="C649" s="14" t="str">
        <f>IF($A649&lt;&gt;"",MINIFS(Merchant!$A:$A,Merchant!$B:$B,$G$2),)</f>
        <v/>
      </c>
      <c r="D649" s="14" t="str">
        <f t="shared" si="2"/>
        <v/>
      </c>
      <c r="E649" s="14" t="str">
        <f t="shared" si="3"/>
        <v/>
      </c>
      <c r="F649" s="7" t="str">
        <f>IF($A649&lt;&gt;"",MAXIFS(Token!$C:$C,Token!$A:$A,$D649),)</f>
        <v/>
      </c>
    </row>
    <row r="650">
      <c r="A650" s="39" t="str">
        <f>IF(AND($L650*1&gt;=$G$3,$L650*1&lt;=$G$4,$I650*$J650&gt;0,OR($I650&lt;&gt;$I651,$L650-$L651&gt;25),IF(ABS($I650)&gt;10,$I650/POW(10,$J650),$J650/POW(10,$I650))*MAXIFS(Token!$C:$C,Token!$A:$A,$K650)&gt;0.01),$L650/86400+DATE(1970,1,1)+$G$6,)</f>
        <v/>
      </c>
      <c r="B650" s="27" t="str">
        <f t="shared" si="1"/>
        <v/>
      </c>
      <c r="C650" s="14" t="str">
        <f>IF($A650&lt;&gt;"",MINIFS(Merchant!$A:$A,Merchant!$B:$B,$G$2),)</f>
        <v/>
      </c>
      <c r="D650" s="14" t="str">
        <f t="shared" si="2"/>
        <v/>
      </c>
      <c r="E650" s="14" t="str">
        <f t="shared" si="3"/>
        <v/>
      </c>
      <c r="F650" s="7" t="str">
        <f>IF($A650&lt;&gt;"",MAXIFS(Token!$C:$C,Token!$A:$A,$D650),)</f>
        <v/>
      </c>
    </row>
    <row r="651">
      <c r="A651" s="39" t="str">
        <f>IF(AND($L651*1&gt;=$G$3,$L651*1&lt;=$G$4,$I651*$J651&gt;0,OR($I651&lt;&gt;$I652,$L651-$L652&gt;25),IF(ABS($I651)&gt;10,$I651/POW(10,$J651),$J651/POW(10,$I651))*MAXIFS(Token!$C:$C,Token!$A:$A,$K651)&gt;0.01),$L651/86400+DATE(1970,1,1)+$G$6,)</f>
        <v/>
      </c>
      <c r="B651" s="27" t="str">
        <f t="shared" si="1"/>
        <v/>
      </c>
      <c r="C651" s="14" t="str">
        <f>IF($A651&lt;&gt;"",MINIFS(Merchant!$A:$A,Merchant!$B:$B,$G$2),)</f>
        <v/>
      </c>
      <c r="D651" s="14" t="str">
        <f t="shared" si="2"/>
        <v/>
      </c>
      <c r="E651" s="14" t="str">
        <f t="shared" si="3"/>
        <v/>
      </c>
      <c r="F651" s="7" t="str">
        <f>IF($A651&lt;&gt;"",MAXIFS(Token!$C:$C,Token!$A:$A,$D651),)</f>
        <v/>
      </c>
    </row>
    <row r="652">
      <c r="A652" s="39" t="str">
        <f>IF(AND($L652*1&gt;=$G$3,$L652*1&lt;=$G$4,$I652*$J652&gt;0,OR($I652&lt;&gt;$I653,$L652-$L653&gt;25),IF(ABS($I652)&gt;10,$I652/POW(10,$J652),$J652/POW(10,$I652))*MAXIFS(Token!$C:$C,Token!$A:$A,$K652)&gt;0.01),$L652/86400+DATE(1970,1,1)+$G$6,)</f>
        <v/>
      </c>
      <c r="B652" s="27" t="str">
        <f t="shared" si="1"/>
        <v/>
      </c>
      <c r="C652" s="14" t="str">
        <f>IF($A652&lt;&gt;"",MINIFS(Merchant!$A:$A,Merchant!$B:$B,$G$2),)</f>
        <v/>
      </c>
      <c r="D652" s="14" t="str">
        <f t="shared" si="2"/>
        <v/>
      </c>
      <c r="E652" s="14" t="str">
        <f t="shared" si="3"/>
        <v/>
      </c>
      <c r="F652" s="7" t="str">
        <f>IF($A652&lt;&gt;"",MAXIFS(Token!$C:$C,Token!$A:$A,$D652),)</f>
        <v/>
      </c>
    </row>
    <row r="653">
      <c r="A653" s="39" t="str">
        <f>IF(AND($L653*1&gt;=$G$3,$L653*1&lt;=$G$4,$I653*$J653&gt;0,OR($I653&lt;&gt;$I654,$L653-$L654&gt;25),IF(ABS($I653)&gt;10,$I653/POW(10,$J653),$J653/POW(10,$I653))*MAXIFS(Token!$C:$C,Token!$A:$A,$K653)&gt;0.01),$L653/86400+DATE(1970,1,1)+$G$6,)</f>
        <v/>
      </c>
      <c r="B653" s="27" t="str">
        <f t="shared" si="1"/>
        <v/>
      </c>
      <c r="C653" s="14" t="str">
        <f>IF($A653&lt;&gt;"",MINIFS(Merchant!$A:$A,Merchant!$B:$B,$G$2),)</f>
        <v/>
      </c>
      <c r="D653" s="14" t="str">
        <f t="shared" si="2"/>
        <v/>
      </c>
      <c r="E653" s="14" t="str">
        <f t="shared" si="3"/>
        <v/>
      </c>
      <c r="F653" s="7" t="str">
        <f>IF($A653&lt;&gt;"",MAXIFS(Token!$C:$C,Token!$A:$A,$D653),)</f>
        <v/>
      </c>
    </row>
    <row r="654">
      <c r="A654" s="39" t="str">
        <f>IF(AND($L654*1&gt;=$G$3,$L654*1&lt;=$G$4,$I654*$J654&gt;0,OR($I654&lt;&gt;$I655,$L654-$L655&gt;25),IF(ABS($I654)&gt;10,$I654/POW(10,$J654),$J654/POW(10,$I654))*MAXIFS(Token!$C:$C,Token!$A:$A,$K654)&gt;0.01),$L654/86400+DATE(1970,1,1)+$G$6,)</f>
        <v/>
      </c>
      <c r="B654" s="27" t="str">
        <f t="shared" si="1"/>
        <v/>
      </c>
      <c r="C654" s="14" t="str">
        <f>IF($A654&lt;&gt;"",MINIFS(Merchant!$A:$A,Merchant!$B:$B,$G$2),)</f>
        <v/>
      </c>
      <c r="D654" s="14" t="str">
        <f t="shared" si="2"/>
        <v/>
      </c>
      <c r="E654" s="14" t="str">
        <f t="shared" si="3"/>
        <v/>
      </c>
      <c r="F654" s="7" t="str">
        <f>IF($A654&lt;&gt;"",MAXIFS(Token!$C:$C,Token!$A:$A,$D654),)</f>
        <v/>
      </c>
    </row>
    <row r="655">
      <c r="A655" s="39" t="str">
        <f>IF(AND($L655*1&gt;=$G$3,$L655*1&lt;=$G$4,$I655*$J655&gt;0,OR($I655&lt;&gt;$I656,$L655-$L656&gt;25),IF(ABS($I655)&gt;10,$I655/POW(10,$J655),$J655/POW(10,$I655))*MAXIFS(Token!$C:$C,Token!$A:$A,$K655)&gt;0.01),$L655/86400+DATE(1970,1,1)+$G$6,)</f>
        <v/>
      </c>
      <c r="B655" s="27" t="str">
        <f t="shared" si="1"/>
        <v/>
      </c>
      <c r="C655" s="14" t="str">
        <f>IF($A655&lt;&gt;"",MINIFS(Merchant!$A:$A,Merchant!$B:$B,$G$2),)</f>
        <v/>
      </c>
      <c r="D655" s="14" t="str">
        <f t="shared" si="2"/>
        <v/>
      </c>
      <c r="E655" s="14" t="str">
        <f t="shared" si="3"/>
        <v/>
      </c>
      <c r="F655" s="7" t="str">
        <f>IF($A655&lt;&gt;"",MAXIFS(Token!$C:$C,Token!$A:$A,$D655),)</f>
        <v/>
      </c>
    </row>
    <row r="656">
      <c r="A656" s="39" t="str">
        <f>IF(AND($L656*1&gt;=$G$3,$L656*1&lt;=$G$4,$I656*$J656&gt;0,OR($I656&lt;&gt;$I657,$L656-$L657&gt;25),IF(ABS($I656)&gt;10,$I656/POW(10,$J656),$J656/POW(10,$I656))*MAXIFS(Token!$C:$C,Token!$A:$A,$K656)&gt;0.01),$L656/86400+DATE(1970,1,1)+$G$6,)</f>
        <v/>
      </c>
      <c r="B656" s="27" t="str">
        <f t="shared" si="1"/>
        <v/>
      </c>
      <c r="C656" s="14" t="str">
        <f>IF($A656&lt;&gt;"",MINIFS(Merchant!$A:$A,Merchant!$B:$B,$G$2),)</f>
        <v/>
      </c>
      <c r="D656" s="14" t="str">
        <f t="shared" si="2"/>
        <v/>
      </c>
      <c r="E656" s="14" t="str">
        <f t="shared" si="3"/>
        <v/>
      </c>
      <c r="F656" s="7" t="str">
        <f>IF($A656&lt;&gt;"",MAXIFS(Token!$C:$C,Token!$A:$A,$D656),)</f>
        <v/>
      </c>
    </row>
    <row r="657">
      <c r="A657" s="39" t="str">
        <f>IF(AND($L657*1&gt;=$G$3,$L657*1&lt;=$G$4,$I657*$J657&gt;0,OR($I657&lt;&gt;$I658,$L657-$L658&gt;25),IF(ABS($I657)&gt;10,$I657/POW(10,$J657),$J657/POW(10,$I657))*MAXIFS(Token!$C:$C,Token!$A:$A,$K657)&gt;0.01),$L657/86400+DATE(1970,1,1)+$G$6,)</f>
        <v/>
      </c>
      <c r="B657" s="27" t="str">
        <f t="shared" si="1"/>
        <v/>
      </c>
      <c r="C657" s="14" t="str">
        <f>IF($A657&lt;&gt;"",MINIFS(Merchant!$A:$A,Merchant!$B:$B,$G$2),)</f>
        <v/>
      </c>
      <c r="D657" s="14" t="str">
        <f t="shared" si="2"/>
        <v/>
      </c>
      <c r="E657" s="14" t="str">
        <f t="shared" si="3"/>
        <v/>
      </c>
      <c r="F657" s="7" t="str">
        <f>IF($A657&lt;&gt;"",MAXIFS(Token!$C:$C,Token!$A:$A,$D657),)</f>
        <v/>
      </c>
    </row>
    <row r="658">
      <c r="A658" s="39" t="str">
        <f>IF(AND($L658*1&gt;=$G$3,$L658*1&lt;=$G$4,$I658*$J658&gt;0,OR($I658&lt;&gt;$I659,$L658-$L659&gt;25),IF(ABS($I658)&gt;10,$I658/POW(10,$J658),$J658/POW(10,$I658))*MAXIFS(Token!$C:$C,Token!$A:$A,$K658)&gt;0.01),$L658/86400+DATE(1970,1,1)+$G$6,)</f>
        <v/>
      </c>
      <c r="B658" s="27" t="str">
        <f t="shared" si="1"/>
        <v/>
      </c>
      <c r="C658" s="14" t="str">
        <f>IF($A658&lt;&gt;"",MINIFS(Merchant!$A:$A,Merchant!$B:$B,$G$2),)</f>
        <v/>
      </c>
      <c r="D658" s="14" t="str">
        <f t="shared" si="2"/>
        <v/>
      </c>
      <c r="E658" s="14" t="str">
        <f t="shared" si="3"/>
        <v/>
      </c>
      <c r="F658" s="7" t="str">
        <f>IF($A658&lt;&gt;"",MAXIFS(Token!$C:$C,Token!$A:$A,$D658),)</f>
        <v/>
      </c>
    </row>
    <row r="659">
      <c r="A659" s="39" t="str">
        <f>IF(AND($L659*1&gt;=$G$3,$L659*1&lt;=$G$4,$I659*$J659&gt;0,OR($I659&lt;&gt;$I660,$L659-$L660&gt;25),IF(ABS($I659)&gt;10,$I659/POW(10,$J659),$J659/POW(10,$I659))*MAXIFS(Token!$C:$C,Token!$A:$A,$K659)&gt;0.01),$L659/86400+DATE(1970,1,1)+$G$6,)</f>
        <v/>
      </c>
      <c r="B659" s="27" t="str">
        <f t="shared" si="1"/>
        <v/>
      </c>
      <c r="C659" s="14" t="str">
        <f>IF($A659&lt;&gt;"",MINIFS(Merchant!$A:$A,Merchant!$B:$B,$G$2),)</f>
        <v/>
      </c>
      <c r="D659" s="14" t="str">
        <f t="shared" si="2"/>
        <v/>
      </c>
      <c r="E659" s="14" t="str">
        <f t="shared" si="3"/>
        <v/>
      </c>
      <c r="F659" s="7" t="str">
        <f>IF($A659&lt;&gt;"",MAXIFS(Token!$C:$C,Token!$A:$A,$D659),)</f>
        <v/>
      </c>
    </row>
    <row r="660">
      <c r="A660" s="39" t="str">
        <f>IF(AND($L660*1&gt;=$G$3,$L660*1&lt;=$G$4,$I660*$J660&gt;0,OR($I660&lt;&gt;$I661,$L660-$L661&gt;25),IF(ABS($I660)&gt;10,$I660/POW(10,$J660),$J660/POW(10,$I660))*MAXIFS(Token!$C:$C,Token!$A:$A,$K660)&gt;0.01),$L660/86400+DATE(1970,1,1)+$G$6,)</f>
        <v/>
      </c>
      <c r="B660" s="27" t="str">
        <f t="shared" si="1"/>
        <v/>
      </c>
      <c r="C660" s="14" t="str">
        <f>IF($A660&lt;&gt;"",MINIFS(Merchant!$A:$A,Merchant!$B:$B,$G$2),)</f>
        <v/>
      </c>
      <c r="D660" s="14" t="str">
        <f t="shared" si="2"/>
        <v/>
      </c>
      <c r="E660" s="14" t="str">
        <f t="shared" si="3"/>
        <v/>
      </c>
      <c r="F660" s="7" t="str">
        <f>IF($A660&lt;&gt;"",MAXIFS(Token!$C:$C,Token!$A:$A,$D660),)</f>
        <v/>
      </c>
    </row>
    <row r="661">
      <c r="A661" s="39" t="str">
        <f>IF(AND($L661*1&gt;=$G$3,$L661*1&lt;=$G$4,$I661*$J661&gt;0,OR($I661&lt;&gt;$I662,$L661-$L662&gt;25),IF(ABS($I661)&gt;10,$I661/POW(10,$J661),$J661/POW(10,$I661))*MAXIFS(Token!$C:$C,Token!$A:$A,$K661)&gt;0.01),$L661/86400+DATE(1970,1,1)+$G$6,)</f>
        <v/>
      </c>
      <c r="B661" s="27" t="str">
        <f t="shared" si="1"/>
        <v/>
      </c>
      <c r="C661" s="14" t="str">
        <f>IF($A661&lt;&gt;"",MINIFS(Merchant!$A:$A,Merchant!$B:$B,$G$2),)</f>
        <v/>
      </c>
      <c r="D661" s="14" t="str">
        <f t="shared" si="2"/>
        <v/>
      </c>
      <c r="E661" s="14" t="str">
        <f t="shared" si="3"/>
        <v/>
      </c>
      <c r="F661" s="7" t="str">
        <f>IF($A661&lt;&gt;"",MAXIFS(Token!$C:$C,Token!$A:$A,$D661),)</f>
        <v/>
      </c>
    </row>
    <row r="662">
      <c r="A662" s="39" t="str">
        <f>IF(AND($L662*1&gt;=$G$3,$L662*1&lt;=$G$4,$I662*$J662&gt;0,OR($I662&lt;&gt;$I663,$L662-$L663&gt;25),IF(ABS($I662)&gt;10,$I662/POW(10,$J662),$J662/POW(10,$I662))*MAXIFS(Token!$C:$C,Token!$A:$A,$K662)&gt;0.01),$L662/86400+DATE(1970,1,1)+$G$6,)</f>
        <v/>
      </c>
      <c r="B662" s="27" t="str">
        <f t="shared" si="1"/>
        <v/>
      </c>
      <c r="C662" s="14" t="str">
        <f>IF($A662&lt;&gt;"",MINIFS(Merchant!$A:$A,Merchant!$B:$B,$G$2),)</f>
        <v/>
      </c>
      <c r="D662" s="14" t="str">
        <f t="shared" si="2"/>
        <v/>
      </c>
      <c r="E662" s="14" t="str">
        <f t="shared" si="3"/>
        <v/>
      </c>
      <c r="F662" s="7" t="str">
        <f>IF($A662&lt;&gt;"",MAXIFS(Token!$C:$C,Token!$A:$A,$D662),)</f>
        <v/>
      </c>
    </row>
    <row r="663">
      <c r="A663" s="39" t="str">
        <f>IF(AND($L663*1&gt;=$G$3,$L663*1&lt;=$G$4,$I663*$J663&gt;0,OR($I663&lt;&gt;$I664,$L663-$L664&gt;25),IF(ABS($I663)&gt;10,$I663/POW(10,$J663),$J663/POW(10,$I663))*MAXIFS(Token!$C:$C,Token!$A:$A,$K663)&gt;0.01),$L663/86400+DATE(1970,1,1)+$G$6,)</f>
        <v/>
      </c>
      <c r="B663" s="27" t="str">
        <f t="shared" si="1"/>
        <v/>
      </c>
      <c r="C663" s="14" t="str">
        <f>IF($A663&lt;&gt;"",MINIFS(Merchant!$A:$A,Merchant!$B:$B,$G$2),)</f>
        <v/>
      </c>
      <c r="D663" s="14" t="str">
        <f t="shared" si="2"/>
        <v/>
      </c>
      <c r="E663" s="14" t="str">
        <f t="shared" si="3"/>
        <v/>
      </c>
      <c r="F663" s="7" t="str">
        <f>IF($A663&lt;&gt;"",MAXIFS(Token!$C:$C,Token!$A:$A,$D663),)</f>
        <v/>
      </c>
    </row>
    <row r="664">
      <c r="A664" s="39" t="str">
        <f>IF(AND($L664*1&gt;=$G$3,$L664*1&lt;=$G$4,$I664*$J664&gt;0,OR($I664&lt;&gt;$I665,$L664-$L665&gt;25),IF(ABS($I664)&gt;10,$I664/POW(10,$J664),$J664/POW(10,$I664))*MAXIFS(Token!$C:$C,Token!$A:$A,$K664)&gt;0.01),$L664/86400+DATE(1970,1,1)+$G$6,)</f>
        <v/>
      </c>
      <c r="B664" s="27" t="str">
        <f t="shared" si="1"/>
        <v/>
      </c>
      <c r="C664" s="14" t="str">
        <f>IF($A664&lt;&gt;"",MINIFS(Merchant!$A:$A,Merchant!$B:$B,$G$2),)</f>
        <v/>
      </c>
      <c r="D664" s="14" t="str">
        <f t="shared" si="2"/>
        <v/>
      </c>
      <c r="E664" s="14" t="str">
        <f t="shared" si="3"/>
        <v/>
      </c>
      <c r="F664" s="7" t="str">
        <f>IF($A664&lt;&gt;"",MAXIFS(Token!$C:$C,Token!$A:$A,$D664),)</f>
        <v/>
      </c>
    </row>
    <row r="665">
      <c r="A665" s="39" t="str">
        <f>IF(AND($L665*1&gt;=$G$3,$L665*1&lt;=$G$4,$I665*$J665&gt;0,OR($I665&lt;&gt;$I666,$L665-$L666&gt;25),IF(ABS($I665)&gt;10,$I665/POW(10,$J665),$J665/POW(10,$I665))*MAXIFS(Token!$C:$C,Token!$A:$A,$K665)&gt;0.01),$L665/86400+DATE(1970,1,1)+$G$6,)</f>
        <v/>
      </c>
      <c r="B665" s="27" t="str">
        <f t="shared" si="1"/>
        <v/>
      </c>
      <c r="C665" s="14" t="str">
        <f>IF($A665&lt;&gt;"",MINIFS(Merchant!$A:$A,Merchant!$B:$B,$G$2),)</f>
        <v/>
      </c>
      <c r="D665" s="14" t="str">
        <f t="shared" si="2"/>
        <v/>
      </c>
      <c r="E665" s="14" t="str">
        <f t="shared" si="3"/>
        <v/>
      </c>
      <c r="F665" s="7" t="str">
        <f>IF($A665&lt;&gt;"",MAXIFS(Token!$C:$C,Token!$A:$A,$D665),)</f>
        <v/>
      </c>
    </row>
    <row r="666">
      <c r="A666" s="39" t="str">
        <f>IF(AND($L666*1&gt;=$G$3,$L666*1&lt;=$G$4,$I666*$J666&gt;0,OR($I666&lt;&gt;$I667,$L666-$L667&gt;25),IF(ABS($I666)&gt;10,$I666/POW(10,$J666),$J666/POW(10,$I666))*MAXIFS(Token!$C:$C,Token!$A:$A,$K666)&gt;0.01),$L666/86400+DATE(1970,1,1)+$G$6,)</f>
        <v/>
      </c>
      <c r="B666" s="27" t="str">
        <f t="shared" si="1"/>
        <v/>
      </c>
      <c r="C666" s="14" t="str">
        <f>IF($A666&lt;&gt;"",MINIFS(Merchant!$A:$A,Merchant!$B:$B,$G$2),)</f>
        <v/>
      </c>
      <c r="D666" s="14" t="str">
        <f t="shared" si="2"/>
        <v/>
      </c>
      <c r="E666" s="14" t="str">
        <f t="shared" si="3"/>
        <v/>
      </c>
      <c r="F666" s="7" t="str">
        <f>IF($A666&lt;&gt;"",MAXIFS(Token!$C:$C,Token!$A:$A,$D666),)</f>
        <v/>
      </c>
    </row>
    <row r="667">
      <c r="A667" s="39" t="str">
        <f>IF(AND($L667*1&gt;=$G$3,$L667*1&lt;=$G$4,$I667*$J667&gt;0,OR($I667&lt;&gt;$I668,$L667-$L668&gt;25),IF(ABS($I667)&gt;10,$I667/POW(10,$J667),$J667/POW(10,$I667))*MAXIFS(Token!$C:$C,Token!$A:$A,$K667)&gt;0.01),$L667/86400+DATE(1970,1,1)+$G$6,)</f>
        <v/>
      </c>
      <c r="B667" s="27" t="str">
        <f t="shared" si="1"/>
        <v/>
      </c>
      <c r="C667" s="14" t="str">
        <f>IF($A667&lt;&gt;"",MINIFS(Merchant!$A:$A,Merchant!$B:$B,$G$2),)</f>
        <v/>
      </c>
      <c r="D667" s="14" t="str">
        <f t="shared" si="2"/>
        <v/>
      </c>
      <c r="E667" s="14" t="str">
        <f t="shared" si="3"/>
        <v/>
      </c>
      <c r="F667" s="7" t="str">
        <f>IF($A667&lt;&gt;"",MAXIFS(Token!$C:$C,Token!$A:$A,$D667),)</f>
        <v/>
      </c>
    </row>
    <row r="668">
      <c r="A668" s="39" t="str">
        <f>IF(AND($L668*1&gt;=$G$3,$L668*1&lt;=$G$4,$I668*$J668&gt;0,OR($I668&lt;&gt;$I669,$L668-$L669&gt;25),IF(ABS($I668)&gt;10,$I668/POW(10,$J668),$J668/POW(10,$I668))*MAXIFS(Token!$C:$C,Token!$A:$A,$K668)&gt;0.01),$L668/86400+DATE(1970,1,1)+$G$6,)</f>
        <v/>
      </c>
      <c r="B668" s="27" t="str">
        <f t="shared" si="1"/>
        <v/>
      </c>
      <c r="C668" s="14" t="str">
        <f>IF($A668&lt;&gt;"",MINIFS(Merchant!$A:$A,Merchant!$B:$B,$G$2),)</f>
        <v/>
      </c>
      <c r="D668" s="14" t="str">
        <f t="shared" si="2"/>
        <v/>
      </c>
      <c r="E668" s="14" t="str">
        <f t="shared" si="3"/>
        <v/>
      </c>
      <c r="F668" s="7" t="str">
        <f>IF($A668&lt;&gt;"",MAXIFS(Token!$C:$C,Token!$A:$A,$D668),)</f>
        <v/>
      </c>
    </row>
    <row r="669">
      <c r="A669" s="39" t="str">
        <f>IF(AND($L669*1&gt;=$G$3,$L669*1&lt;=$G$4,$I669*$J669&gt;0,OR($I669&lt;&gt;$I670,$L669-$L670&gt;25),IF(ABS($I669)&gt;10,$I669/POW(10,$J669),$J669/POW(10,$I669))*MAXIFS(Token!$C:$C,Token!$A:$A,$K669)&gt;0.01),$L669/86400+DATE(1970,1,1)+$G$6,)</f>
        <v/>
      </c>
      <c r="B669" s="27" t="str">
        <f t="shared" si="1"/>
        <v/>
      </c>
      <c r="C669" s="14" t="str">
        <f>IF($A669&lt;&gt;"",MINIFS(Merchant!$A:$A,Merchant!$B:$B,$G$2),)</f>
        <v/>
      </c>
      <c r="D669" s="14" t="str">
        <f t="shared" si="2"/>
        <v/>
      </c>
      <c r="E669" s="14" t="str">
        <f t="shared" si="3"/>
        <v/>
      </c>
      <c r="F669" s="7" t="str">
        <f>IF($A669&lt;&gt;"",MAXIFS(Token!$C:$C,Token!$A:$A,$D669),)</f>
        <v/>
      </c>
    </row>
    <row r="670">
      <c r="A670" s="39" t="str">
        <f>IF(AND($L670*1&gt;=$G$3,$L670*1&lt;=$G$4,$I670*$J670&gt;0,OR($I670&lt;&gt;$I671,$L670-$L671&gt;25),IF(ABS($I670)&gt;10,$I670/POW(10,$J670),$J670/POW(10,$I670))*MAXIFS(Token!$C:$C,Token!$A:$A,$K670)&gt;0.01),$L670/86400+DATE(1970,1,1)+$G$6,)</f>
        <v/>
      </c>
      <c r="B670" s="27" t="str">
        <f t="shared" si="1"/>
        <v/>
      </c>
      <c r="C670" s="14" t="str">
        <f>IF($A670&lt;&gt;"",MINIFS(Merchant!$A:$A,Merchant!$B:$B,$G$2),)</f>
        <v/>
      </c>
      <c r="D670" s="14" t="str">
        <f t="shared" si="2"/>
        <v/>
      </c>
      <c r="E670" s="14" t="str">
        <f t="shared" si="3"/>
        <v/>
      </c>
      <c r="F670" s="7" t="str">
        <f>IF($A670&lt;&gt;"",MAXIFS(Token!$C:$C,Token!$A:$A,$D670),)</f>
        <v/>
      </c>
    </row>
    <row r="671">
      <c r="A671" s="39" t="str">
        <f>IF(AND($L671*1&gt;=$G$3,$L671*1&lt;=$G$4,$I671*$J671&gt;0,OR($I671&lt;&gt;$I672,$L671-$L672&gt;25),IF(ABS($I671)&gt;10,$I671/POW(10,$J671),$J671/POW(10,$I671))*MAXIFS(Token!$C:$C,Token!$A:$A,$K671)&gt;0.01),$L671/86400+DATE(1970,1,1)+$G$6,)</f>
        <v/>
      </c>
      <c r="B671" s="27" t="str">
        <f t="shared" si="1"/>
        <v/>
      </c>
      <c r="C671" s="14" t="str">
        <f>IF($A671&lt;&gt;"",MINIFS(Merchant!$A:$A,Merchant!$B:$B,$G$2),)</f>
        <v/>
      </c>
      <c r="D671" s="14" t="str">
        <f t="shared" si="2"/>
        <v/>
      </c>
      <c r="E671" s="14" t="str">
        <f t="shared" si="3"/>
        <v/>
      </c>
      <c r="F671" s="7" t="str">
        <f>IF($A671&lt;&gt;"",MAXIFS(Token!$C:$C,Token!$A:$A,$D671),)</f>
        <v/>
      </c>
    </row>
    <row r="672">
      <c r="A672" s="39" t="str">
        <f>IF(AND($L672*1&gt;=$G$3,$L672*1&lt;=$G$4,$I672*$J672&gt;0,OR($I672&lt;&gt;$I673,$L672-$L673&gt;25),IF(ABS($I672)&gt;10,$I672/POW(10,$J672),$J672/POW(10,$I672))*MAXIFS(Token!$C:$C,Token!$A:$A,$K672)&gt;0.01),$L672/86400+DATE(1970,1,1)+$G$6,)</f>
        <v/>
      </c>
      <c r="B672" s="27" t="str">
        <f t="shared" si="1"/>
        <v/>
      </c>
      <c r="C672" s="14" t="str">
        <f>IF($A672&lt;&gt;"",MINIFS(Merchant!$A:$A,Merchant!$B:$B,$G$2),)</f>
        <v/>
      </c>
      <c r="D672" s="14" t="str">
        <f t="shared" si="2"/>
        <v/>
      </c>
      <c r="E672" s="14" t="str">
        <f t="shared" si="3"/>
        <v/>
      </c>
      <c r="F672" s="7" t="str">
        <f>IF($A672&lt;&gt;"",MAXIFS(Token!$C:$C,Token!$A:$A,$D672),)</f>
        <v/>
      </c>
    </row>
    <row r="673">
      <c r="A673" s="39" t="str">
        <f>IF(AND($L673*1&gt;=$G$3,$L673*1&lt;=$G$4,$I673*$J673&gt;0,OR($I673&lt;&gt;$I674,$L673-$L674&gt;25),IF(ABS($I673)&gt;10,$I673/POW(10,$J673),$J673/POW(10,$I673))*MAXIFS(Token!$C:$C,Token!$A:$A,$K673)&gt;0.01),$L673/86400+DATE(1970,1,1)+$G$6,)</f>
        <v/>
      </c>
      <c r="B673" s="27" t="str">
        <f t="shared" si="1"/>
        <v/>
      </c>
      <c r="C673" s="14" t="str">
        <f>IF($A673&lt;&gt;"",MINIFS(Merchant!$A:$A,Merchant!$B:$B,$G$2),)</f>
        <v/>
      </c>
      <c r="D673" s="14" t="str">
        <f t="shared" si="2"/>
        <v/>
      </c>
      <c r="E673" s="14" t="str">
        <f t="shared" si="3"/>
        <v/>
      </c>
      <c r="F673" s="7" t="str">
        <f>IF($A673&lt;&gt;"",MAXIFS(Token!$C:$C,Token!$A:$A,$D673),)</f>
        <v/>
      </c>
    </row>
    <row r="674">
      <c r="A674" s="39" t="str">
        <f>IF(AND($L674*1&gt;=$G$3,$L674*1&lt;=$G$4,$I674*$J674&gt;0,OR($I674&lt;&gt;$I675,$L674-$L675&gt;25),IF(ABS($I674)&gt;10,$I674/POW(10,$J674),$J674/POW(10,$I674))*MAXIFS(Token!$C:$C,Token!$A:$A,$K674)&gt;0.01),$L674/86400+DATE(1970,1,1)+$G$6,)</f>
        <v/>
      </c>
      <c r="B674" s="27" t="str">
        <f t="shared" si="1"/>
        <v/>
      </c>
      <c r="C674" s="14" t="str">
        <f>IF($A674&lt;&gt;"",MINIFS(Merchant!$A:$A,Merchant!$B:$B,$G$2),)</f>
        <v/>
      </c>
      <c r="D674" s="14" t="str">
        <f t="shared" si="2"/>
        <v/>
      </c>
      <c r="E674" s="14" t="str">
        <f t="shared" si="3"/>
        <v/>
      </c>
      <c r="F674" s="7" t="str">
        <f>IF($A674&lt;&gt;"",MAXIFS(Token!$C:$C,Token!$A:$A,$D674),)</f>
        <v/>
      </c>
    </row>
    <row r="675">
      <c r="A675" s="39" t="str">
        <f>IF(AND($L675*1&gt;=$G$3,$L675*1&lt;=$G$4,$I675*$J675&gt;0,OR($I675&lt;&gt;$I676,$L675-$L676&gt;25),IF(ABS($I675)&gt;10,$I675/POW(10,$J675),$J675/POW(10,$I675))*MAXIFS(Token!$C:$C,Token!$A:$A,$K675)&gt;0.01),$L675/86400+DATE(1970,1,1)+$G$6,)</f>
        <v/>
      </c>
      <c r="B675" s="27" t="str">
        <f t="shared" si="1"/>
        <v/>
      </c>
      <c r="C675" s="14" t="str">
        <f>IF($A675&lt;&gt;"",MINIFS(Merchant!$A:$A,Merchant!$B:$B,$G$2),)</f>
        <v/>
      </c>
      <c r="D675" s="14" t="str">
        <f t="shared" si="2"/>
        <v/>
      </c>
      <c r="E675" s="14" t="str">
        <f t="shared" si="3"/>
        <v/>
      </c>
      <c r="F675" s="7" t="str">
        <f>IF($A675&lt;&gt;"",MAXIFS(Token!$C:$C,Token!$A:$A,$D675),)</f>
        <v/>
      </c>
    </row>
    <row r="676">
      <c r="A676" s="39" t="str">
        <f>IF(AND($L676*1&gt;=$G$3,$L676*1&lt;=$G$4,$I676*$J676&gt;0,OR($I676&lt;&gt;$I677,$L676-$L677&gt;25),IF(ABS($I676)&gt;10,$I676/POW(10,$J676),$J676/POW(10,$I676))*MAXIFS(Token!$C:$C,Token!$A:$A,$K676)&gt;0.01),$L676/86400+DATE(1970,1,1)+$G$6,)</f>
        <v/>
      </c>
      <c r="B676" s="27" t="str">
        <f t="shared" si="1"/>
        <v/>
      </c>
      <c r="C676" s="14" t="str">
        <f>IF($A676&lt;&gt;"",MINIFS(Merchant!$A:$A,Merchant!$B:$B,$G$2),)</f>
        <v/>
      </c>
      <c r="D676" s="14" t="str">
        <f t="shared" si="2"/>
        <v/>
      </c>
      <c r="E676" s="14" t="str">
        <f t="shared" si="3"/>
        <v/>
      </c>
      <c r="F676" s="7" t="str">
        <f>IF($A676&lt;&gt;"",MAXIFS(Token!$C:$C,Token!$A:$A,$D676),)</f>
        <v/>
      </c>
    </row>
    <row r="677">
      <c r="A677" s="39" t="str">
        <f>IF(AND($L677*1&gt;=$G$3,$L677*1&lt;=$G$4,$I677*$J677&gt;0,OR($I677&lt;&gt;$I678,$L677-$L678&gt;25),IF(ABS($I677)&gt;10,$I677/POW(10,$J677),$J677/POW(10,$I677))*MAXIFS(Token!$C:$C,Token!$A:$A,$K677)&gt;0.01),$L677/86400+DATE(1970,1,1)+$G$6,)</f>
        <v/>
      </c>
      <c r="B677" s="27" t="str">
        <f t="shared" si="1"/>
        <v/>
      </c>
      <c r="C677" s="14" t="str">
        <f>IF($A677&lt;&gt;"",MINIFS(Merchant!$A:$A,Merchant!$B:$B,$G$2),)</f>
        <v/>
      </c>
      <c r="D677" s="14" t="str">
        <f t="shared" si="2"/>
        <v/>
      </c>
      <c r="E677" s="14" t="str">
        <f t="shared" si="3"/>
        <v/>
      </c>
      <c r="F677" s="7" t="str">
        <f>IF($A677&lt;&gt;"",MAXIFS(Token!$C:$C,Token!$A:$A,$D677),)</f>
        <v/>
      </c>
    </row>
    <row r="678">
      <c r="A678" s="39" t="str">
        <f>IF(AND($L678*1&gt;=$G$3,$L678*1&lt;=$G$4,$I678*$J678&gt;0,OR($I678&lt;&gt;$I679,$L678-$L679&gt;25),IF(ABS($I678)&gt;10,$I678/POW(10,$J678),$J678/POW(10,$I678))*MAXIFS(Token!$C:$C,Token!$A:$A,$K678)&gt;0.01),$L678/86400+DATE(1970,1,1)+$G$6,)</f>
        <v/>
      </c>
      <c r="B678" s="27" t="str">
        <f t="shared" si="1"/>
        <v/>
      </c>
      <c r="C678" s="14" t="str">
        <f>IF($A678&lt;&gt;"",MINIFS(Merchant!$A:$A,Merchant!$B:$B,$G$2),)</f>
        <v/>
      </c>
      <c r="D678" s="14" t="str">
        <f t="shared" si="2"/>
        <v/>
      </c>
      <c r="E678" s="14" t="str">
        <f t="shared" si="3"/>
        <v/>
      </c>
      <c r="F678" s="7" t="str">
        <f>IF($A678&lt;&gt;"",MAXIFS(Token!$C:$C,Token!$A:$A,$D678),)</f>
        <v/>
      </c>
    </row>
    <row r="679">
      <c r="A679" s="39" t="str">
        <f>IF(AND($L679*1&gt;=$G$3,$L679*1&lt;=$G$4,$I679*$J679&gt;0,OR($I679&lt;&gt;$I680,$L679-$L680&gt;25),IF(ABS($I679)&gt;10,$I679/POW(10,$J679),$J679/POW(10,$I679))*MAXIFS(Token!$C:$C,Token!$A:$A,$K679)&gt;0.01),$L679/86400+DATE(1970,1,1)+$G$6,)</f>
        <v/>
      </c>
      <c r="B679" s="27" t="str">
        <f t="shared" si="1"/>
        <v/>
      </c>
      <c r="C679" s="14" t="str">
        <f>IF($A679&lt;&gt;"",MINIFS(Merchant!$A:$A,Merchant!$B:$B,$G$2),)</f>
        <v/>
      </c>
      <c r="D679" s="14" t="str">
        <f t="shared" si="2"/>
        <v/>
      </c>
      <c r="E679" s="14" t="str">
        <f t="shared" si="3"/>
        <v/>
      </c>
      <c r="F679" s="7" t="str">
        <f>IF($A679&lt;&gt;"",MAXIFS(Token!$C:$C,Token!$A:$A,$D679),)</f>
        <v/>
      </c>
    </row>
    <row r="680">
      <c r="A680" s="39" t="str">
        <f>IF(AND($L680*1&gt;=$G$3,$L680*1&lt;=$G$4,$I680*$J680&gt;0,OR($I680&lt;&gt;$I681,$L680-$L681&gt;25),IF(ABS($I680)&gt;10,$I680/POW(10,$J680),$J680/POW(10,$I680))*MAXIFS(Token!$C:$C,Token!$A:$A,$K680)&gt;0.01),$L680/86400+DATE(1970,1,1)+$G$6,)</f>
        <v/>
      </c>
      <c r="B680" s="27" t="str">
        <f t="shared" si="1"/>
        <v/>
      </c>
      <c r="C680" s="14" t="str">
        <f>IF($A680&lt;&gt;"",MINIFS(Merchant!$A:$A,Merchant!$B:$B,$G$2),)</f>
        <v/>
      </c>
      <c r="D680" s="14" t="str">
        <f t="shared" si="2"/>
        <v/>
      </c>
      <c r="E680" s="14" t="str">
        <f t="shared" si="3"/>
        <v/>
      </c>
      <c r="F680" s="7" t="str">
        <f>IF($A680&lt;&gt;"",MAXIFS(Token!$C:$C,Token!$A:$A,$D680),)</f>
        <v/>
      </c>
    </row>
    <row r="681">
      <c r="A681" s="39" t="str">
        <f>IF(AND($L681*1&gt;=$G$3,$L681*1&lt;=$G$4,$I681*$J681&gt;0,OR($I681&lt;&gt;$I682,$L681-$L682&gt;25),IF(ABS($I681)&gt;10,$I681/POW(10,$J681),$J681/POW(10,$I681))*MAXIFS(Token!$C:$C,Token!$A:$A,$K681)&gt;0.01),$L681/86400+DATE(1970,1,1)+$G$6,)</f>
        <v/>
      </c>
      <c r="B681" s="27" t="str">
        <f t="shared" si="1"/>
        <v/>
      </c>
      <c r="C681" s="14" t="str">
        <f>IF($A681&lt;&gt;"",MINIFS(Merchant!$A:$A,Merchant!$B:$B,$G$2),)</f>
        <v/>
      </c>
      <c r="D681" s="14" t="str">
        <f t="shared" si="2"/>
        <v/>
      </c>
      <c r="E681" s="14" t="str">
        <f t="shared" si="3"/>
        <v/>
      </c>
      <c r="F681" s="7" t="str">
        <f>IF($A681&lt;&gt;"",MAXIFS(Token!$C:$C,Token!$A:$A,$D681),)</f>
        <v/>
      </c>
    </row>
    <row r="682">
      <c r="A682" s="39" t="str">
        <f>IF(AND($L682*1&gt;=$G$3,$L682*1&lt;=$G$4,$I682*$J682&gt;0,OR($I682&lt;&gt;$I683,$L682-$L683&gt;25),IF(ABS($I682)&gt;10,$I682/POW(10,$J682),$J682/POW(10,$I682))*MAXIFS(Token!$C:$C,Token!$A:$A,$K682)&gt;0.01),$L682/86400+DATE(1970,1,1)+$G$6,)</f>
        <v/>
      </c>
      <c r="B682" s="27" t="str">
        <f t="shared" si="1"/>
        <v/>
      </c>
      <c r="C682" s="14" t="str">
        <f>IF($A682&lt;&gt;"",MINIFS(Merchant!$A:$A,Merchant!$B:$B,$G$2),)</f>
        <v/>
      </c>
      <c r="D682" s="14" t="str">
        <f t="shared" si="2"/>
        <v/>
      </c>
      <c r="E682" s="14" t="str">
        <f t="shared" si="3"/>
        <v/>
      </c>
      <c r="F682" s="7" t="str">
        <f>IF($A682&lt;&gt;"",MAXIFS(Token!$C:$C,Token!$A:$A,$D682),)</f>
        <v/>
      </c>
    </row>
    <row r="683">
      <c r="A683" s="39" t="str">
        <f>IF(AND($L683*1&gt;=$G$3,$L683*1&lt;=$G$4,$I683*$J683&gt;0,OR($I683&lt;&gt;$I684,$L683-$L684&gt;25),IF(ABS($I683)&gt;10,$I683/POW(10,$J683),$J683/POW(10,$I683))*MAXIFS(Token!$C:$C,Token!$A:$A,$K683)&gt;0.01),$L683/86400+DATE(1970,1,1)+$G$6,)</f>
        <v/>
      </c>
      <c r="B683" s="27" t="str">
        <f t="shared" si="1"/>
        <v/>
      </c>
      <c r="C683" s="14" t="str">
        <f>IF($A683&lt;&gt;"",MINIFS(Merchant!$A:$A,Merchant!$B:$B,$G$2),)</f>
        <v/>
      </c>
      <c r="D683" s="14" t="str">
        <f t="shared" si="2"/>
        <v/>
      </c>
      <c r="E683" s="14" t="str">
        <f t="shared" si="3"/>
        <v/>
      </c>
      <c r="F683" s="7" t="str">
        <f>IF($A683&lt;&gt;"",MAXIFS(Token!$C:$C,Token!$A:$A,$D683),)</f>
        <v/>
      </c>
    </row>
    <row r="684">
      <c r="A684" s="39" t="str">
        <f>IF(AND($L684*1&gt;=$G$3,$L684*1&lt;=$G$4,$I684*$J684&gt;0,OR($I684&lt;&gt;$I685,$L684-$L685&gt;25),IF(ABS($I684)&gt;10,$I684/POW(10,$J684),$J684/POW(10,$I684))*MAXIFS(Token!$C:$C,Token!$A:$A,$K684)&gt;0.01),$L684/86400+DATE(1970,1,1)+$G$6,)</f>
        <v/>
      </c>
      <c r="B684" s="27" t="str">
        <f t="shared" si="1"/>
        <v/>
      </c>
      <c r="C684" s="14" t="str">
        <f>IF($A684&lt;&gt;"",MINIFS(Merchant!$A:$A,Merchant!$B:$B,$G$2),)</f>
        <v/>
      </c>
      <c r="D684" s="14" t="str">
        <f t="shared" si="2"/>
        <v/>
      </c>
      <c r="E684" s="14" t="str">
        <f t="shared" si="3"/>
        <v/>
      </c>
      <c r="F684" s="7" t="str">
        <f>IF($A684&lt;&gt;"",MAXIFS(Token!$C:$C,Token!$A:$A,$D684),)</f>
        <v/>
      </c>
    </row>
    <row r="685">
      <c r="A685" s="39" t="str">
        <f>IF(AND($L685*1&gt;=$G$3,$L685*1&lt;=$G$4,$I685*$J685&gt;0,OR($I685&lt;&gt;$I686,$L685-$L686&gt;25),IF(ABS($I685)&gt;10,$I685/POW(10,$J685),$J685/POW(10,$I685))*MAXIFS(Token!$C:$C,Token!$A:$A,$K685)&gt;0.01),$L685/86400+DATE(1970,1,1)+$G$6,)</f>
        <v/>
      </c>
      <c r="B685" s="27" t="str">
        <f t="shared" si="1"/>
        <v/>
      </c>
      <c r="C685" s="14" t="str">
        <f>IF($A685&lt;&gt;"",MINIFS(Merchant!$A:$A,Merchant!$B:$B,$G$2),)</f>
        <v/>
      </c>
      <c r="D685" s="14" t="str">
        <f t="shared" si="2"/>
        <v/>
      </c>
      <c r="E685" s="14" t="str">
        <f t="shared" si="3"/>
        <v/>
      </c>
      <c r="F685" s="7" t="str">
        <f>IF($A685&lt;&gt;"",MAXIFS(Token!$C:$C,Token!$A:$A,$D685),)</f>
        <v/>
      </c>
    </row>
    <row r="686">
      <c r="A686" s="39" t="str">
        <f>IF(AND($L686*1&gt;=$G$3,$L686*1&lt;=$G$4,$I686*$J686&gt;0,OR($I686&lt;&gt;$I687,$L686-$L687&gt;25),IF(ABS($I686)&gt;10,$I686/POW(10,$J686),$J686/POW(10,$I686))*MAXIFS(Token!$C:$C,Token!$A:$A,$K686)&gt;0.01),$L686/86400+DATE(1970,1,1)+$G$6,)</f>
        <v/>
      </c>
      <c r="B686" s="27" t="str">
        <f t="shared" si="1"/>
        <v/>
      </c>
      <c r="C686" s="14" t="str">
        <f>IF($A686&lt;&gt;"",MINIFS(Merchant!$A:$A,Merchant!$B:$B,$G$2),)</f>
        <v/>
      </c>
      <c r="D686" s="14" t="str">
        <f t="shared" si="2"/>
        <v/>
      </c>
      <c r="E686" s="14" t="str">
        <f t="shared" si="3"/>
        <v/>
      </c>
      <c r="F686" s="7" t="str">
        <f>IF($A686&lt;&gt;"",MAXIFS(Token!$C:$C,Token!$A:$A,$D686),)</f>
        <v/>
      </c>
    </row>
    <row r="687">
      <c r="A687" s="39" t="str">
        <f>IF(AND($L687*1&gt;=$G$3,$L687*1&lt;=$G$4,$I687*$J687&gt;0,OR($I687&lt;&gt;$I688,$L687-$L688&gt;25),IF(ABS($I687)&gt;10,$I687/POW(10,$J687),$J687/POW(10,$I687))*MAXIFS(Token!$C:$C,Token!$A:$A,$K687)&gt;0.01),$L687/86400+DATE(1970,1,1)+$G$6,)</f>
        <v/>
      </c>
      <c r="B687" s="27" t="str">
        <f t="shared" si="1"/>
        <v/>
      </c>
      <c r="C687" s="14" t="str">
        <f>IF($A687&lt;&gt;"",MINIFS(Merchant!$A:$A,Merchant!$B:$B,$G$2),)</f>
        <v/>
      </c>
      <c r="D687" s="14" t="str">
        <f t="shared" si="2"/>
        <v/>
      </c>
      <c r="E687" s="14" t="str">
        <f t="shared" si="3"/>
        <v/>
      </c>
      <c r="F687" s="7" t="str">
        <f>IF($A687&lt;&gt;"",MAXIFS(Token!$C:$C,Token!$A:$A,$D687),)</f>
        <v/>
      </c>
    </row>
    <row r="688">
      <c r="A688" s="39" t="str">
        <f>IF(AND($L688*1&gt;=$G$3,$L688*1&lt;=$G$4,$I688*$J688&gt;0,OR($I688&lt;&gt;$I689,$L688-$L689&gt;25),IF(ABS($I688)&gt;10,$I688/POW(10,$J688),$J688/POW(10,$I688))*MAXIFS(Token!$C:$C,Token!$A:$A,$K688)&gt;0.01),$L688/86400+DATE(1970,1,1)+$G$6,)</f>
        <v/>
      </c>
      <c r="B688" s="27" t="str">
        <f t="shared" si="1"/>
        <v/>
      </c>
      <c r="C688" s="14" t="str">
        <f>IF($A688&lt;&gt;"",MINIFS(Merchant!$A:$A,Merchant!$B:$B,$G$2),)</f>
        <v/>
      </c>
      <c r="D688" s="14" t="str">
        <f t="shared" si="2"/>
        <v/>
      </c>
      <c r="E688" s="14" t="str">
        <f t="shared" si="3"/>
        <v/>
      </c>
      <c r="F688" s="7" t="str">
        <f>IF($A688&lt;&gt;"",MAXIFS(Token!$C:$C,Token!$A:$A,$D688),)</f>
        <v/>
      </c>
    </row>
    <row r="689">
      <c r="A689" s="39" t="str">
        <f>IF(AND($L689*1&gt;=$G$3,$L689*1&lt;=$G$4,$I689*$J689&gt;0,OR($I689&lt;&gt;$I690,$L689-$L690&gt;25),IF(ABS($I689)&gt;10,$I689/POW(10,$J689),$J689/POW(10,$I689))*MAXIFS(Token!$C:$C,Token!$A:$A,$K689)&gt;0.01),$L689/86400+DATE(1970,1,1)+$G$6,)</f>
        <v/>
      </c>
      <c r="B689" s="27" t="str">
        <f t="shared" si="1"/>
        <v/>
      </c>
      <c r="C689" s="14" t="str">
        <f>IF($A689&lt;&gt;"",MINIFS(Merchant!$A:$A,Merchant!$B:$B,$G$2),)</f>
        <v/>
      </c>
      <c r="D689" s="14" t="str">
        <f t="shared" si="2"/>
        <v/>
      </c>
      <c r="E689" s="14" t="str">
        <f t="shared" si="3"/>
        <v/>
      </c>
      <c r="F689" s="7" t="str">
        <f>IF($A689&lt;&gt;"",MAXIFS(Token!$C:$C,Token!$A:$A,$D689),)</f>
        <v/>
      </c>
    </row>
    <row r="690">
      <c r="A690" s="39" t="str">
        <f>IF(AND($L690*1&gt;=$G$3,$L690*1&lt;=$G$4,$I690*$J690&gt;0,OR($I690&lt;&gt;$I691,$L690-$L691&gt;25),IF(ABS($I690)&gt;10,$I690/POW(10,$J690),$J690/POW(10,$I690))*MAXIFS(Token!$C:$C,Token!$A:$A,$K690)&gt;0.01),$L690/86400+DATE(1970,1,1)+$G$6,)</f>
        <v/>
      </c>
      <c r="B690" s="27" t="str">
        <f t="shared" si="1"/>
        <v/>
      </c>
      <c r="C690" s="14" t="str">
        <f>IF($A690&lt;&gt;"",MINIFS(Merchant!$A:$A,Merchant!$B:$B,$G$2),)</f>
        <v/>
      </c>
      <c r="D690" s="14" t="str">
        <f t="shared" si="2"/>
        <v/>
      </c>
      <c r="E690" s="14" t="str">
        <f t="shared" si="3"/>
        <v/>
      </c>
      <c r="F690" s="7" t="str">
        <f>IF($A690&lt;&gt;"",MAXIFS(Token!$C:$C,Token!$A:$A,$D690),)</f>
        <v/>
      </c>
    </row>
    <row r="691">
      <c r="A691" s="39" t="str">
        <f>IF(AND($L691*1&gt;=$G$3,$L691*1&lt;=$G$4,$I691*$J691&gt;0,OR($I691&lt;&gt;$I692,$L691-$L692&gt;25),IF(ABS($I691)&gt;10,$I691/POW(10,$J691),$J691/POW(10,$I691))*MAXIFS(Token!$C:$C,Token!$A:$A,$K691)&gt;0.01),$L691/86400+DATE(1970,1,1)+$G$6,)</f>
        <v/>
      </c>
      <c r="B691" s="27" t="str">
        <f t="shared" si="1"/>
        <v/>
      </c>
      <c r="C691" s="14" t="str">
        <f>IF($A691&lt;&gt;"",MINIFS(Merchant!$A:$A,Merchant!$B:$B,$G$2),)</f>
        <v/>
      </c>
      <c r="D691" s="14" t="str">
        <f t="shared" si="2"/>
        <v/>
      </c>
      <c r="E691" s="14" t="str">
        <f t="shared" si="3"/>
        <v/>
      </c>
      <c r="F691" s="7" t="str">
        <f>IF($A691&lt;&gt;"",MAXIFS(Token!$C:$C,Token!$A:$A,$D691),)</f>
        <v/>
      </c>
    </row>
    <row r="692">
      <c r="A692" s="39" t="str">
        <f>IF(AND($L692*1&gt;=$G$3,$L692*1&lt;=$G$4,$I692*$J692&gt;0,OR($I692&lt;&gt;$I693,$L692-$L693&gt;25),IF(ABS($I692)&gt;10,$I692/POW(10,$J692),$J692/POW(10,$I692))*MAXIFS(Token!$C:$C,Token!$A:$A,$K692)&gt;0.01),$L692/86400+DATE(1970,1,1)+$G$6,)</f>
        <v/>
      </c>
      <c r="B692" s="27" t="str">
        <f t="shared" si="1"/>
        <v/>
      </c>
      <c r="C692" s="14" t="str">
        <f>IF($A692&lt;&gt;"",MINIFS(Merchant!$A:$A,Merchant!$B:$B,$G$2),)</f>
        <v/>
      </c>
      <c r="D692" s="14" t="str">
        <f t="shared" si="2"/>
        <v/>
      </c>
      <c r="E692" s="14" t="str">
        <f t="shared" si="3"/>
        <v/>
      </c>
      <c r="F692" s="7" t="str">
        <f>IF($A692&lt;&gt;"",MAXIFS(Token!$C:$C,Token!$A:$A,$D692),)</f>
        <v/>
      </c>
    </row>
    <row r="693">
      <c r="A693" s="39" t="str">
        <f>IF(AND($L693*1&gt;=$G$3,$L693*1&lt;=$G$4,$I693*$J693&gt;0,OR($I693&lt;&gt;$I694,$L693-$L694&gt;25),IF(ABS($I693)&gt;10,$I693/POW(10,$J693),$J693/POW(10,$I693))*MAXIFS(Token!$C:$C,Token!$A:$A,$K693)&gt;0.01),$L693/86400+DATE(1970,1,1)+$G$6,)</f>
        <v/>
      </c>
      <c r="B693" s="27" t="str">
        <f t="shared" si="1"/>
        <v/>
      </c>
      <c r="C693" s="14" t="str">
        <f>IF($A693&lt;&gt;"",MINIFS(Merchant!$A:$A,Merchant!$B:$B,$G$2),)</f>
        <v/>
      </c>
      <c r="D693" s="14" t="str">
        <f t="shared" si="2"/>
        <v/>
      </c>
      <c r="E693" s="14" t="str">
        <f t="shared" si="3"/>
        <v/>
      </c>
      <c r="F693" s="7" t="str">
        <f>IF($A693&lt;&gt;"",MAXIFS(Token!$C:$C,Token!$A:$A,$D693),)</f>
        <v/>
      </c>
    </row>
    <row r="694">
      <c r="A694" s="39" t="str">
        <f>IF(AND($L694*1&gt;=$G$3,$L694*1&lt;=$G$4,$I694*$J694&gt;0,OR($I694&lt;&gt;$I695,$L694-$L695&gt;25),IF(ABS($I694)&gt;10,$I694/POW(10,$J694),$J694/POW(10,$I694))*MAXIFS(Token!$C:$C,Token!$A:$A,$K694)&gt;0.01),$L694/86400+DATE(1970,1,1)+$G$6,)</f>
        <v/>
      </c>
      <c r="B694" s="27" t="str">
        <f t="shared" si="1"/>
        <v/>
      </c>
      <c r="C694" s="14" t="str">
        <f>IF($A694&lt;&gt;"",MINIFS(Merchant!$A:$A,Merchant!$B:$B,$G$2),)</f>
        <v/>
      </c>
      <c r="D694" s="14" t="str">
        <f t="shared" si="2"/>
        <v/>
      </c>
      <c r="E694" s="14" t="str">
        <f t="shared" si="3"/>
        <v/>
      </c>
      <c r="F694" s="7" t="str">
        <f>IF($A694&lt;&gt;"",MAXIFS(Token!$C:$C,Token!$A:$A,$D694),)</f>
        <v/>
      </c>
    </row>
    <row r="695">
      <c r="A695" s="39" t="str">
        <f>IF(AND($L695*1&gt;=$G$3,$L695*1&lt;=$G$4,$I695*$J695&gt;0,OR($I695&lt;&gt;$I696,$L695-$L696&gt;25),IF(ABS($I695)&gt;10,$I695/POW(10,$J695),$J695/POW(10,$I695))*MAXIFS(Token!$C:$C,Token!$A:$A,$K695)&gt;0.01),$L695/86400+DATE(1970,1,1)+$G$6,)</f>
        <v/>
      </c>
      <c r="B695" s="27" t="str">
        <f t="shared" si="1"/>
        <v/>
      </c>
      <c r="C695" s="14" t="str">
        <f>IF($A695&lt;&gt;"",MINIFS(Merchant!$A:$A,Merchant!$B:$B,$G$2),)</f>
        <v/>
      </c>
      <c r="D695" s="14" t="str">
        <f t="shared" si="2"/>
        <v/>
      </c>
      <c r="E695" s="14" t="str">
        <f t="shared" si="3"/>
        <v/>
      </c>
      <c r="F695" s="7" t="str">
        <f>IF($A695&lt;&gt;"",MAXIFS(Token!$C:$C,Token!$A:$A,$D695),)</f>
        <v/>
      </c>
    </row>
    <row r="696">
      <c r="A696" s="39" t="str">
        <f>IF(AND($L696*1&gt;=$G$3,$L696*1&lt;=$G$4,$I696*$J696&gt;0,OR($I696&lt;&gt;$I697,$L696-$L697&gt;25),IF(ABS($I696)&gt;10,$I696/POW(10,$J696),$J696/POW(10,$I696))*MAXIFS(Token!$C:$C,Token!$A:$A,$K696)&gt;0.01),$L696/86400+DATE(1970,1,1)+$G$6,)</f>
        <v/>
      </c>
      <c r="B696" s="27" t="str">
        <f t="shared" si="1"/>
        <v/>
      </c>
      <c r="C696" s="14" t="str">
        <f>IF($A696&lt;&gt;"",MINIFS(Merchant!$A:$A,Merchant!$B:$B,$G$2),)</f>
        <v/>
      </c>
      <c r="D696" s="14" t="str">
        <f t="shared" si="2"/>
        <v/>
      </c>
      <c r="E696" s="14" t="str">
        <f t="shared" si="3"/>
        <v/>
      </c>
      <c r="F696" s="7" t="str">
        <f>IF($A696&lt;&gt;"",MAXIFS(Token!$C:$C,Token!$A:$A,$D696),)</f>
        <v/>
      </c>
    </row>
    <row r="697">
      <c r="A697" s="39" t="str">
        <f>IF(AND($L697*1&gt;=$G$3,$L697*1&lt;=$G$4,$I697*$J697&gt;0,OR($I697&lt;&gt;$I698,$L697-$L698&gt;25),IF(ABS($I697)&gt;10,$I697/POW(10,$J697),$J697/POW(10,$I697))*MAXIFS(Token!$C:$C,Token!$A:$A,$K697)&gt;0.01),$L697/86400+DATE(1970,1,1)+$G$6,)</f>
        <v/>
      </c>
      <c r="B697" s="27" t="str">
        <f t="shared" si="1"/>
        <v/>
      </c>
      <c r="C697" s="14" t="str">
        <f>IF($A697&lt;&gt;"",MINIFS(Merchant!$A:$A,Merchant!$B:$B,$G$2),)</f>
        <v/>
      </c>
      <c r="D697" s="14" t="str">
        <f t="shared" si="2"/>
        <v/>
      </c>
      <c r="E697" s="14" t="str">
        <f t="shared" si="3"/>
        <v/>
      </c>
      <c r="F697" s="7" t="str">
        <f>IF($A697&lt;&gt;"",MAXIFS(Token!$C:$C,Token!$A:$A,$D697),)</f>
        <v/>
      </c>
    </row>
    <row r="698">
      <c r="A698" s="39" t="str">
        <f>IF(AND($L698*1&gt;=$G$3,$L698*1&lt;=$G$4,$I698*$J698&gt;0,OR($I698&lt;&gt;$I699,$L698-$L699&gt;25),IF(ABS($I698)&gt;10,$I698/POW(10,$J698),$J698/POW(10,$I698))*MAXIFS(Token!$C:$C,Token!$A:$A,$K698)&gt;0.01),$L698/86400+DATE(1970,1,1)+$G$6,)</f>
        <v/>
      </c>
      <c r="B698" s="27" t="str">
        <f t="shared" si="1"/>
        <v/>
      </c>
      <c r="C698" s="14" t="str">
        <f>IF($A698&lt;&gt;"",MINIFS(Merchant!$A:$A,Merchant!$B:$B,$G$2),)</f>
        <v/>
      </c>
      <c r="D698" s="14" t="str">
        <f t="shared" si="2"/>
        <v/>
      </c>
      <c r="E698" s="14" t="str">
        <f t="shared" si="3"/>
        <v/>
      </c>
      <c r="F698" s="7" t="str">
        <f>IF($A698&lt;&gt;"",MAXIFS(Token!$C:$C,Token!$A:$A,$D698),)</f>
        <v/>
      </c>
    </row>
    <row r="699">
      <c r="A699" s="39" t="str">
        <f>IF(AND($L699*1&gt;=$G$3,$L699*1&lt;=$G$4,$I699*$J699&gt;0,OR($I699&lt;&gt;$I700,$L699-$L700&gt;25),IF(ABS($I699)&gt;10,$I699/POW(10,$J699),$J699/POW(10,$I699))*MAXIFS(Token!$C:$C,Token!$A:$A,$K699)&gt;0.01),$L699/86400+DATE(1970,1,1)+$G$6,)</f>
        <v/>
      </c>
      <c r="B699" s="27" t="str">
        <f t="shared" si="1"/>
        <v/>
      </c>
      <c r="C699" s="14" t="str">
        <f>IF($A699&lt;&gt;"",MINIFS(Merchant!$A:$A,Merchant!$B:$B,$G$2),)</f>
        <v/>
      </c>
      <c r="D699" s="14" t="str">
        <f t="shared" si="2"/>
        <v/>
      </c>
      <c r="E699" s="14" t="str">
        <f t="shared" si="3"/>
        <v/>
      </c>
      <c r="F699" s="7" t="str">
        <f>IF($A699&lt;&gt;"",MAXIFS(Token!$C:$C,Token!$A:$A,$D699),)</f>
        <v/>
      </c>
    </row>
    <row r="700">
      <c r="A700" s="39" t="str">
        <f>IF(AND($L700*1&gt;=$G$3,$L700*1&lt;=$G$4,$I700*$J700&gt;0,OR($I700&lt;&gt;$I701,$L700-$L701&gt;25),IF(ABS($I700)&gt;10,$I700/POW(10,$J700),$J700/POW(10,$I700))*MAXIFS(Token!$C:$C,Token!$A:$A,$K700)&gt;0.01),$L700/86400+DATE(1970,1,1)+$G$6,)</f>
        <v/>
      </c>
      <c r="B700" s="27" t="str">
        <f t="shared" si="1"/>
        <v/>
      </c>
      <c r="C700" s="14" t="str">
        <f>IF($A700&lt;&gt;"",MINIFS(Merchant!$A:$A,Merchant!$B:$B,$G$2),)</f>
        <v/>
      </c>
      <c r="D700" s="14" t="str">
        <f t="shared" si="2"/>
        <v/>
      </c>
      <c r="E700" s="14" t="str">
        <f t="shared" si="3"/>
        <v/>
      </c>
      <c r="F700" s="7" t="str">
        <f>IF($A700&lt;&gt;"",MAXIFS(Token!$C:$C,Token!$A:$A,$D700),)</f>
        <v/>
      </c>
    </row>
    <row r="701">
      <c r="A701" s="39" t="str">
        <f>IF(AND($L701*1&gt;=$G$3,$L701*1&lt;=$G$4,$I701*$J701&gt;0,OR($I701&lt;&gt;$I702,$L701-$L702&gt;25),IF(ABS($I701)&gt;10,$I701/POW(10,$J701),$J701/POW(10,$I701))*MAXIFS(Token!$C:$C,Token!$A:$A,$K701)&gt;0.01),$L701/86400+DATE(1970,1,1)+$G$6,)</f>
        <v/>
      </c>
      <c r="B701" s="27" t="str">
        <f t="shared" si="1"/>
        <v/>
      </c>
      <c r="C701" s="14" t="str">
        <f>IF($A701&lt;&gt;"",MINIFS(Merchant!$A:$A,Merchant!$B:$B,$G$2),)</f>
        <v/>
      </c>
      <c r="D701" s="14" t="str">
        <f t="shared" si="2"/>
        <v/>
      </c>
      <c r="E701" s="14" t="str">
        <f t="shared" si="3"/>
        <v/>
      </c>
      <c r="F701" s="7" t="str">
        <f>IF($A701&lt;&gt;"",MAXIFS(Token!$C:$C,Token!$A:$A,$D701),)</f>
        <v/>
      </c>
    </row>
    <row r="702">
      <c r="A702" s="39" t="str">
        <f>IF(AND($L702*1&gt;=$G$3,$L702*1&lt;=$G$4,$I702*$J702&gt;0,OR($I702&lt;&gt;$I703,$L702-$L703&gt;25),IF(ABS($I702)&gt;10,$I702/POW(10,$J702),$J702/POW(10,$I702))*MAXIFS(Token!$C:$C,Token!$A:$A,$K702)&gt;0.01),$L702/86400+DATE(1970,1,1)+$G$6,)</f>
        <v/>
      </c>
      <c r="B702" s="27" t="str">
        <f t="shared" si="1"/>
        <v/>
      </c>
      <c r="C702" s="14" t="str">
        <f>IF($A702&lt;&gt;"",MINIFS(Merchant!$A:$A,Merchant!$B:$B,$G$2),)</f>
        <v/>
      </c>
      <c r="D702" s="14" t="str">
        <f t="shared" si="2"/>
        <v/>
      </c>
      <c r="E702" s="14" t="str">
        <f t="shared" si="3"/>
        <v/>
      </c>
      <c r="F702" s="7" t="str">
        <f>IF($A702&lt;&gt;"",MAXIFS(Token!$C:$C,Token!$A:$A,$D702),)</f>
        <v/>
      </c>
    </row>
    <row r="703">
      <c r="A703" s="39" t="str">
        <f>IF(AND($L703*1&gt;=$G$3,$L703*1&lt;=$G$4,$I703*$J703&gt;0,OR($I703&lt;&gt;$I704,$L703-$L704&gt;25),IF(ABS($I703)&gt;10,$I703/POW(10,$J703),$J703/POW(10,$I703))*MAXIFS(Token!$C:$C,Token!$A:$A,$K703)&gt;0.01),$L703/86400+DATE(1970,1,1)+$G$6,)</f>
        <v/>
      </c>
      <c r="B703" s="27" t="str">
        <f t="shared" si="1"/>
        <v/>
      </c>
      <c r="C703" s="14" t="str">
        <f>IF($A703&lt;&gt;"",MINIFS(Merchant!$A:$A,Merchant!$B:$B,$G$2),)</f>
        <v/>
      </c>
      <c r="D703" s="14" t="str">
        <f t="shared" si="2"/>
        <v/>
      </c>
      <c r="E703" s="14" t="str">
        <f t="shared" si="3"/>
        <v/>
      </c>
      <c r="F703" s="7" t="str">
        <f>IF($A703&lt;&gt;"",MAXIFS(Token!$C:$C,Token!$A:$A,$D703),)</f>
        <v/>
      </c>
    </row>
    <row r="704">
      <c r="A704" s="39" t="str">
        <f>IF(AND($L704*1&gt;=$G$3,$L704*1&lt;=$G$4,$I704*$J704&gt;0,OR($I704&lt;&gt;$I705,$L704-$L705&gt;25),IF(ABS($I704)&gt;10,$I704/POW(10,$J704),$J704/POW(10,$I704))*MAXIFS(Token!$C:$C,Token!$A:$A,$K704)&gt;0.01),$L704/86400+DATE(1970,1,1)+$G$6,)</f>
        <v/>
      </c>
      <c r="B704" s="27" t="str">
        <f t="shared" si="1"/>
        <v/>
      </c>
      <c r="C704" s="14" t="str">
        <f>IF($A704&lt;&gt;"",MINIFS(Merchant!$A:$A,Merchant!$B:$B,$G$2),)</f>
        <v/>
      </c>
      <c r="D704" s="14" t="str">
        <f t="shared" si="2"/>
        <v/>
      </c>
      <c r="E704" s="14" t="str">
        <f t="shared" si="3"/>
        <v/>
      </c>
      <c r="F704" s="7" t="str">
        <f>IF($A704&lt;&gt;"",MAXIFS(Token!$C:$C,Token!$A:$A,$D704),)</f>
        <v/>
      </c>
    </row>
    <row r="705">
      <c r="A705" s="39" t="str">
        <f>IF(AND($L705*1&gt;=$G$3,$L705*1&lt;=$G$4,$I705*$J705&gt;0,OR($I705&lt;&gt;$I706,$L705-$L706&gt;25),IF(ABS($I705)&gt;10,$I705/POW(10,$J705),$J705/POW(10,$I705))*MAXIFS(Token!$C:$C,Token!$A:$A,$K705)&gt;0.01),$L705/86400+DATE(1970,1,1)+$G$6,)</f>
        <v/>
      </c>
      <c r="B705" s="27" t="str">
        <f t="shared" si="1"/>
        <v/>
      </c>
      <c r="C705" s="14" t="str">
        <f>IF($A705&lt;&gt;"",MINIFS(Merchant!$A:$A,Merchant!$B:$B,$G$2),)</f>
        <v/>
      </c>
      <c r="D705" s="14" t="str">
        <f t="shared" si="2"/>
        <v/>
      </c>
      <c r="E705" s="14" t="str">
        <f t="shared" si="3"/>
        <v/>
      </c>
      <c r="F705" s="7" t="str">
        <f>IF($A705&lt;&gt;"",MAXIFS(Token!$C:$C,Token!$A:$A,$D705),)</f>
        <v/>
      </c>
    </row>
    <row r="706">
      <c r="A706" s="39" t="str">
        <f>IF(AND($L706*1&gt;=$G$3,$L706*1&lt;=$G$4,$I706*$J706&gt;0,OR($I706&lt;&gt;$I707,$L706-$L707&gt;25),IF(ABS($I706)&gt;10,$I706/POW(10,$J706),$J706/POW(10,$I706))*MAXIFS(Token!$C:$C,Token!$A:$A,$K706)&gt;0.01),$L706/86400+DATE(1970,1,1)+$G$6,)</f>
        <v/>
      </c>
      <c r="B706" s="27" t="str">
        <f t="shared" si="1"/>
        <v/>
      </c>
      <c r="C706" s="14" t="str">
        <f>IF($A706&lt;&gt;"",MINIFS(Merchant!$A:$A,Merchant!$B:$B,$G$2),)</f>
        <v/>
      </c>
      <c r="D706" s="14" t="str">
        <f t="shared" si="2"/>
        <v/>
      </c>
      <c r="E706" s="14" t="str">
        <f t="shared" si="3"/>
        <v/>
      </c>
      <c r="F706" s="7" t="str">
        <f>IF($A706&lt;&gt;"",MAXIFS(Token!$C:$C,Token!$A:$A,$D706),)</f>
        <v/>
      </c>
    </row>
    <row r="707">
      <c r="A707" s="39" t="str">
        <f>IF(AND($L707*1&gt;=$G$3,$L707*1&lt;=$G$4,$I707*$J707&gt;0,OR($I707&lt;&gt;$I708,$L707-$L708&gt;25),IF(ABS($I707)&gt;10,$I707/POW(10,$J707),$J707/POW(10,$I707))*MAXIFS(Token!$C:$C,Token!$A:$A,$K707)&gt;0.01),$L707/86400+DATE(1970,1,1)+$G$6,)</f>
        <v/>
      </c>
      <c r="B707" s="27" t="str">
        <f t="shared" si="1"/>
        <v/>
      </c>
      <c r="C707" s="14" t="str">
        <f>IF($A707&lt;&gt;"",MINIFS(Merchant!$A:$A,Merchant!$B:$B,$G$2),)</f>
        <v/>
      </c>
      <c r="D707" s="14" t="str">
        <f t="shared" si="2"/>
        <v/>
      </c>
      <c r="E707" s="14" t="str">
        <f t="shared" si="3"/>
        <v/>
      </c>
      <c r="F707" s="7" t="str">
        <f>IF($A707&lt;&gt;"",MAXIFS(Token!$C:$C,Token!$A:$A,$D707),)</f>
        <v/>
      </c>
    </row>
    <row r="708">
      <c r="A708" s="39" t="str">
        <f>IF(AND($L708*1&gt;=$G$3,$L708*1&lt;=$G$4,$I708*$J708&gt;0,OR($I708&lt;&gt;$I709,$L708-$L709&gt;25),IF(ABS($I708)&gt;10,$I708/POW(10,$J708),$J708/POW(10,$I708))*MAXIFS(Token!$C:$C,Token!$A:$A,$K708)&gt;0.01),$L708/86400+DATE(1970,1,1)+$G$6,)</f>
        <v/>
      </c>
      <c r="B708" s="27" t="str">
        <f t="shared" si="1"/>
        <v/>
      </c>
      <c r="C708" s="14" t="str">
        <f>IF($A708&lt;&gt;"",MINIFS(Merchant!$A:$A,Merchant!$B:$B,$G$2),)</f>
        <v/>
      </c>
      <c r="D708" s="14" t="str">
        <f t="shared" si="2"/>
        <v/>
      </c>
      <c r="E708" s="14" t="str">
        <f t="shared" si="3"/>
        <v/>
      </c>
      <c r="F708" s="7" t="str">
        <f>IF($A708&lt;&gt;"",MAXIFS(Token!$C:$C,Token!$A:$A,$D708),)</f>
        <v/>
      </c>
    </row>
    <row r="709">
      <c r="A709" s="39" t="str">
        <f>IF(AND($L709*1&gt;=$G$3,$L709*1&lt;=$G$4,$I709*$J709&gt;0,OR($I709&lt;&gt;$I710,$L709-$L710&gt;25),IF(ABS($I709)&gt;10,$I709/POW(10,$J709),$J709/POW(10,$I709))*MAXIFS(Token!$C:$C,Token!$A:$A,$K709)&gt;0.01),$L709/86400+DATE(1970,1,1)+$G$6,)</f>
        <v/>
      </c>
      <c r="B709" s="27" t="str">
        <f t="shared" si="1"/>
        <v/>
      </c>
      <c r="C709" s="14" t="str">
        <f>IF($A709&lt;&gt;"",MINIFS(Merchant!$A:$A,Merchant!$B:$B,$G$2),)</f>
        <v/>
      </c>
      <c r="D709" s="14" t="str">
        <f t="shared" si="2"/>
        <v/>
      </c>
      <c r="E709" s="14" t="str">
        <f t="shared" si="3"/>
        <v/>
      </c>
      <c r="F709" s="7" t="str">
        <f>IF($A709&lt;&gt;"",MAXIFS(Token!$C:$C,Token!$A:$A,$D709),)</f>
        <v/>
      </c>
    </row>
    <row r="710">
      <c r="A710" s="39" t="str">
        <f>IF(AND($L710*1&gt;=$G$3,$L710*1&lt;=$G$4,$I710*$J710&gt;0,OR($I710&lt;&gt;$I711,$L710-$L711&gt;25),IF(ABS($I710)&gt;10,$I710/POW(10,$J710),$J710/POW(10,$I710))*MAXIFS(Token!$C:$C,Token!$A:$A,$K710)&gt;0.01),$L710/86400+DATE(1970,1,1)+$G$6,)</f>
        <v/>
      </c>
      <c r="B710" s="27" t="str">
        <f t="shared" si="1"/>
        <v/>
      </c>
      <c r="C710" s="14" t="str">
        <f>IF($A710&lt;&gt;"",MINIFS(Merchant!$A:$A,Merchant!$B:$B,$G$2),)</f>
        <v/>
      </c>
      <c r="D710" s="14" t="str">
        <f t="shared" si="2"/>
        <v/>
      </c>
      <c r="E710" s="14" t="str">
        <f t="shared" si="3"/>
        <v/>
      </c>
      <c r="F710" s="7" t="str">
        <f>IF($A710&lt;&gt;"",MAXIFS(Token!$C:$C,Token!$A:$A,$D710),)</f>
        <v/>
      </c>
    </row>
    <row r="711">
      <c r="A711" s="39" t="str">
        <f>IF(AND($L711*1&gt;=$G$3,$L711*1&lt;=$G$4,$I711*$J711&gt;0,OR($I711&lt;&gt;$I712,$L711-$L712&gt;25),IF(ABS($I711)&gt;10,$I711/POW(10,$J711),$J711/POW(10,$I711))*MAXIFS(Token!$C:$C,Token!$A:$A,$K711)&gt;0.01),$L711/86400+DATE(1970,1,1)+$G$6,)</f>
        <v/>
      </c>
      <c r="B711" s="27" t="str">
        <f t="shared" si="1"/>
        <v/>
      </c>
      <c r="C711" s="14" t="str">
        <f>IF($A711&lt;&gt;"",MINIFS(Merchant!$A:$A,Merchant!$B:$B,$G$2),)</f>
        <v/>
      </c>
      <c r="D711" s="14" t="str">
        <f t="shared" si="2"/>
        <v/>
      </c>
      <c r="E711" s="14" t="str">
        <f t="shared" si="3"/>
        <v/>
      </c>
      <c r="F711" s="7" t="str">
        <f>IF($A711&lt;&gt;"",MAXIFS(Token!$C:$C,Token!$A:$A,$D711),)</f>
        <v/>
      </c>
    </row>
    <row r="712">
      <c r="A712" s="39" t="str">
        <f>IF(AND($L712*1&gt;=$G$3,$L712*1&lt;=$G$4,$I712*$J712&gt;0,OR($I712&lt;&gt;$I713,$L712-$L713&gt;25),IF(ABS($I712)&gt;10,$I712/POW(10,$J712),$J712/POW(10,$I712))*MAXIFS(Token!$C:$C,Token!$A:$A,$K712)&gt;0.01),$L712/86400+DATE(1970,1,1)+$G$6,)</f>
        <v/>
      </c>
      <c r="B712" s="27" t="str">
        <f t="shared" si="1"/>
        <v/>
      </c>
      <c r="C712" s="14" t="str">
        <f>IF($A712&lt;&gt;"",MINIFS(Merchant!$A:$A,Merchant!$B:$B,$G$2),)</f>
        <v/>
      </c>
      <c r="D712" s="14" t="str">
        <f t="shared" si="2"/>
        <v/>
      </c>
      <c r="E712" s="14" t="str">
        <f t="shared" si="3"/>
        <v/>
      </c>
      <c r="F712" s="7" t="str">
        <f>IF($A712&lt;&gt;"",MAXIFS(Token!$C:$C,Token!$A:$A,$D712),)</f>
        <v/>
      </c>
    </row>
    <row r="713">
      <c r="A713" s="39" t="str">
        <f>IF(AND($L713*1&gt;=$G$3,$L713*1&lt;=$G$4,$I713*$J713&gt;0,OR($I713&lt;&gt;$I714,$L713-$L714&gt;25),IF(ABS($I713)&gt;10,$I713/POW(10,$J713),$J713/POW(10,$I713))*MAXIFS(Token!$C:$C,Token!$A:$A,$K713)&gt;0.01),$L713/86400+DATE(1970,1,1)+$G$6,)</f>
        <v/>
      </c>
      <c r="B713" s="27" t="str">
        <f t="shared" si="1"/>
        <v/>
      </c>
      <c r="C713" s="14" t="str">
        <f>IF($A713&lt;&gt;"",MINIFS(Merchant!$A:$A,Merchant!$B:$B,$G$2),)</f>
        <v/>
      </c>
      <c r="D713" s="14" t="str">
        <f t="shared" si="2"/>
        <v/>
      </c>
      <c r="E713" s="14" t="str">
        <f t="shared" si="3"/>
        <v/>
      </c>
      <c r="F713" s="7" t="str">
        <f>IF($A713&lt;&gt;"",MAXIFS(Token!$C:$C,Token!$A:$A,$D713),)</f>
        <v/>
      </c>
    </row>
    <row r="714">
      <c r="A714" s="39" t="str">
        <f>IF(AND($L714*1&gt;=$G$3,$L714*1&lt;=$G$4,$I714*$J714&gt;0,OR($I714&lt;&gt;$I715,$L714-$L715&gt;25),IF(ABS($I714)&gt;10,$I714/POW(10,$J714),$J714/POW(10,$I714))*MAXIFS(Token!$C:$C,Token!$A:$A,$K714)&gt;0.01),$L714/86400+DATE(1970,1,1)+$G$6,)</f>
        <v/>
      </c>
      <c r="B714" s="27" t="str">
        <f t="shared" si="1"/>
        <v/>
      </c>
      <c r="C714" s="14" t="str">
        <f>IF($A714&lt;&gt;"",MINIFS(Merchant!$A:$A,Merchant!$B:$B,$G$2),)</f>
        <v/>
      </c>
      <c r="D714" s="14" t="str">
        <f t="shared" si="2"/>
        <v/>
      </c>
      <c r="E714" s="14" t="str">
        <f t="shared" si="3"/>
        <v/>
      </c>
      <c r="F714" s="7" t="str">
        <f>IF($A714&lt;&gt;"",MAXIFS(Token!$C:$C,Token!$A:$A,$D714),)</f>
        <v/>
      </c>
    </row>
    <row r="715">
      <c r="A715" s="39" t="str">
        <f>IF(AND($L715*1&gt;=$G$3,$L715*1&lt;=$G$4,$I715*$J715&gt;0,OR($I715&lt;&gt;$I716,$L715-$L716&gt;25),IF(ABS($I715)&gt;10,$I715/POW(10,$J715),$J715/POW(10,$I715))*MAXIFS(Token!$C:$C,Token!$A:$A,$K715)&gt;0.01),$L715/86400+DATE(1970,1,1)+$G$6,)</f>
        <v/>
      </c>
      <c r="B715" s="27" t="str">
        <f t="shared" si="1"/>
        <v/>
      </c>
      <c r="C715" s="14" t="str">
        <f>IF($A715&lt;&gt;"",MINIFS(Merchant!$A:$A,Merchant!$B:$B,$G$2),)</f>
        <v/>
      </c>
      <c r="D715" s="14" t="str">
        <f t="shared" si="2"/>
        <v/>
      </c>
      <c r="E715" s="14" t="str">
        <f t="shared" si="3"/>
        <v/>
      </c>
      <c r="F715" s="7" t="str">
        <f>IF($A715&lt;&gt;"",MAXIFS(Token!$C:$C,Token!$A:$A,$D715),)</f>
        <v/>
      </c>
    </row>
    <row r="716">
      <c r="A716" s="39" t="str">
        <f>IF(AND($L716*1&gt;=$G$3,$L716*1&lt;=$G$4,$I716*$J716&gt;0,OR($I716&lt;&gt;$I717,$L716-$L717&gt;25),IF(ABS($I716)&gt;10,$I716/POW(10,$J716),$J716/POW(10,$I716))*MAXIFS(Token!$C:$C,Token!$A:$A,$K716)&gt;0.01),$L716/86400+DATE(1970,1,1)+$G$6,)</f>
        <v/>
      </c>
      <c r="B716" s="27" t="str">
        <f t="shared" si="1"/>
        <v/>
      </c>
      <c r="C716" s="14" t="str">
        <f>IF($A716&lt;&gt;"",MINIFS(Merchant!$A:$A,Merchant!$B:$B,$G$2),)</f>
        <v/>
      </c>
      <c r="D716" s="14" t="str">
        <f t="shared" si="2"/>
        <v/>
      </c>
      <c r="E716" s="14" t="str">
        <f t="shared" si="3"/>
        <v/>
      </c>
      <c r="F716" s="7" t="str">
        <f>IF($A716&lt;&gt;"",MAXIFS(Token!$C:$C,Token!$A:$A,$D716),)</f>
        <v/>
      </c>
    </row>
    <row r="717">
      <c r="A717" s="39" t="str">
        <f>IF(AND($L717*1&gt;=$G$3,$L717*1&lt;=$G$4,$I717*$J717&gt;0,OR($I717&lt;&gt;$I718,$L717-$L718&gt;25),IF(ABS($I717)&gt;10,$I717/POW(10,$J717),$J717/POW(10,$I717))*MAXIFS(Token!$C:$C,Token!$A:$A,$K717)&gt;0.01),$L717/86400+DATE(1970,1,1)+$G$6,)</f>
        <v/>
      </c>
      <c r="B717" s="27" t="str">
        <f t="shared" si="1"/>
        <v/>
      </c>
      <c r="C717" s="14" t="str">
        <f>IF($A717&lt;&gt;"",MINIFS(Merchant!$A:$A,Merchant!$B:$B,$G$2),)</f>
        <v/>
      </c>
      <c r="D717" s="14" t="str">
        <f t="shared" si="2"/>
        <v/>
      </c>
      <c r="E717" s="14" t="str">
        <f t="shared" si="3"/>
        <v/>
      </c>
      <c r="F717" s="7" t="str">
        <f>IF($A717&lt;&gt;"",MAXIFS(Token!$C:$C,Token!$A:$A,$D717),)</f>
        <v/>
      </c>
    </row>
    <row r="718">
      <c r="A718" s="39" t="str">
        <f>IF(AND($L718*1&gt;=$G$3,$L718*1&lt;=$G$4,$I718*$J718&gt;0,OR($I718&lt;&gt;$I719,$L718-$L719&gt;25),IF(ABS($I718)&gt;10,$I718/POW(10,$J718),$J718/POW(10,$I718))*MAXIFS(Token!$C:$C,Token!$A:$A,$K718)&gt;0.01),$L718/86400+DATE(1970,1,1)+$G$6,)</f>
        <v/>
      </c>
      <c r="B718" s="27" t="str">
        <f t="shared" si="1"/>
        <v/>
      </c>
      <c r="C718" s="14" t="str">
        <f>IF($A718&lt;&gt;"",MINIFS(Merchant!$A:$A,Merchant!$B:$B,$G$2),)</f>
        <v/>
      </c>
      <c r="D718" s="14" t="str">
        <f t="shared" si="2"/>
        <v/>
      </c>
      <c r="E718" s="14" t="str">
        <f t="shared" si="3"/>
        <v/>
      </c>
      <c r="F718" s="7" t="str">
        <f>IF($A718&lt;&gt;"",MAXIFS(Token!$C:$C,Token!$A:$A,$D718),)</f>
        <v/>
      </c>
    </row>
    <row r="719">
      <c r="A719" s="39" t="str">
        <f>IF(AND($L719*1&gt;=$G$3,$L719*1&lt;=$G$4,$I719*$J719&gt;0,OR($I719&lt;&gt;$I720,$L719-$L720&gt;25),IF(ABS($I719)&gt;10,$I719/POW(10,$J719),$J719/POW(10,$I719))*MAXIFS(Token!$C:$C,Token!$A:$A,$K719)&gt;0.01),$L719/86400+DATE(1970,1,1)+$G$6,)</f>
        <v/>
      </c>
      <c r="B719" s="27" t="str">
        <f t="shared" si="1"/>
        <v/>
      </c>
      <c r="C719" s="14" t="str">
        <f>IF($A719&lt;&gt;"",MINIFS(Merchant!$A:$A,Merchant!$B:$B,$G$2),)</f>
        <v/>
      </c>
      <c r="D719" s="14" t="str">
        <f t="shared" si="2"/>
        <v/>
      </c>
      <c r="E719" s="14" t="str">
        <f t="shared" si="3"/>
        <v/>
      </c>
      <c r="F719" s="7" t="str">
        <f>IF($A719&lt;&gt;"",MAXIFS(Token!$C:$C,Token!$A:$A,$D719),)</f>
        <v/>
      </c>
    </row>
    <row r="720">
      <c r="A720" s="39" t="str">
        <f>IF(AND($L720*1&gt;=$G$3,$L720*1&lt;=$G$4,$I720*$J720&gt;0,OR($I720&lt;&gt;$I721,$L720-$L721&gt;25),IF(ABS($I720)&gt;10,$I720/POW(10,$J720),$J720/POW(10,$I720))*MAXIFS(Token!$C:$C,Token!$A:$A,$K720)&gt;0.01),$L720/86400+DATE(1970,1,1)+$G$6,)</f>
        <v/>
      </c>
      <c r="B720" s="27" t="str">
        <f t="shared" si="1"/>
        <v/>
      </c>
      <c r="C720" s="14" t="str">
        <f>IF($A720&lt;&gt;"",MINIFS(Merchant!$A:$A,Merchant!$B:$B,$G$2),)</f>
        <v/>
      </c>
      <c r="D720" s="14" t="str">
        <f t="shared" si="2"/>
        <v/>
      </c>
      <c r="E720" s="14" t="str">
        <f t="shared" si="3"/>
        <v/>
      </c>
      <c r="F720" s="7" t="str">
        <f>IF($A720&lt;&gt;"",MAXIFS(Token!$C:$C,Token!$A:$A,$D720),)</f>
        <v/>
      </c>
    </row>
    <row r="721">
      <c r="A721" s="39" t="str">
        <f>IF(AND($L721*1&gt;=$G$3,$L721*1&lt;=$G$4,$I721*$J721&gt;0,OR($I721&lt;&gt;$I722,$L721-$L722&gt;25),IF(ABS($I721)&gt;10,$I721/POW(10,$J721),$J721/POW(10,$I721))*MAXIFS(Token!$C:$C,Token!$A:$A,$K721)&gt;0.01),$L721/86400+DATE(1970,1,1)+$G$6,)</f>
        <v/>
      </c>
      <c r="B721" s="27" t="str">
        <f t="shared" si="1"/>
        <v/>
      </c>
      <c r="C721" s="14" t="str">
        <f>IF($A721&lt;&gt;"",MINIFS(Merchant!$A:$A,Merchant!$B:$B,$G$2),)</f>
        <v/>
      </c>
      <c r="D721" s="14" t="str">
        <f t="shared" si="2"/>
        <v/>
      </c>
      <c r="E721" s="14" t="str">
        <f t="shared" si="3"/>
        <v/>
      </c>
      <c r="F721" s="7" t="str">
        <f>IF($A721&lt;&gt;"",MAXIFS(Token!$C:$C,Token!$A:$A,$D721),)</f>
        <v/>
      </c>
    </row>
    <row r="722">
      <c r="A722" s="39" t="str">
        <f>IF(AND($L722*1&gt;=$G$3,$L722*1&lt;=$G$4,$I722*$J722&gt;0,OR($I722&lt;&gt;$I723,$L722-$L723&gt;25),IF(ABS($I722)&gt;10,$I722/POW(10,$J722),$J722/POW(10,$I722))*MAXIFS(Token!$C:$C,Token!$A:$A,$K722)&gt;0.01),$L722/86400+DATE(1970,1,1)+$G$6,)</f>
        <v/>
      </c>
      <c r="B722" s="27" t="str">
        <f t="shared" si="1"/>
        <v/>
      </c>
      <c r="C722" s="14" t="str">
        <f>IF($A722&lt;&gt;"",MINIFS(Merchant!$A:$A,Merchant!$B:$B,$G$2),)</f>
        <v/>
      </c>
      <c r="D722" s="14" t="str">
        <f t="shared" si="2"/>
        <v/>
      </c>
      <c r="E722" s="14" t="str">
        <f t="shared" si="3"/>
        <v/>
      </c>
      <c r="F722" s="7" t="str">
        <f>IF($A722&lt;&gt;"",MAXIFS(Token!$C:$C,Token!$A:$A,$D722),)</f>
        <v/>
      </c>
    </row>
    <row r="723">
      <c r="A723" s="39" t="str">
        <f>IF(AND($L723*1&gt;=$G$3,$L723*1&lt;=$G$4,$I723*$J723&gt;0,OR($I723&lt;&gt;$I724,$L723-$L724&gt;25),IF(ABS($I723)&gt;10,$I723/POW(10,$J723),$J723/POW(10,$I723))*MAXIFS(Token!$C:$C,Token!$A:$A,$K723)&gt;0.01),$L723/86400+DATE(1970,1,1)+$G$6,)</f>
        <v/>
      </c>
      <c r="B723" s="27" t="str">
        <f t="shared" si="1"/>
        <v/>
      </c>
      <c r="C723" s="14" t="str">
        <f>IF($A723&lt;&gt;"",MINIFS(Merchant!$A:$A,Merchant!$B:$B,$G$2),)</f>
        <v/>
      </c>
      <c r="D723" s="14" t="str">
        <f t="shared" si="2"/>
        <v/>
      </c>
      <c r="E723" s="14" t="str">
        <f t="shared" si="3"/>
        <v/>
      </c>
      <c r="F723" s="7" t="str">
        <f>IF($A723&lt;&gt;"",MAXIFS(Token!$C:$C,Token!$A:$A,$D723),)</f>
        <v/>
      </c>
    </row>
    <row r="724">
      <c r="A724" s="39" t="str">
        <f>IF(AND($L724*1&gt;=$G$3,$L724*1&lt;=$G$4,$I724*$J724&gt;0,OR($I724&lt;&gt;$I725,$L724-$L725&gt;25),IF(ABS($I724)&gt;10,$I724/POW(10,$J724),$J724/POW(10,$I724))*MAXIFS(Token!$C:$C,Token!$A:$A,$K724)&gt;0.01),$L724/86400+DATE(1970,1,1)+$G$6,)</f>
        <v/>
      </c>
      <c r="B724" s="27" t="str">
        <f t="shared" si="1"/>
        <v/>
      </c>
      <c r="C724" s="14" t="str">
        <f>IF($A724&lt;&gt;"",MINIFS(Merchant!$A:$A,Merchant!$B:$B,$G$2),)</f>
        <v/>
      </c>
      <c r="D724" s="14" t="str">
        <f t="shared" si="2"/>
        <v/>
      </c>
      <c r="E724" s="14" t="str">
        <f t="shared" si="3"/>
        <v/>
      </c>
      <c r="F724" s="7" t="str">
        <f>IF($A724&lt;&gt;"",MAXIFS(Token!$C:$C,Token!$A:$A,$D724),)</f>
        <v/>
      </c>
    </row>
    <row r="725">
      <c r="A725" s="39" t="str">
        <f>IF(AND($L725*1&gt;=$G$3,$L725*1&lt;=$G$4,$I725*$J725&gt;0,OR($I725&lt;&gt;$I726,$L725-$L726&gt;25),IF(ABS($I725)&gt;10,$I725/POW(10,$J725),$J725/POW(10,$I725))*MAXIFS(Token!$C:$C,Token!$A:$A,$K725)&gt;0.01),$L725/86400+DATE(1970,1,1)+$G$6,)</f>
        <v/>
      </c>
      <c r="B725" s="27" t="str">
        <f t="shared" si="1"/>
        <v/>
      </c>
      <c r="C725" s="14" t="str">
        <f>IF($A725&lt;&gt;"",MINIFS(Merchant!$A:$A,Merchant!$B:$B,$G$2),)</f>
        <v/>
      </c>
      <c r="D725" s="14" t="str">
        <f t="shared" si="2"/>
        <v/>
      </c>
      <c r="E725" s="14" t="str">
        <f t="shared" si="3"/>
        <v/>
      </c>
      <c r="F725" s="7" t="str">
        <f>IF($A725&lt;&gt;"",MAXIFS(Token!$C:$C,Token!$A:$A,$D725),)</f>
        <v/>
      </c>
    </row>
    <row r="726">
      <c r="A726" s="39" t="str">
        <f>IF(AND($L726*1&gt;=$G$3,$L726*1&lt;=$G$4,$I726*$J726&gt;0,OR($I726&lt;&gt;$I727,$L726-$L727&gt;25),IF(ABS($I726)&gt;10,$I726/POW(10,$J726),$J726/POW(10,$I726))*MAXIFS(Token!$C:$C,Token!$A:$A,$K726)&gt;0.01),$L726/86400+DATE(1970,1,1)+$G$6,)</f>
        <v/>
      </c>
      <c r="B726" s="27" t="str">
        <f t="shared" si="1"/>
        <v/>
      </c>
      <c r="C726" s="14" t="str">
        <f>IF($A726&lt;&gt;"",MINIFS(Merchant!$A:$A,Merchant!$B:$B,$G$2),)</f>
        <v/>
      </c>
      <c r="D726" s="14" t="str">
        <f t="shared" si="2"/>
        <v/>
      </c>
      <c r="E726" s="14" t="str">
        <f t="shared" si="3"/>
        <v/>
      </c>
      <c r="F726" s="7" t="str">
        <f>IF($A726&lt;&gt;"",MAXIFS(Token!$C:$C,Token!$A:$A,$D726),)</f>
        <v/>
      </c>
    </row>
    <row r="727">
      <c r="A727" s="39" t="str">
        <f>IF(AND($L727*1&gt;=$G$3,$L727*1&lt;=$G$4,$I727*$J727&gt;0,OR($I727&lt;&gt;$I728,$L727-$L728&gt;25),IF(ABS($I727)&gt;10,$I727/POW(10,$J727),$J727/POW(10,$I727))*MAXIFS(Token!$C:$C,Token!$A:$A,$K727)&gt;0.01),$L727/86400+DATE(1970,1,1)+$G$6,)</f>
        <v/>
      </c>
      <c r="B727" s="27" t="str">
        <f t="shared" si="1"/>
        <v/>
      </c>
      <c r="C727" s="14" t="str">
        <f>IF($A727&lt;&gt;"",MINIFS(Merchant!$A:$A,Merchant!$B:$B,$G$2),)</f>
        <v/>
      </c>
      <c r="D727" s="14" t="str">
        <f t="shared" si="2"/>
        <v/>
      </c>
      <c r="E727" s="14" t="str">
        <f t="shared" si="3"/>
        <v/>
      </c>
      <c r="F727" s="7" t="str">
        <f>IF($A727&lt;&gt;"",MAXIFS(Token!$C:$C,Token!$A:$A,$D727),)</f>
        <v/>
      </c>
    </row>
    <row r="728">
      <c r="A728" s="39" t="str">
        <f>IF(AND($L728*1&gt;=$G$3,$L728*1&lt;=$G$4,$I728*$J728&gt;0,OR($I728&lt;&gt;$I729,$L728-$L729&gt;25),IF(ABS($I728)&gt;10,$I728/POW(10,$J728),$J728/POW(10,$I728))*MAXIFS(Token!$C:$C,Token!$A:$A,$K728)&gt;0.01),$L728/86400+DATE(1970,1,1)+$G$6,)</f>
        <v/>
      </c>
      <c r="B728" s="27" t="str">
        <f t="shared" si="1"/>
        <v/>
      </c>
      <c r="C728" s="14" t="str">
        <f>IF($A728&lt;&gt;"",MINIFS(Merchant!$A:$A,Merchant!$B:$B,$G$2),)</f>
        <v/>
      </c>
      <c r="D728" s="14" t="str">
        <f t="shared" si="2"/>
        <v/>
      </c>
      <c r="E728" s="14" t="str">
        <f t="shared" si="3"/>
        <v/>
      </c>
      <c r="F728" s="7" t="str">
        <f>IF($A728&lt;&gt;"",MAXIFS(Token!$C:$C,Token!$A:$A,$D728),)</f>
        <v/>
      </c>
    </row>
    <row r="729">
      <c r="A729" s="39" t="str">
        <f>IF(AND($L729*1&gt;=$G$3,$L729*1&lt;=$G$4,$I729*$J729&gt;0,OR($I729&lt;&gt;$I730,$L729-$L730&gt;25),IF(ABS($I729)&gt;10,$I729/POW(10,$J729),$J729/POW(10,$I729))*MAXIFS(Token!$C:$C,Token!$A:$A,$K729)&gt;0.01),$L729/86400+DATE(1970,1,1)+$G$6,)</f>
        <v/>
      </c>
      <c r="B729" s="27" t="str">
        <f t="shared" si="1"/>
        <v/>
      </c>
      <c r="C729" s="14" t="str">
        <f>IF($A729&lt;&gt;"",MINIFS(Merchant!$A:$A,Merchant!$B:$B,$G$2),)</f>
        <v/>
      </c>
      <c r="D729" s="14" t="str">
        <f t="shared" si="2"/>
        <v/>
      </c>
      <c r="E729" s="14" t="str">
        <f t="shared" si="3"/>
        <v/>
      </c>
      <c r="F729" s="7" t="str">
        <f>IF($A729&lt;&gt;"",MAXIFS(Token!$C:$C,Token!$A:$A,$D729),)</f>
        <v/>
      </c>
    </row>
    <row r="730">
      <c r="A730" s="39" t="str">
        <f>IF(AND($L730*1&gt;=$G$3,$L730*1&lt;=$G$4,$I730*$J730&gt;0,OR($I730&lt;&gt;$I731,$L730-$L731&gt;25),IF(ABS($I730)&gt;10,$I730/POW(10,$J730),$J730/POW(10,$I730))*MAXIFS(Token!$C:$C,Token!$A:$A,$K730)&gt;0.01),$L730/86400+DATE(1970,1,1)+$G$6,)</f>
        <v/>
      </c>
      <c r="B730" s="27" t="str">
        <f t="shared" si="1"/>
        <v/>
      </c>
      <c r="C730" s="14" t="str">
        <f>IF($A730&lt;&gt;"",MINIFS(Merchant!$A:$A,Merchant!$B:$B,$G$2),)</f>
        <v/>
      </c>
      <c r="D730" s="14" t="str">
        <f t="shared" si="2"/>
        <v/>
      </c>
      <c r="E730" s="14" t="str">
        <f t="shared" si="3"/>
        <v/>
      </c>
      <c r="F730" s="7" t="str">
        <f>IF($A730&lt;&gt;"",MAXIFS(Token!$C:$C,Token!$A:$A,$D730),)</f>
        <v/>
      </c>
    </row>
    <row r="731">
      <c r="A731" s="39" t="str">
        <f>IF(AND($L731*1&gt;=$G$3,$L731*1&lt;=$G$4,$I731*$J731&gt;0,OR($I731&lt;&gt;$I732,$L731-$L732&gt;25),IF(ABS($I731)&gt;10,$I731/POW(10,$J731),$J731/POW(10,$I731))*MAXIFS(Token!$C:$C,Token!$A:$A,$K731)&gt;0.01),$L731/86400+DATE(1970,1,1)+$G$6,)</f>
        <v/>
      </c>
      <c r="B731" s="27" t="str">
        <f t="shared" si="1"/>
        <v/>
      </c>
      <c r="C731" s="14" t="str">
        <f>IF($A731&lt;&gt;"",MINIFS(Merchant!$A:$A,Merchant!$B:$B,$G$2),)</f>
        <v/>
      </c>
      <c r="D731" s="14" t="str">
        <f t="shared" si="2"/>
        <v/>
      </c>
      <c r="E731" s="14" t="str">
        <f t="shared" si="3"/>
        <v/>
      </c>
      <c r="F731" s="7" t="str">
        <f>IF($A731&lt;&gt;"",MAXIFS(Token!$C:$C,Token!$A:$A,$D731),)</f>
        <v/>
      </c>
    </row>
    <row r="732">
      <c r="A732" s="39" t="str">
        <f>IF(AND($L732*1&gt;=$G$3,$L732*1&lt;=$G$4,$I732*$J732&gt;0,OR($I732&lt;&gt;$I733,$L732-$L733&gt;25),IF(ABS($I732)&gt;10,$I732/POW(10,$J732),$J732/POW(10,$I732))*MAXIFS(Token!$C:$C,Token!$A:$A,$K732)&gt;0.01),$L732/86400+DATE(1970,1,1)+$G$6,)</f>
        <v/>
      </c>
      <c r="B732" s="27" t="str">
        <f t="shared" si="1"/>
        <v/>
      </c>
      <c r="C732" s="14" t="str">
        <f>IF($A732&lt;&gt;"",MINIFS(Merchant!$A:$A,Merchant!$B:$B,$G$2),)</f>
        <v/>
      </c>
      <c r="D732" s="14" t="str">
        <f t="shared" si="2"/>
        <v/>
      </c>
      <c r="E732" s="14" t="str">
        <f t="shared" si="3"/>
        <v/>
      </c>
      <c r="F732" s="7" t="str">
        <f>IF($A732&lt;&gt;"",MAXIFS(Token!$C:$C,Token!$A:$A,$D732),)</f>
        <v/>
      </c>
    </row>
    <row r="733">
      <c r="A733" s="39" t="str">
        <f>IF(AND($L733*1&gt;=$G$3,$L733*1&lt;=$G$4,$I733*$J733&gt;0,OR($I733&lt;&gt;$I734,$L733-$L734&gt;25),IF(ABS($I733)&gt;10,$I733/POW(10,$J733),$J733/POW(10,$I733))*MAXIFS(Token!$C:$C,Token!$A:$A,$K733)&gt;0.01),$L733/86400+DATE(1970,1,1)+$G$6,)</f>
        <v/>
      </c>
      <c r="B733" s="27" t="str">
        <f t="shared" si="1"/>
        <v/>
      </c>
      <c r="C733" s="14" t="str">
        <f>IF($A733&lt;&gt;"",MINIFS(Merchant!$A:$A,Merchant!$B:$B,$G$2),)</f>
        <v/>
      </c>
      <c r="D733" s="14" t="str">
        <f t="shared" si="2"/>
        <v/>
      </c>
      <c r="E733" s="14" t="str">
        <f t="shared" si="3"/>
        <v/>
      </c>
      <c r="F733" s="7" t="str">
        <f>IF($A733&lt;&gt;"",MAXIFS(Token!$C:$C,Token!$A:$A,$D733),)</f>
        <v/>
      </c>
    </row>
    <row r="734">
      <c r="A734" s="39" t="str">
        <f>IF(AND($L734*1&gt;=$G$3,$L734*1&lt;=$G$4,$I734*$J734&gt;0,OR($I734&lt;&gt;$I735,$L734-$L735&gt;25),IF(ABS($I734)&gt;10,$I734/POW(10,$J734),$J734/POW(10,$I734))*MAXIFS(Token!$C:$C,Token!$A:$A,$K734)&gt;0.01),$L734/86400+DATE(1970,1,1)+$G$6,)</f>
        <v/>
      </c>
      <c r="B734" s="27" t="str">
        <f t="shared" si="1"/>
        <v/>
      </c>
      <c r="C734" s="14" t="str">
        <f>IF($A734&lt;&gt;"",MINIFS(Merchant!$A:$A,Merchant!$B:$B,$G$2),)</f>
        <v/>
      </c>
      <c r="D734" s="14" t="str">
        <f t="shared" si="2"/>
        <v/>
      </c>
      <c r="E734" s="14" t="str">
        <f t="shared" si="3"/>
        <v/>
      </c>
      <c r="F734" s="7" t="str">
        <f>IF($A734&lt;&gt;"",MAXIFS(Token!$C:$C,Token!$A:$A,$D734),)</f>
        <v/>
      </c>
    </row>
    <row r="735">
      <c r="A735" s="39" t="str">
        <f>IF(AND($L735*1&gt;=$G$3,$L735*1&lt;=$G$4,$I735*$J735&gt;0,OR($I735&lt;&gt;$I736,$L735-$L736&gt;25),IF(ABS($I735)&gt;10,$I735/POW(10,$J735),$J735/POW(10,$I735))*MAXIFS(Token!$C:$C,Token!$A:$A,$K735)&gt;0.01),$L735/86400+DATE(1970,1,1)+$G$6,)</f>
        <v/>
      </c>
      <c r="B735" s="27" t="str">
        <f t="shared" si="1"/>
        <v/>
      </c>
      <c r="C735" s="14" t="str">
        <f>IF($A735&lt;&gt;"",MINIFS(Merchant!$A:$A,Merchant!$B:$B,$G$2),)</f>
        <v/>
      </c>
      <c r="D735" s="14" t="str">
        <f t="shared" si="2"/>
        <v/>
      </c>
      <c r="E735" s="14" t="str">
        <f t="shared" si="3"/>
        <v/>
      </c>
      <c r="F735" s="7" t="str">
        <f>IF($A735&lt;&gt;"",MAXIFS(Token!$C:$C,Token!$A:$A,$D735),)</f>
        <v/>
      </c>
    </row>
    <row r="736">
      <c r="A736" s="39" t="str">
        <f>IF(AND($L736*1&gt;=$G$3,$L736*1&lt;=$G$4,$I736*$J736&gt;0,OR($I736&lt;&gt;$I737,$L736-$L737&gt;25),IF(ABS($I736)&gt;10,$I736/POW(10,$J736),$J736/POW(10,$I736))*MAXIFS(Token!$C:$C,Token!$A:$A,$K736)&gt;0.01),$L736/86400+DATE(1970,1,1)+$G$6,)</f>
        <v/>
      </c>
      <c r="B736" s="27" t="str">
        <f t="shared" si="1"/>
        <v/>
      </c>
      <c r="C736" s="14" t="str">
        <f>IF($A736&lt;&gt;"",MINIFS(Merchant!$A:$A,Merchant!$B:$B,$G$2),)</f>
        <v/>
      </c>
      <c r="D736" s="14" t="str">
        <f t="shared" si="2"/>
        <v/>
      </c>
      <c r="E736" s="14" t="str">
        <f t="shared" si="3"/>
        <v/>
      </c>
      <c r="F736" s="7" t="str">
        <f>IF($A736&lt;&gt;"",MAXIFS(Token!$C:$C,Token!$A:$A,$D736),)</f>
        <v/>
      </c>
    </row>
    <row r="737">
      <c r="A737" s="39" t="str">
        <f>IF(AND($L737*1&gt;=$G$3,$L737*1&lt;=$G$4,$I737*$J737&gt;0,OR($I737&lt;&gt;$I738,$L737-$L738&gt;25),IF(ABS($I737)&gt;10,$I737/POW(10,$J737),$J737/POW(10,$I737))*MAXIFS(Token!$C:$C,Token!$A:$A,$K737)&gt;0.01),$L737/86400+DATE(1970,1,1)+$G$6,)</f>
        <v/>
      </c>
      <c r="B737" s="27" t="str">
        <f t="shared" si="1"/>
        <v/>
      </c>
      <c r="C737" s="14" t="str">
        <f>IF($A737&lt;&gt;"",MINIFS(Merchant!$A:$A,Merchant!$B:$B,$G$2),)</f>
        <v/>
      </c>
      <c r="D737" s="14" t="str">
        <f t="shared" si="2"/>
        <v/>
      </c>
      <c r="E737" s="14" t="str">
        <f t="shared" si="3"/>
        <v/>
      </c>
      <c r="F737" s="7" t="str">
        <f>IF($A737&lt;&gt;"",MAXIFS(Token!$C:$C,Token!$A:$A,$D737),)</f>
        <v/>
      </c>
    </row>
    <row r="738">
      <c r="A738" s="39" t="str">
        <f>IF(AND($L738*1&gt;=$G$3,$L738*1&lt;=$G$4,$I738*$J738&gt;0,OR($I738&lt;&gt;$I739,$L738-$L739&gt;25),IF(ABS($I738)&gt;10,$I738/POW(10,$J738),$J738/POW(10,$I738))*MAXIFS(Token!$C:$C,Token!$A:$A,$K738)&gt;0.01),$L738/86400+DATE(1970,1,1)+$G$6,)</f>
        <v/>
      </c>
      <c r="B738" s="27" t="str">
        <f t="shared" si="1"/>
        <v/>
      </c>
      <c r="C738" s="14" t="str">
        <f>IF($A738&lt;&gt;"",MINIFS(Merchant!$A:$A,Merchant!$B:$B,$G$2),)</f>
        <v/>
      </c>
      <c r="D738" s="14" t="str">
        <f t="shared" si="2"/>
        <v/>
      </c>
      <c r="E738" s="14" t="str">
        <f t="shared" si="3"/>
        <v/>
      </c>
      <c r="F738" s="7" t="str">
        <f>IF($A738&lt;&gt;"",MAXIFS(Token!$C:$C,Token!$A:$A,$D738),)</f>
        <v/>
      </c>
    </row>
    <row r="739">
      <c r="A739" s="39" t="str">
        <f>IF(AND($L739*1&gt;=$G$3,$L739*1&lt;=$G$4,$I739*$J739&gt;0,OR($I739&lt;&gt;$I740,$L739-$L740&gt;25),IF(ABS($I739)&gt;10,$I739/POW(10,$J739),$J739/POW(10,$I739))*MAXIFS(Token!$C:$C,Token!$A:$A,$K739)&gt;0.01),$L739/86400+DATE(1970,1,1)+$G$6,)</f>
        <v/>
      </c>
      <c r="B739" s="27" t="str">
        <f t="shared" si="1"/>
        <v/>
      </c>
      <c r="C739" s="14" t="str">
        <f>IF($A739&lt;&gt;"",MINIFS(Merchant!$A:$A,Merchant!$B:$B,$G$2),)</f>
        <v/>
      </c>
      <c r="D739" s="14" t="str">
        <f t="shared" si="2"/>
        <v/>
      </c>
      <c r="E739" s="14" t="str">
        <f t="shared" si="3"/>
        <v/>
      </c>
      <c r="F739" s="7" t="str">
        <f>IF($A739&lt;&gt;"",MAXIFS(Token!$C:$C,Token!$A:$A,$D739),)</f>
        <v/>
      </c>
    </row>
    <row r="740">
      <c r="A740" s="39" t="str">
        <f>IF(AND($L740*1&gt;=$G$3,$L740*1&lt;=$G$4,$I740*$J740&gt;0,OR($I740&lt;&gt;$I741,$L740-$L741&gt;25),IF(ABS($I740)&gt;10,$I740/POW(10,$J740),$J740/POW(10,$I740))*MAXIFS(Token!$C:$C,Token!$A:$A,$K740)&gt;0.01),$L740/86400+DATE(1970,1,1)+$G$6,)</f>
        <v/>
      </c>
      <c r="B740" s="27" t="str">
        <f t="shared" si="1"/>
        <v/>
      </c>
      <c r="C740" s="14" t="str">
        <f>IF($A740&lt;&gt;"",MINIFS(Merchant!$A:$A,Merchant!$B:$B,$G$2),)</f>
        <v/>
      </c>
      <c r="D740" s="14" t="str">
        <f t="shared" si="2"/>
        <v/>
      </c>
      <c r="E740" s="14" t="str">
        <f t="shared" si="3"/>
        <v/>
      </c>
      <c r="F740" s="7" t="str">
        <f>IF($A740&lt;&gt;"",MAXIFS(Token!$C:$C,Token!$A:$A,$D740),)</f>
        <v/>
      </c>
    </row>
    <row r="741">
      <c r="A741" s="39" t="str">
        <f>IF(AND($L741*1&gt;=$G$3,$L741*1&lt;=$G$4,$I741*$J741&gt;0,OR($I741&lt;&gt;$I742,$L741-$L742&gt;25),IF(ABS($I741)&gt;10,$I741/POW(10,$J741),$J741/POW(10,$I741))*MAXIFS(Token!$C:$C,Token!$A:$A,$K741)&gt;0.01),$L741/86400+DATE(1970,1,1)+$G$6,)</f>
        <v/>
      </c>
      <c r="B741" s="27" t="str">
        <f t="shared" si="1"/>
        <v/>
      </c>
      <c r="C741" s="14" t="str">
        <f>IF($A741&lt;&gt;"",MINIFS(Merchant!$A:$A,Merchant!$B:$B,$G$2),)</f>
        <v/>
      </c>
      <c r="D741" s="14" t="str">
        <f t="shared" si="2"/>
        <v/>
      </c>
      <c r="E741" s="14" t="str">
        <f t="shared" si="3"/>
        <v/>
      </c>
      <c r="F741" s="7" t="str">
        <f>IF($A741&lt;&gt;"",MAXIFS(Token!$C:$C,Token!$A:$A,$D741),)</f>
        <v/>
      </c>
    </row>
    <row r="742">
      <c r="A742" s="39" t="str">
        <f>IF(AND($L742*1&gt;=$G$3,$L742*1&lt;=$G$4,$I742*$J742&gt;0,OR($I742&lt;&gt;$I743,$L742-$L743&gt;25),IF(ABS($I742)&gt;10,$I742/POW(10,$J742),$J742/POW(10,$I742))*MAXIFS(Token!$C:$C,Token!$A:$A,$K742)&gt;0.01),$L742/86400+DATE(1970,1,1)+$G$6,)</f>
        <v/>
      </c>
      <c r="B742" s="27" t="str">
        <f t="shared" si="1"/>
        <v/>
      </c>
      <c r="C742" s="14" t="str">
        <f>IF($A742&lt;&gt;"",MINIFS(Merchant!$A:$A,Merchant!$B:$B,$G$2),)</f>
        <v/>
      </c>
      <c r="D742" s="14" t="str">
        <f t="shared" si="2"/>
        <v/>
      </c>
      <c r="E742" s="14" t="str">
        <f t="shared" si="3"/>
        <v/>
      </c>
      <c r="F742" s="7" t="str">
        <f>IF($A742&lt;&gt;"",MAXIFS(Token!$C:$C,Token!$A:$A,$D742),)</f>
        <v/>
      </c>
    </row>
    <row r="743">
      <c r="A743" s="39" t="str">
        <f>IF(AND($L743*1&gt;=$G$3,$L743*1&lt;=$G$4,$I743*$J743&gt;0,OR($I743&lt;&gt;$I744,$L743-$L744&gt;25),IF(ABS($I743)&gt;10,$I743/POW(10,$J743),$J743/POW(10,$I743))*MAXIFS(Token!$C:$C,Token!$A:$A,$K743)&gt;0.01),$L743/86400+DATE(1970,1,1)+$G$6,)</f>
        <v/>
      </c>
      <c r="B743" s="27" t="str">
        <f t="shared" si="1"/>
        <v/>
      </c>
      <c r="C743" s="14" t="str">
        <f>IF($A743&lt;&gt;"",MINIFS(Merchant!$A:$A,Merchant!$B:$B,$G$2),)</f>
        <v/>
      </c>
      <c r="D743" s="14" t="str">
        <f t="shared" si="2"/>
        <v/>
      </c>
      <c r="E743" s="14" t="str">
        <f t="shared" si="3"/>
        <v/>
      </c>
      <c r="F743" s="7" t="str">
        <f>IF($A743&lt;&gt;"",MAXIFS(Token!$C:$C,Token!$A:$A,$D743),)</f>
        <v/>
      </c>
    </row>
    <row r="744">
      <c r="A744" s="39" t="str">
        <f>IF(AND($L744*1&gt;=$G$3,$L744*1&lt;=$G$4,$I744*$J744&gt;0,OR($I744&lt;&gt;$I745,$L744-$L745&gt;25),IF(ABS($I744)&gt;10,$I744/POW(10,$J744),$J744/POW(10,$I744))*MAXIFS(Token!$C:$C,Token!$A:$A,$K744)&gt;0.01),$L744/86400+DATE(1970,1,1)+$G$6,)</f>
        <v/>
      </c>
      <c r="B744" s="27" t="str">
        <f t="shared" si="1"/>
        <v/>
      </c>
      <c r="C744" s="14" t="str">
        <f>IF($A744&lt;&gt;"",MINIFS(Merchant!$A:$A,Merchant!$B:$B,$G$2),)</f>
        <v/>
      </c>
      <c r="D744" s="14" t="str">
        <f t="shared" si="2"/>
        <v/>
      </c>
      <c r="E744" s="14" t="str">
        <f t="shared" si="3"/>
        <v/>
      </c>
      <c r="F744" s="7" t="str">
        <f>IF($A744&lt;&gt;"",MAXIFS(Token!$C:$C,Token!$A:$A,$D744),)</f>
        <v/>
      </c>
    </row>
    <row r="745">
      <c r="A745" s="39" t="str">
        <f>IF(AND($L745*1&gt;=$G$3,$L745*1&lt;=$G$4,$I745*$J745&gt;0,OR($I745&lt;&gt;$I746,$L745-$L746&gt;25),IF(ABS($I745)&gt;10,$I745/POW(10,$J745),$J745/POW(10,$I745))*MAXIFS(Token!$C:$C,Token!$A:$A,$K745)&gt;0.01),$L745/86400+DATE(1970,1,1)+$G$6,)</f>
        <v/>
      </c>
      <c r="B745" s="27" t="str">
        <f t="shared" si="1"/>
        <v/>
      </c>
      <c r="C745" s="14" t="str">
        <f>IF($A745&lt;&gt;"",MINIFS(Merchant!$A:$A,Merchant!$B:$B,$G$2),)</f>
        <v/>
      </c>
      <c r="D745" s="14" t="str">
        <f t="shared" si="2"/>
        <v/>
      </c>
      <c r="E745" s="14" t="str">
        <f t="shared" si="3"/>
        <v/>
      </c>
      <c r="F745" s="7" t="str">
        <f>IF($A745&lt;&gt;"",MAXIFS(Token!$C:$C,Token!$A:$A,$D745),)</f>
        <v/>
      </c>
    </row>
    <row r="746">
      <c r="A746" s="39" t="str">
        <f>IF(AND($L746*1&gt;=$G$3,$L746*1&lt;=$G$4,$I746*$J746&gt;0,OR($I746&lt;&gt;$I747,$L746-$L747&gt;25),IF(ABS($I746)&gt;10,$I746/POW(10,$J746),$J746/POW(10,$I746))*MAXIFS(Token!$C:$C,Token!$A:$A,$K746)&gt;0.01),$L746/86400+DATE(1970,1,1)+$G$6,)</f>
        <v/>
      </c>
      <c r="B746" s="27" t="str">
        <f t="shared" si="1"/>
        <v/>
      </c>
      <c r="C746" s="14" t="str">
        <f>IF($A746&lt;&gt;"",MINIFS(Merchant!$A:$A,Merchant!$B:$B,$G$2),)</f>
        <v/>
      </c>
      <c r="D746" s="14" t="str">
        <f t="shared" si="2"/>
        <v/>
      </c>
      <c r="E746" s="14" t="str">
        <f t="shared" si="3"/>
        <v/>
      </c>
      <c r="F746" s="7" t="str">
        <f>IF($A746&lt;&gt;"",MAXIFS(Token!$C:$C,Token!$A:$A,$D746),)</f>
        <v/>
      </c>
    </row>
    <row r="747">
      <c r="A747" s="39" t="str">
        <f>IF(AND($L747*1&gt;=$G$3,$L747*1&lt;=$G$4,$I747*$J747&gt;0,OR($I747&lt;&gt;$I748,$L747-$L748&gt;25),IF(ABS($I747)&gt;10,$I747/POW(10,$J747),$J747/POW(10,$I747))*MAXIFS(Token!$C:$C,Token!$A:$A,$K747)&gt;0.01),$L747/86400+DATE(1970,1,1)+$G$6,)</f>
        <v/>
      </c>
      <c r="B747" s="27" t="str">
        <f t="shared" si="1"/>
        <v/>
      </c>
      <c r="C747" s="14" t="str">
        <f>IF($A747&lt;&gt;"",MINIFS(Merchant!$A:$A,Merchant!$B:$B,$G$2),)</f>
        <v/>
      </c>
      <c r="D747" s="14" t="str">
        <f t="shared" si="2"/>
        <v/>
      </c>
      <c r="E747" s="14" t="str">
        <f t="shared" si="3"/>
        <v/>
      </c>
      <c r="F747" s="7" t="str">
        <f>IF($A747&lt;&gt;"",MAXIFS(Token!$C:$C,Token!$A:$A,$D747),)</f>
        <v/>
      </c>
    </row>
    <row r="748">
      <c r="A748" s="39" t="str">
        <f>IF(AND($L748*1&gt;=$G$3,$L748*1&lt;=$G$4,$I748*$J748&gt;0,OR($I748&lt;&gt;$I749,$L748-$L749&gt;25),IF(ABS($I748)&gt;10,$I748/POW(10,$J748),$J748/POW(10,$I748))*MAXIFS(Token!$C:$C,Token!$A:$A,$K748)&gt;0.01),$L748/86400+DATE(1970,1,1)+$G$6,)</f>
        <v/>
      </c>
      <c r="B748" s="27" t="str">
        <f t="shared" si="1"/>
        <v/>
      </c>
      <c r="C748" s="14" t="str">
        <f>IF($A748&lt;&gt;"",MINIFS(Merchant!$A:$A,Merchant!$B:$B,$G$2),)</f>
        <v/>
      </c>
      <c r="D748" s="14" t="str">
        <f t="shared" si="2"/>
        <v/>
      </c>
      <c r="E748" s="14" t="str">
        <f t="shared" si="3"/>
        <v/>
      </c>
      <c r="F748" s="7" t="str">
        <f>IF($A748&lt;&gt;"",MAXIFS(Token!$C:$C,Token!$A:$A,$D748),)</f>
        <v/>
      </c>
    </row>
    <row r="749">
      <c r="A749" s="39" t="str">
        <f>IF(AND($L749*1&gt;=$G$3,$L749*1&lt;=$G$4,$I749*$J749&gt;0,OR($I749&lt;&gt;$I750,$L749-$L750&gt;25),IF(ABS($I749)&gt;10,$I749/POW(10,$J749),$J749/POW(10,$I749))*MAXIFS(Token!$C:$C,Token!$A:$A,$K749)&gt;0.01),$L749/86400+DATE(1970,1,1)+$G$6,)</f>
        <v/>
      </c>
      <c r="B749" s="27" t="str">
        <f t="shared" si="1"/>
        <v/>
      </c>
      <c r="C749" s="14" t="str">
        <f>IF($A749&lt;&gt;"",MINIFS(Merchant!$A:$A,Merchant!$B:$B,$G$2),)</f>
        <v/>
      </c>
      <c r="D749" s="14" t="str">
        <f t="shared" si="2"/>
        <v/>
      </c>
      <c r="E749" s="14" t="str">
        <f t="shared" si="3"/>
        <v/>
      </c>
      <c r="F749" s="7" t="str">
        <f>IF($A749&lt;&gt;"",MAXIFS(Token!$C:$C,Token!$A:$A,$D749),)</f>
        <v/>
      </c>
    </row>
    <row r="750">
      <c r="A750" s="39" t="str">
        <f>IF(AND($L750*1&gt;=$G$3,$L750*1&lt;=$G$4,$I750*$J750&gt;0,OR($I750&lt;&gt;$I751,$L750-$L751&gt;25),IF(ABS($I750)&gt;10,$I750/POW(10,$J750),$J750/POW(10,$I750))*MAXIFS(Token!$C:$C,Token!$A:$A,$K750)&gt;0.01),$L750/86400+DATE(1970,1,1)+$G$6,)</f>
        <v/>
      </c>
      <c r="B750" s="27" t="str">
        <f t="shared" si="1"/>
        <v/>
      </c>
      <c r="C750" s="14" t="str">
        <f>IF($A750&lt;&gt;"",MINIFS(Merchant!$A:$A,Merchant!$B:$B,$G$2),)</f>
        <v/>
      </c>
      <c r="D750" s="14" t="str">
        <f t="shared" si="2"/>
        <v/>
      </c>
      <c r="E750" s="14" t="str">
        <f t="shared" si="3"/>
        <v/>
      </c>
      <c r="F750" s="7" t="str">
        <f>IF($A750&lt;&gt;"",MAXIFS(Token!$C:$C,Token!$A:$A,$D750),)</f>
        <v/>
      </c>
    </row>
    <row r="751">
      <c r="A751" s="39" t="str">
        <f>IF(AND($L751*1&gt;=$G$3,$L751*1&lt;=$G$4,$I751*$J751&gt;0,OR($I751&lt;&gt;$I752,$L751-$L752&gt;25),IF(ABS($I751)&gt;10,$I751/POW(10,$J751),$J751/POW(10,$I751))*MAXIFS(Token!$C:$C,Token!$A:$A,$K751)&gt;0.01),$L751/86400+DATE(1970,1,1)+$G$6,)</f>
        <v/>
      </c>
      <c r="B751" s="27" t="str">
        <f t="shared" si="1"/>
        <v/>
      </c>
      <c r="C751" s="14" t="str">
        <f>IF($A751&lt;&gt;"",MINIFS(Merchant!$A:$A,Merchant!$B:$B,$G$2),)</f>
        <v/>
      </c>
      <c r="D751" s="14" t="str">
        <f t="shared" si="2"/>
        <v/>
      </c>
      <c r="E751" s="14" t="str">
        <f t="shared" si="3"/>
        <v/>
      </c>
      <c r="F751" s="7" t="str">
        <f>IF($A751&lt;&gt;"",MAXIFS(Token!$C:$C,Token!$A:$A,$D751),)</f>
        <v/>
      </c>
    </row>
    <row r="752">
      <c r="A752" s="39" t="str">
        <f>IF(AND($L752*1&gt;=$G$3,$L752*1&lt;=$G$4,$I752*$J752&gt;0,OR($I752&lt;&gt;$I753,$L752-$L753&gt;25),IF(ABS($I752)&gt;10,$I752/POW(10,$J752),$J752/POW(10,$I752))*MAXIFS(Token!$C:$C,Token!$A:$A,$K752)&gt;0.01),$L752/86400+DATE(1970,1,1)+$G$6,)</f>
        <v/>
      </c>
      <c r="B752" s="27" t="str">
        <f t="shared" si="1"/>
        <v/>
      </c>
      <c r="C752" s="14" t="str">
        <f>IF($A752&lt;&gt;"",MINIFS(Merchant!$A:$A,Merchant!$B:$B,$G$2),)</f>
        <v/>
      </c>
      <c r="D752" s="14" t="str">
        <f t="shared" si="2"/>
        <v/>
      </c>
      <c r="E752" s="14" t="str">
        <f t="shared" si="3"/>
        <v/>
      </c>
      <c r="F752" s="7" t="str">
        <f>IF($A752&lt;&gt;"",MAXIFS(Token!$C:$C,Token!$A:$A,$D752),)</f>
        <v/>
      </c>
    </row>
    <row r="753">
      <c r="A753" s="39" t="str">
        <f>IF(AND($L753*1&gt;=$G$3,$L753*1&lt;=$G$4,$I753*$J753&gt;0,OR($I753&lt;&gt;$I754,$L753-$L754&gt;25),IF(ABS($I753)&gt;10,$I753/POW(10,$J753),$J753/POW(10,$I753))*MAXIFS(Token!$C:$C,Token!$A:$A,$K753)&gt;0.01),$L753/86400+DATE(1970,1,1)+$G$6,)</f>
        <v/>
      </c>
      <c r="B753" s="27" t="str">
        <f t="shared" si="1"/>
        <v/>
      </c>
      <c r="C753" s="14" t="str">
        <f>IF($A753&lt;&gt;"",MINIFS(Merchant!$A:$A,Merchant!$B:$B,$G$2),)</f>
        <v/>
      </c>
      <c r="D753" s="14" t="str">
        <f t="shared" si="2"/>
        <v/>
      </c>
      <c r="E753" s="14" t="str">
        <f t="shared" si="3"/>
        <v/>
      </c>
      <c r="F753" s="7" t="str">
        <f>IF($A753&lt;&gt;"",MAXIFS(Token!$C:$C,Token!$A:$A,$D753),)</f>
        <v/>
      </c>
    </row>
    <row r="754">
      <c r="A754" s="39" t="str">
        <f>IF(AND($L754*1&gt;=$G$3,$L754*1&lt;=$G$4,$I754*$J754&gt;0,OR($I754&lt;&gt;$I755,$L754-$L755&gt;25),IF(ABS($I754)&gt;10,$I754/POW(10,$J754),$J754/POW(10,$I754))*MAXIFS(Token!$C:$C,Token!$A:$A,$K754)&gt;0.01),$L754/86400+DATE(1970,1,1)+$G$6,)</f>
        <v/>
      </c>
      <c r="B754" s="27" t="str">
        <f t="shared" si="1"/>
        <v/>
      </c>
      <c r="C754" s="14" t="str">
        <f>IF($A754&lt;&gt;"",MINIFS(Merchant!$A:$A,Merchant!$B:$B,$G$2),)</f>
        <v/>
      </c>
      <c r="D754" s="14" t="str">
        <f t="shared" si="2"/>
        <v/>
      </c>
      <c r="E754" s="14" t="str">
        <f t="shared" si="3"/>
        <v/>
      </c>
      <c r="F754" s="7" t="str">
        <f>IF($A754&lt;&gt;"",MAXIFS(Token!$C:$C,Token!$A:$A,$D754),)</f>
        <v/>
      </c>
    </row>
    <row r="755">
      <c r="A755" s="39" t="str">
        <f>IF(AND($L755*1&gt;=$G$3,$L755*1&lt;=$G$4,$I755*$J755&gt;0,OR($I755&lt;&gt;$I756,$L755-$L756&gt;25),IF(ABS($I755)&gt;10,$I755/POW(10,$J755),$J755/POW(10,$I755))*MAXIFS(Token!$C:$C,Token!$A:$A,$K755)&gt;0.01),$L755/86400+DATE(1970,1,1)+$G$6,)</f>
        <v/>
      </c>
      <c r="B755" s="27" t="str">
        <f t="shared" si="1"/>
        <v/>
      </c>
      <c r="C755" s="14" t="str">
        <f>IF($A755&lt;&gt;"",MINIFS(Merchant!$A:$A,Merchant!$B:$B,$G$2),)</f>
        <v/>
      </c>
      <c r="D755" s="14" t="str">
        <f t="shared" si="2"/>
        <v/>
      </c>
      <c r="E755" s="14" t="str">
        <f t="shared" si="3"/>
        <v/>
      </c>
      <c r="F755" s="7" t="str">
        <f>IF($A755&lt;&gt;"",MAXIFS(Token!$C:$C,Token!$A:$A,$D755),)</f>
        <v/>
      </c>
    </row>
    <row r="756">
      <c r="A756" s="39" t="str">
        <f>IF(AND($L756*1&gt;=$G$3,$L756*1&lt;=$G$4,$I756*$J756&gt;0,OR($I756&lt;&gt;$I757,$L756-$L757&gt;25),IF(ABS($I756)&gt;10,$I756/POW(10,$J756),$J756/POW(10,$I756))*MAXIFS(Token!$C:$C,Token!$A:$A,$K756)&gt;0.01),$L756/86400+DATE(1970,1,1)+$G$6,)</f>
        <v/>
      </c>
      <c r="B756" s="27" t="str">
        <f t="shared" si="1"/>
        <v/>
      </c>
      <c r="C756" s="14" t="str">
        <f>IF($A756&lt;&gt;"",MINIFS(Merchant!$A:$A,Merchant!$B:$B,$G$2),)</f>
        <v/>
      </c>
      <c r="D756" s="14" t="str">
        <f t="shared" si="2"/>
        <v/>
      </c>
      <c r="E756" s="14" t="str">
        <f t="shared" si="3"/>
        <v/>
      </c>
      <c r="F756" s="7" t="str">
        <f>IF($A756&lt;&gt;"",MAXIFS(Token!$C:$C,Token!$A:$A,$D756),)</f>
        <v/>
      </c>
    </row>
    <row r="757">
      <c r="A757" s="39" t="str">
        <f>IF(AND($L757*1&gt;=$G$3,$L757*1&lt;=$G$4,$I757*$J757&gt;0,OR($I757&lt;&gt;$I758,$L757-$L758&gt;25),IF(ABS($I757)&gt;10,$I757/POW(10,$J757),$J757/POW(10,$I757))*MAXIFS(Token!$C:$C,Token!$A:$A,$K757)&gt;0.01),$L757/86400+DATE(1970,1,1)+$G$6,)</f>
        <v/>
      </c>
      <c r="B757" s="27" t="str">
        <f t="shared" si="1"/>
        <v/>
      </c>
      <c r="C757" s="14" t="str">
        <f>IF($A757&lt;&gt;"",MINIFS(Merchant!$A:$A,Merchant!$B:$B,$G$2),)</f>
        <v/>
      </c>
      <c r="D757" s="14" t="str">
        <f t="shared" si="2"/>
        <v/>
      </c>
      <c r="E757" s="14" t="str">
        <f t="shared" si="3"/>
        <v/>
      </c>
      <c r="F757" s="7" t="str">
        <f>IF($A757&lt;&gt;"",MAXIFS(Token!$C:$C,Token!$A:$A,$D757),)</f>
        <v/>
      </c>
    </row>
    <row r="758">
      <c r="A758" s="39" t="str">
        <f>IF(AND($L758*1&gt;=$G$3,$L758*1&lt;=$G$4,$I758*$J758&gt;0,OR($I758&lt;&gt;$I759,$L758-$L759&gt;25),IF(ABS($I758)&gt;10,$I758/POW(10,$J758),$J758/POW(10,$I758))*MAXIFS(Token!$C:$C,Token!$A:$A,$K758)&gt;0.01),$L758/86400+DATE(1970,1,1)+$G$6,)</f>
        <v/>
      </c>
      <c r="B758" s="27" t="str">
        <f t="shared" si="1"/>
        <v/>
      </c>
      <c r="C758" s="14" t="str">
        <f>IF($A758&lt;&gt;"",MINIFS(Merchant!$A:$A,Merchant!$B:$B,$G$2),)</f>
        <v/>
      </c>
      <c r="D758" s="14" t="str">
        <f t="shared" si="2"/>
        <v/>
      </c>
      <c r="E758" s="14" t="str">
        <f t="shared" si="3"/>
        <v/>
      </c>
      <c r="F758" s="7" t="str">
        <f>IF($A758&lt;&gt;"",MAXIFS(Token!$C:$C,Token!$A:$A,$D758),)</f>
        <v/>
      </c>
    </row>
    <row r="759">
      <c r="A759" s="39" t="str">
        <f>IF(AND($L759*1&gt;=$G$3,$L759*1&lt;=$G$4,$I759*$J759&gt;0,OR($I759&lt;&gt;$I760,$L759-$L760&gt;25),IF(ABS($I759)&gt;10,$I759/POW(10,$J759),$J759/POW(10,$I759))*MAXIFS(Token!$C:$C,Token!$A:$A,$K759)&gt;0.01),$L759/86400+DATE(1970,1,1)+$G$6,)</f>
        <v/>
      </c>
      <c r="B759" s="27" t="str">
        <f t="shared" si="1"/>
        <v/>
      </c>
      <c r="C759" s="14" t="str">
        <f>IF($A759&lt;&gt;"",MINIFS(Merchant!$A:$A,Merchant!$B:$B,$G$2),)</f>
        <v/>
      </c>
      <c r="D759" s="14" t="str">
        <f t="shared" si="2"/>
        <v/>
      </c>
      <c r="E759" s="14" t="str">
        <f t="shared" si="3"/>
        <v/>
      </c>
      <c r="F759" s="7" t="str">
        <f>IF($A759&lt;&gt;"",MAXIFS(Token!$C:$C,Token!$A:$A,$D759),)</f>
        <v/>
      </c>
    </row>
    <row r="760">
      <c r="A760" s="39" t="str">
        <f>IF(AND($L760*1&gt;=$G$3,$L760*1&lt;=$G$4,$I760*$J760&gt;0,OR($I760&lt;&gt;$I761,$L760-$L761&gt;25),IF(ABS($I760)&gt;10,$I760/POW(10,$J760),$J760/POW(10,$I760))*MAXIFS(Token!$C:$C,Token!$A:$A,$K760)&gt;0.01),$L760/86400+DATE(1970,1,1)+$G$6,)</f>
        <v/>
      </c>
      <c r="B760" s="27" t="str">
        <f t="shared" si="1"/>
        <v/>
      </c>
      <c r="C760" s="14" t="str">
        <f>IF($A760&lt;&gt;"",MINIFS(Merchant!$A:$A,Merchant!$B:$B,$G$2),)</f>
        <v/>
      </c>
      <c r="D760" s="14" t="str">
        <f t="shared" si="2"/>
        <v/>
      </c>
      <c r="E760" s="14" t="str">
        <f t="shared" si="3"/>
        <v/>
      </c>
      <c r="F760" s="7" t="str">
        <f>IF($A760&lt;&gt;"",MAXIFS(Token!$C:$C,Token!$A:$A,$D760),)</f>
        <v/>
      </c>
    </row>
    <row r="761">
      <c r="A761" s="39" t="str">
        <f>IF(AND($L761*1&gt;=$G$3,$L761*1&lt;=$G$4,$I761*$J761&gt;0,OR($I761&lt;&gt;$I762,$L761-$L762&gt;25),IF(ABS($I761)&gt;10,$I761/POW(10,$J761),$J761/POW(10,$I761))*MAXIFS(Token!$C:$C,Token!$A:$A,$K761)&gt;0.01),$L761/86400+DATE(1970,1,1)+$G$6,)</f>
        <v/>
      </c>
      <c r="B761" s="27" t="str">
        <f t="shared" si="1"/>
        <v/>
      </c>
      <c r="C761" s="14" t="str">
        <f>IF($A761&lt;&gt;"",MINIFS(Merchant!$A:$A,Merchant!$B:$B,$G$2),)</f>
        <v/>
      </c>
      <c r="D761" s="14" t="str">
        <f t="shared" si="2"/>
        <v/>
      </c>
      <c r="E761" s="14" t="str">
        <f t="shared" si="3"/>
        <v/>
      </c>
      <c r="F761" s="7" t="str">
        <f>IF($A761&lt;&gt;"",MAXIFS(Token!$C:$C,Token!$A:$A,$D761),)</f>
        <v/>
      </c>
    </row>
    <row r="762">
      <c r="A762" s="39" t="str">
        <f>IF(AND($L762*1&gt;=$G$3,$L762*1&lt;=$G$4,$I762*$J762&gt;0,OR($I762&lt;&gt;$I763,$L762-$L763&gt;25),IF(ABS($I762)&gt;10,$I762/POW(10,$J762),$J762/POW(10,$I762))*MAXIFS(Token!$C:$C,Token!$A:$A,$K762)&gt;0.01),$L762/86400+DATE(1970,1,1)+$G$6,)</f>
        <v/>
      </c>
      <c r="B762" s="27" t="str">
        <f t="shared" si="1"/>
        <v/>
      </c>
      <c r="C762" s="14" t="str">
        <f>IF($A762&lt;&gt;"",MINIFS(Merchant!$A:$A,Merchant!$B:$B,$G$2),)</f>
        <v/>
      </c>
      <c r="D762" s="14" t="str">
        <f t="shared" si="2"/>
        <v/>
      </c>
      <c r="E762" s="14" t="str">
        <f t="shared" si="3"/>
        <v/>
      </c>
      <c r="F762" s="7" t="str">
        <f>IF($A762&lt;&gt;"",MAXIFS(Token!$C:$C,Token!$A:$A,$D762),)</f>
        <v/>
      </c>
    </row>
    <row r="763">
      <c r="A763" s="39" t="str">
        <f>IF(AND($L763*1&gt;=$G$3,$L763*1&lt;=$G$4,$I763*$J763&gt;0,OR($I763&lt;&gt;$I764,$L763-$L764&gt;25),IF(ABS($I763)&gt;10,$I763/POW(10,$J763),$J763/POW(10,$I763))*MAXIFS(Token!$C:$C,Token!$A:$A,$K763)&gt;0.01),$L763/86400+DATE(1970,1,1)+$G$6,)</f>
        <v/>
      </c>
      <c r="B763" s="27" t="str">
        <f t="shared" si="1"/>
        <v/>
      </c>
      <c r="C763" s="14" t="str">
        <f>IF($A763&lt;&gt;"",MINIFS(Merchant!$A:$A,Merchant!$B:$B,$G$2),)</f>
        <v/>
      </c>
      <c r="D763" s="14" t="str">
        <f t="shared" si="2"/>
        <v/>
      </c>
      <c r="E763" s="14" t="str">
        <f t="shared" si="3"/>
        <v/>
      </c>
      <c r="F763" s="7" t="str">
        <f>IF($A763&lt;&gt;"",MAXIFS(Token!$C:$C,Token!$A:$A,$D763),)</f>
        <v/>
      </c>
    </row>
    <row r="764">
      <c r="A764" s="39" t="str">
        <f>IF(AND($L764*1&gt;=$G$3,$L764*1&lt;=$G$4,$I764*$J764&gt;0,OR($I764&lt;&gt;$I765,$L764-$L765&gt;25),IF(ABS($I764)&gt;10,$I764/POW(10,$J764),$J764/POW(10,$I764))*MAXIFS(Token!$C:$C,Token!$A:$A,$K764)&gt;0.01),$L764/86400+DATE(1970,1,1)+$G$6,)</f>
        <v/>
      </c>
      <c r="B764" s="27" t="str">
        <f t="shared" si="1"/>
        <v/>
      </c>
      <c r="C764" s="14" t="str">
        <f>IF($A764&lt;&gt;"",MINIFS(Merchant!$A:$A,Merchant!$B:$B,$G$2),)</f>
        <v/>
      </c>
      <c r="D764" s="14" t="str">
        <f t="shared" si="2"/>
        <v/>
      </c>
      <c r="E764" s="14" t="str">
        <f t="shared" si="3"/>
        <v/>
      </c>
      <c r="F764" s="7" t="str">
        <f>IF($A764&lt;&gt;"",MAXIFS(Token!$C:$C,Token!$A:$A,$D764),)</f>
        <v/>
      </c>
    </row>
    <row r="765">
      <c r="A765" s="39" t="str">
        <f>IF(AND($L765*1&gt;=$G$3,$L765*1&lt;=$G$4,$I765*$J765&gt;0,OR($I765&lt;&gt;$I766,$L765-$L766&gt;25),IF(ABS($I765)&gt;10,$I765/POW(10,$J765),$J765/POW(10,$I765))*MAXIFS(Token!$C:$C,Token!$A:$A,$K765)&gt;0.01),$L765/86400+DATE(1970,1,1)+$G$6,)</f>
        <v/>
      </c>
      <c r="B765" s="27" t="str">
        <f t="shared" si="1"/>
        <v/>
      </c>
      <c r="C765" s="14" t="str">
        <f>IF($A765&lt;&gt;"",MINIFS(Merchant!$A:$A,Merchant!$B:$B,$G$2),)</f>
        <v/>
      </c>
      <c r="D765" s="14" t="str">
        <f t="shared" si="2"/>
        <v/>
      </c>
      <c r="E765" s="14" t="str">
        <f t="shared" si="3"/>
        <v/>
      </c>
      <c r="F765" s="7" t="str">
        <f>IF($A765&lt;&gt;"",MAXIFS(Token!$C:$C,Token!$A:$A,$D765),)</f>
        <v/>
      </c>
    </row>
    <row r="766">
      <c r="A766" s="39" t="str">
        <f>IF(AND($L766*1&gt;=$G$3,$L766*1&lt;=$G$4,$I766*$J766&gt;0,OR($I766&lt;&gt;$I767,$L766-$L767&gt;25),IF(ABS($I766)&gt;10,$I766/POW(10,$J766),$J766/POW(10,$I766))*MAXIFS(Token!$C:$C,Token!$A:$A,$K766)&gt;0.01),$L766/86400+DATE(1970,1,1)+$G$6,)</f>
        <v/>
      </c>
      <c r="B766" s="27" t="str">
        <f t="shared" si="1"/>
        <v/>
      </c>
      <c r="C766" s="14" t="str">
        <f>IF($A766&lt;&gt;"",MINIFS(Merchant!$A:$A,Merchant!$B:$B,$G$2),)</f>
        <v/>
      </c>
      <c r="D766" s="14" t="str">
        <f t="shared" si="2"/>
        <v/>
      </c>
      <c r="E766" s="14" t="str">
        <f t="shared" si="3"/>
        <v/>
      </c>
      <c r="F766" s="7" t="str">
        <f>IF($A766&lt;&gt;"",MAXIFS(Token!$C:$C,Token!$A:$A,$D766),)</f>
        <v/>
      </c>
    </row>
    <row r="767">
      <c r="A767" s="39" t="str">
        <f>IF(AND($L767*1&gt;=$G$3,$L767*1&lt;=$G$4,$I767*$J767&gt;0,OR($I767&lt;&gt;$I768,$L767-$L768&gt;25),IF(ABS($I767)&gt;10,$I767/POW(10,$J767),$J767/POW(10,$I767))*MAXIFS(Token!$C:$C,Token!$A:$A,$K767)&gt;0.01),$L767/86400+DATE(1970,1,1)+$G$6,)</f>
        <v/>
      </c>
      <c r="B767" s="27" t="str">
        <f t="shared" si="1"/>
        <v/>
      </c>
      <c r="C767" s="14" t="str">
        <f>IF($A767&lt;&gt;"",MINIFS(Merchant!$A:$A,Merchant!$B:$B,$G$2),)</f>
        <v/>
      </c>
      <c r="D767" s="14" t="str">
        <f t="shared" si="2"/>
        <v/>
      </c>
      <c r="E767" s="14" t="str">
        <f t="shared" si="3"/>
        <v/>
      </c>
      <c r="F767" s="7" t="str">
        <f>IF($A767&lt;&gt;"",MAXIFS(Token!$C:$C,Token!$A:$A,$D767),)</f>
        <v/>
      </c>
    </row>
    <row r="768">
      <c r="A768" s="39" t="str">
        <f>IF(AND($L768*1&gt;=$G$3,$L768*1&lt;=$G$4,$I768*$J768&gt;0,OR($I768&lt;&gt;$I769,$L768-$L769&gt;25),IF(ABS($I768)&gt;10,$I768/POW(10,$J768),$J768/POW(10,$I768))*MAXIFS(Token!$C:$C,Token!$A:$A,$K768)&gt;0.01),$L768/86400+DATE(1970,1,1)+$G$6,)</f>
        <v/>
      </c>
      <c r="B768" s="27" t="str">
        <f t="shared" si="1"/>
        <v/>
      </c>
      <c r="C768" s="14" t="str">
        <f>IF($A768&lt;&gt;"",MINIFS(Merchant!$A:$A,Merchant!$B:$B,$G$2),)</f>
        <v/>
      </c>
      <c r="D768" s="14" t="str">
        <f t="shared" si="2"/>
        <v/>
      </c>
      <c r="E768" s="14" t="str">
        <f t="shared" si="3"/>
        <v/>
      </c>
      <c r="F768" s="7" t="str">
        <f>IF($A768&lt;&gt;"",MAXIFS(Token!$C:$C,Token!$A:$A,$D768),)</f>
        <v/>
      </c>
    </row>
    <row r="769">
      <c r="A769" s="39" t="str">
        <f>IF(AND($L769*1&gt;=$G$3,$L769*1&lt;=$G$4,$I769*$J769&gt;0,OR($I769&lt;&gt;$I770,$L769-$L770&gt;25),IF(ABS($I769)&gt;10,$I769/POW(10,$J769),$J769/POW(10,$I769))*MAXIFS(Token!$C:$C,Token!$A:$A,$K769)&gt;0.01),$L769/86400+DATE(1970,1,1)+$G$6,)</f>
        <v/>
      </c>
      <c r="B769" s="27" t="str">
        <f t="shared" si="1"/>
        <v/>
      </c>
      <c r="C769" s="14" t="str">
        <f>IF($A769&lt;&gt;"",MINIFS(Merchant!$A:$A,Merchant!$B:$B,$G$2),)</f>
        <v/>
      </c>
      <c r="D769" s="14" t="str">
        <f t="shared" si="2"/>
        <v/>
      </c>
      <c r="E769" s="14" t="str">
        <f t="shared" si="3"/>
        <v/>
      </c>
      <c r="F769" s="7" t="str">
        <f>IF($A769&lt;&gt;"",MAXIFS(Token!$C:$C,Token!$A:$A,$D769),)</f>
        <v/>
      </c>
    </row>
    <row r="770">
      <c r="A770" s="39" t="str">
        <f>IF(AND($L770*1&gt;=$G$3,$L770*1&lt;=$G$4,$I770*$J770&gt;0,OR($I770&lt;&gt;$I771,$L770-$L771&gt;25),IF(ABS($I770)&gt;10,$I770/POW(10,$J770),$J770/POW(10,$I770))*MAXIFS(Token!$C:$C,Token!$A:$A,$K770)&gt;0.01),$L770/86400+DATE(1970,1,1)+$G$6,)</f>
        <v/>
      </c>
      <c r="B770" s="27" t="str">
        <f t="shared" si="1"/>
        <v/>
      </c>
      <c r="C770" s="14" t="str">
        <f>IF($A770&lt;&gt;"",MINIFS(Merchant!$A:$A,Merchant!$B:$B,$G$2),)</f>
        <v/>
      </c>
      <c r="D770" s="14" t="str">
        <f t="shared" si="2"/>
        <v/>
      </c>
      <c r="E770" s="14" t="str">
        <f t="shared" si="3"/>
        <v/>
      </c>
      <c r="F770" s="7" t="str">
        <f>IF($A770&lt;&gt;"",MAXIFS(Token!$C:$C,Token!$A:$A,$D770),)</f>
        <v/>
      </c>
    </row>
    <row r="771">
      <c r="A771" s="39" t="str">
        <f>IF(AND($L771*1&gt;=$G$3,$L771*1&lt;=$G$4,$I771*$J771&gt;0,OR($I771&lt;&gt;$I772,$L771-$L772&gt;25),IF(ABS($I771)&gt;10,$I771/POW(10,$J771),$J771/POW(10,$I771))*MAXIFS(Token!$C:$C,Token!$A:$A,$K771)&gt;0.01),$L771/86400+DATE(1970,1,1)+$G$6,)</f>
        <v/>
      </c>
      <c r="B771" s="27" t="str">
        <f t="shared" si="1"/>
        <v/>
      </c>
      <c r="C771" s="14" t="str">
        <f>IF($A771&lt;&gt;"",MINIFS(Merchant!$A:$A,Merchant!$B:$B,$G$2),)</f>
        <v/>
      </c>
      <c r="D771" s="14" t="str">
        <f t="shared" si="2"/>
        <v/>
      </c>
      <c r="E771" s="14" t="str">
        <f t="shared" si="3"/>
        <v/>
      </c>
      <c r="F771" s="7" t="str">
        <f>IF($A771&lt;&gt;"",MAXIFS(Token!$C:$C,Token!$A:$A,$D771),)</f>
        <v/>
      </c>
    </row>
    <row r="772">
      <c r="A772" s="39" t="str">
        <f>IF(AND($L772*1&gt;=$G$3,$L772*1&lt;=$G$4,$I772*$J772&gt;0,OR($I772&lt;&gt;$I773,$L772-$L773&gt;25),IF(ABS($I772)&gt;10,$I772/POW(10,$J772),$J772/POW(10,$I772))*MAXIFS(Token!$C:$C,Token!$A:$A,$K772)&gt;0.01),$L772/86400+DATE(1970,1,1)+$G$6,)</f>
        <v/>
      </c>
      <c r="B772" s="27" t="str">
        <f t="shared" si="1"/>
        <v/>
      </c>
      <c r="C772" s="14" t="str">
        <f>IF($A772&lt;&gt;"",MINIFS(Merchant!$A:$A,Merchant!$B:$B,$G$2),)</f>
        <v/>
      </c>
      <c r="D772" s="14" t="str">
        <f t="shared" si="2"/>
        <v/>
      </c>
      <c r="E772" s="14" t="str">
        <f t="shared" si="3"/>
        <v/>
      </c>
      <c r="F772" s="7" t="str">
        <f>IF($A772&lt;&gt;"",MAXIFS(Token!$C:$C,Token!$A:$A,$D772),)</f>
        <v/>
      </c>
    </row>
    <row r="773">
      <c r="A773" s="39" t="str">
        <f>IF(AND($L773*1&gt;=$G$3,$L773*1&lt;=$G$4,$I773*$J773&gt;0,OR($I773&lt;&gt;$I774,$L773-$L774&gt;25),IF(ABS($I773)&gt;10,$I773/POW(10,$J773),$J773/POW(10,$I773))*MAXIFS(Token!$C:$C,Token!$A:$A,$K773)&gt;0.01),$L773/86400+DATE(1970,1,1)+$G$6,)</f>
        <v/>
      </c>
      <c r="B773" s="27" t="str">
        <f t="shared" si="1"/>
        <v/>
      </c>
      <c r="C773" s="14" t="str">
        <f>IF($A773&lt;&gt;"",MINIFS(Merchant!$A:$A,Merchant!$B:$B,$G$2),)</f>
        <v/>
      </c>
      <c r="D773" s="14" t="str">
        <f t="shared" si="2"/>
        <v/>
      </c>
      <c r="E773" s="14" t="str">
        <f t="shared" si="3"/>
        <v/>
      </c>
      <c r="F773" s="7" t="str">
        <f>IF($A773&lt;&gt;"",MAXIFS(Token!$C:$C,Token!$A:$A,$D773),)</f>
        <v/>
      </c>
    </row>
    <row r="774">
      <c r="A774" s="39" t="str">
        <f>IF(AND($L774*1&gt;=$G$3,$L774*1&lt;=$G$4,$I774*$J774&gt;0,OR($I774&lt;&gt;$I775,$L774-$L775&gt;25),IF(ABS($I774)&gt;10,$I774/POW(10,$J774),$J774/POW(10,$I774))*MAXIFS(Token!$C:$C,Token!$A:$A,$K774)&gt;0.01),$L774/86400+DATE(1970,1,1)+$G$6,)</f>
        <v/>
      </c>
      <c r="B774" s="27" t="str">
        <f t="shared" si="1"/>
        <v/>
      </c>
      <c r="C774" s="14" t="str">
        <f>IF($A774&lt;&gt;"",MINIFS(Merchant!$A:$A,Merchant!$B:$B,$G$2),)</f>
        <v/>
      </c>
      <c r="D774" s="14" t="str">
        <f t="shared" si="2"/>
        <v/>
      </c>
      <c r="E774" s="14" t="str">
        <f t="shared" si="3"/>
        <v/>
      </c>
      <c r="F774" s="7" t="str">
        <f>IF($A774&lt;&gt;"",MAXIFS(Token!$C:$C,Token!$A:$A,$D774),)</f>
        <v/>
      </c>
    </row>
    <row r="775">
      <c r="A775" s="39" t="str">
        <f>IF(AND($L775*1&gt;=$G$3,$L775*1&lt;=$G$4,$I775*$J775&gt;0,OR($I775&lt;&gt;$I776,$L775-$L776&gt;25),IF(ABS($I775)&gt;10,$I775/POW(10,$J775),$J775/POW(10,$I775))*MAXIFS(Token!$C:$C,Token!$A:$A,$K775)&gt;0.01),$L775/86400+DATE(1970,1,1)+$G$6,)</f>
        <v/>
      </c>
      <c r="B775" s="27" t="str">
        <f t="shared" si="1"/>
        <v/>
      </c>
      <c r="C775" s="14" t="str">
        <f>IF($A775&lt;&gt;"",MINIFS(Merchant!$A:$A,Merchant!$B:$B,$G$2),)</f>
        <v/>
      </c>
      <c r="D775" s="14" t="str">
        <f t="shared" si="2"/>
        <v/>
      </c>
      <c r="E775" s="14" t="str">
        <f t="shared" si="3"/>
        <v/>
      </c>
      <c r="F775" s="7" t="str">
        <f>IF($A775&lt;&gt;"",MAXIFS(Token!$C:$C,Token!$A:$A,$D775),)</f>
        <v/>
      </c>
    </row>
    <row r="776">
      <c r="A776" s="39" t="str">
        <f>IF(AND($L776*1&gt;=$G$3,$L776*1&lt;=$G$4,$I776*$J776&gt;0,OR($I776&lt;&gt;$I777,$L776-$L777&gt;25),IF(ABS($I776)&gt;10,$I776/POW(10,$J776),$J776/POW(10,$I776))*MAXIFS(Token!$C:$C,Token!$A:$A,$K776)&gt;0.01),$L776/86400+DATE(1970,1,1)+$G$6,)</f>
        <v/>
      </c>
      <c r="B776" s="27" t="str">
        <f t="shared" si="1"/>
        <v/>
      </c>
      <c r="C776" s="14" t="str">
        <f>IF($A776&lt;&gt;"",MINIFS(Merchant!$A:$A,Merchant!$B:$B,$G$2),)</f>
        <v/>
      </c>
      <c r="D776" s="14" t="str">
        <f t="shared" si="2"/>
        <v/>
      </c>
      <c r="E776" s="14" t="str">
        <f t="shared" si="3"/>
        <v/>
      </c>
      <c r="F776" s="7" t="str">
        <f>IF($A776&lt;&gt;"",MAXIFS(Token!$C:$C,Token!$A:$A,$D776),)</f>
        <v/>
      </c>
    </row>
    <row r="777">
      <c r="A777" s="39" t="str">
        <f>IF(AND($L777*1&gt;=$G$3,$L777*1&lt;=$G$4,$I777*$J777&gt;0,OR($I777&lt;&gt;$I778,$L777-$L778&gt;25),IF(ABS($I777)&gt;10,$I777/POW(10,$J777),$J777/POW(10,$I777))*MAXIFS(Token!$C:$C,Token!$A:$A,$K777)&gt;0.01),$L777/86400+DATE(1970,1,1)+$G$6,)</f>
        <v/>
      </c>
      <c r="B777" s="27" t="str">
        <f t="shared" si="1"/>
        <v/>
      </c>
      <c r="C777" s="14" t="str">
        <f>IF($A777&lt;&gt;"",MINIFS(Merchant!$A:$A,Merchant!$B:$B,$G$2),)</f>
        <v/>
      </c>
      <c r="D777" s="14" t="str">
        <f t="shared" si="2"/>
        <v/>
      </c>
      <c r="E777" s="14" t="str">
        <f t="shared" si="3"/>
        <v/>
      </c>
      <c r="F777" s="7" t="str">
        <f>IF($A777&lt;&gt;"",MAXIFS(Token!$C:$C,Token!$A:$A,$D777),)</f>
        <v/>
      </c>
    </row>
    <row r="778">
      <c r="A778" s="39" t="str">
        <f>IF(AND($L778*1&gt;=$G$3,$L778*1&lt;=$G$4,$I778*$J778&gt;0,OR($I778&lt;&gt;$I779,$L778-$L779&gt;25),IF(ABS($I778)&gt;10,$I778/POW(10,$J778),$J778/POW(10,$I778))*MAXIFS(Token!$C:$C,Token!$A:$A,$K778)&gt;0.01),$L778/86400+DATE(1970,1,1)+$G$6,)</f>
        <v/>
      </c>
      <c r="B778" s="27" t="str">
        <f t="shared" si="1"/>
        <v/>
      </c>
      <c r="C778" s="14" t="str">
        <f>IF($A778&lt;&gt;"",MINIFS(Merchant!$A:$A,Merchant!$B:$B,$G$2),)</f>
        <v/>
      </c>
      <c r="D778" s="14" t="str">
        <f t="shared" si="2"/>
        <v/>
      </c>
      <c r="E778" s="14" t="str">
        <f t="shared" si="3"/>
        <v/>
      </c>
      <c r="F778" s="7" t="str">
        <f>IF($A778&lt;&gt;"",MAXIFS(Token!$C:$C,Token!$A:$A,$D778),)</f>
        <v/>
      </c>
    </row>
    <row r="779">
      <c r="A779" s="39" t="str">
        <f>IF(AND($L779*1&gt;=$G$3,$L779*1&lt;=$G$4,$I779*$J779&gt;0,OR($I779&lt;&gt;$I780,$L779-$L780&gt;25),IF(ABS($I779)&gt;10,$I779/POW(10,$J779),$J779/POW(10,$I779))*MAXIFS(Token!$C:$C,Token!$A:$A,$K779)&gt;0.01),$L779/86400+DATE(1970,1,1)+$G$6,)</f>
        <v/>
      </c>
      <c r="B779" s="27" t="str">
        <f t="shared" si="1"/>
        <v/>
      </c>
      <c r="C779" s="14" t="str">
        <f>IF($A779&lt;&gt;"",MINIFS(Merchant!$A:$A,Merchant!$B:$B,$G$2),)</f>
        <v/>
      </c>
      <c r="D779" s="14" t="str">
        <f t="shared" si="2"/>
        <v/>
      </c>
      <c r="E779" s="14" t="str">
        <f t="shared" si="3"/>
        <v/>
      </c>
      <c r="F779" s="7" t="str">
        <f>IF($A779&lt;&gt;"",MAXIFS(Token!$C:$C,Token!$A:$A,$D779),)</f>
        <v/>
      </c>
    </row>
    <row r="780">
      <c r="A780" s="39" t="str">
        <f>IF(AND($L780*1&gt;=$G$3,$L780*1&lt;=$G$4,$I780*$J780&gt;0,OR($I780&lt;&gt;$I781,$L780-$L781&gt;25),IF(ABS($I780)&gt;10,$I780/POW(10,$J780),$J780/POW(10,$I780))*MAXIFS(Token!$C:$C,Token!$A:$A,$K780)&gt;0.01),$L780/86400+DATE(1970,1,1)+$G$6,)</f>
        <v/>
      </c>
      <c r="B780" s="27" t="str">
        <f t="shared" si="1"/>
        <v/>
      </c>
      <c r="C780" s="14" t="str">
        <f>IF($A780&lt;&gt;"",MINIFS(Merchant!$A:$A,Merchant!$B:$B,$G$2),)</f>
        <v/>
      </c>
      <c r="D780" s="14" t="str">
        <f t="shared" si="2"/>
        <v/>
      </c>
      <c r="E780" s="14" t="str">
        <f t="shared" si="3"/>
        <v/>
      </c>
      <c r="F780" s="7" t="str">
        <f>IF($A780&lt;&gt;"",MAXIFS(Token!$C:$C,Token!$A:$A,$D780),)</f>
        <v/>
      </c>
    </row>
    <row r="781">
      <c r="A781" s="39" t="str">
        <f>IF(AND($L781*1&gt;=$G$3,$L781*1&lt;=$G$4,$I781*$J781&gt;0,OR($I781&lt;&gt;$I782,$L781-$L782&gt;25),IF(ABS($I781)&gt;10,$I781/POW(10,$J781),$J781/POW(10,$I781))*MAXIFS(Token!$C:$C,Token!$A:$A,$K781)&gt;0.01),$L781/86400+DATE(1970,1,1)+$G$6,)</f>
        <v/>
      </c>
      <c r="B781" s="27" t="str">
        <f t="shared" si="1"/>
        <v/>
      </c>
      <c r="C781" s="14" t="str">
        <f>IF($A781&lt;&gt;"",MINIFS(Merchant!$A:$A,Merchant!$B:$B,$G$2),)</f>
        <v/>
      </c>
      <c r="D781" s="14" t="str">
        <f t="shared" si="2"/>
        <v/>
      </c>
      <c r="E781" s="14" t="str">
        <f t="shared" si="3"/>
        <v/>
      </c>
      <c r="F781" s="7" t="str">
        <f>IF($A781&lt;&gt;"",MAXIFS(Token!$C:$C,Token!$A:$A,$D781),)</f>
        <v/>
      </c>
    </row>
    <row r="782">
      <c r="A782" s="39" t="str">
        <f>IF(AND($L782*1&gt;=$G$3,$L782*1&lt;=$G$4,$I782*$J782&gt;0,OR($I782&lt;&gt;$I783,$L782-$L783&gt;25),IF(ABS($I782)&gt;10,$I782/POW(10,$J782),$J782/POW(10,$I782))*MAXIFS(Token!$C:$C,Token!$A:$A,$K782)&gt;0.01),$L782/86400+DATE(1970,1,1)+$G$6,)</f>
        <v/>
      </c>
      <c r="B782" s="27" t="str">
        <f t="shared" si="1"/>
        <v/>
      </c>
      <c r="C782" s="14" t="str">
        <f>IF($A782&lt;&gt;"",MINIFS(Merchant!$A:$A,Merchant!$B:$B,$G$2),)</f>
        <v/>
      </c>
      <c r="D782" s="14" t="str">
        <f t="shared" si="2"/>
        <v/>
      </c>
      <c r="E782" s="14" t="str">
        <f t="shared" si="3"/>
        <v/>
      </c>
      <c r="F782" s="7" t="str">
        <f>IF($A782&lt;&gt;"",MAXIFS(Token!$C:$C,Token!$A:$A,$D782),)</f>
        <v/>
      </c>
    </row>
    <row r="783">
      <c r="A783" s="39" t="str">
        <f>IF(AND($L783*1&gt;=$G$3,$L783*1&lt;=$G$4,$I783*$J783&gt;0,OR($I783&lt;&gt;$I784,$L783-$L784&gt;25),IF(ABS($I783)&gt;10,$I783/POW(10,$J783),$J783/POW(10,$I783))*MAXIFS(Token!$C:$C,Token!$A:$A,$K783)&gt;0.01),$L783/86400+DATE(1970,1,1)+$G$6,)</f>
        <v/>
      </c>
      <c r="B783" s="27" t="str">
        <f t="shared" si="1"/>
        <v/>
      </c>
      <c r="C783" s="14" t="str">
        <f>IF($A783&lt;&gt;"",MINIFS(Merchant!$A:$A,Merchant!$B:$B,$G$2),)</f>
        <v/>
      </c>
      <c r="D783" s="14" t="str">
        <f t="shared" si="2"/>
        <v/>
      </c>
      <c r="E783" s="14" t="str">
        <f t="shared" si="3"/>
        <v/>
      </c>
      <c r="F783" s="7" t="str">
        <f>IF($A783&lt;&gt;"",MAXIFS(Token!$C:$C,Token!$A:$A,$D783),)</f>
        <v/>
      </c>
    </row>
    <row r="784">
      <c r="A784" s="39" t="str">
        <f>IF(AND($L784*1&gt;=$G$3,$L784*1&lt;=$G$4,$I784*$J784&gt;0,OR($I784&lt;&gt;$I785,$L784-$L785&gt;25),IF(ABS($I784)&gt;10,$I784/POW(10,$J784),$J784/POW(10,$I784))*MAXIFS(Token!$C:$C,Token!$A:$A,$K784)&gt;0.01),$L784/86400+DATE(1970,1,1)+$G$6,)</f>
        <v/>
      </c>
      <c r="B784" s="27" t="str">
        <f t="shared" si="1"/>
        <v/>
      </c>
      <c r="C784" s="14" t="str">
        <f>IF($A784&lt;&gt;"",MINIFS(Merchant!$A:$A,Merchant!$B:$B,$G$2),)</f>
        <v/>
      </c>
      <c r="D784" s="14" t="str">
        <f t="shared" si="2"/>
        <v/>
      </c>
      <c r="E784" s="14" t="str">
        <f t="shared" si="3"/>
        <v/>
      </c>
      <c r="F784" s="7" t="str">
        <f>IF($A784&lt;&gt;"",MAXIFS(Token!$C:$C,Token!$A:$A,$D784),)</f>
        <v/>
      </c>
    </row>
    <row r="785">
      <c r="A785" s="39" t="str">
        <f>IF(AND($L785*1&gt;=$G$3,$L785*1&lt;=$G$4,$I785*$J785&gt;0,OR($I785&lt;&gt;$I786,$L785-$L786&gt;25),IF(ABS($I785)&gt;10,$I785/POW(10,$J785),$J785/POW(10,$I785))*MAXIFS(Token!$C:$C,Token!$A:$A,$K785)&gt;0.01),$L785/86400+DATE(1970,1,1)+$G$6,)</f>
        <v/>
      </c>
      <c r="B785" s="27" t="str">
        <f t="shared" si="1"/>
        <v/>
      </c>
      <c r="C785" s="14" t="str">
        <f>IF($A785&lt;&gt;"",MINIFS(Merchant!$A:$A,Merchant!$B:$B,$G$2),)</f>
        <v/>
      </c>
      <c r="D785" s="14" t="str">
        <f t="shared" si="2"/>
        <v/>
      </c>
      <c r="E785" s="14" t="str">
        <f t="shared" si="3"/>
        <v/>
      </c>
      <c r="F785" s="7" t="str">
        <f>IF($A785&lt;&gt;"",MAXIFS(Token!$C:$C,Token!$A:$A,$D785),)</f>
        <v/>
      </c>
    </row>
    <row r="786">
      <c r="A786" s="39" t="str">
        <f>IF(AND($L786*1&gt;=$G$3,$L786*1&lt;=$G$4,$I786*$J786&gt;0,OR($I786&lt;&gt;$I787,$L786-$L787&gt;25),IF(ABS($I786)&gt;10,$I786/POW(10,$J786),$J786/POW(10,$I786))*MAXIFS(Token!$C:$C,Token!$A:$A,$K786)&gt;0.01),$L786/86400+DATE(1970,1,1)+$G$6,)</f>
        <v/>
      </c>
      <c r="B786" s="27" t="str">
        <f t="shared" si="1"/>
        <v/>
      </c>
      <c r="C786" s="14" t="str">
        <f>IF($A786&lt;&gt;"",MINIFS(Merchant!$A:$A,Merchant!$B:$B,$G$2),)</f>
        <v/>
      </c>
      <c r="D786" s="14" t="str">
        <f t="shared" si="2"/>
        <v/>
      </c>
      <c r="E786" s="14" t="str">
        <f t="shared" si="3"/>
        <v/>
      </c>
      <c r="F786" s="7" t="str">
        <f>IF($A786&lt;&gt;"",MAXIFS(Token!$C:$C,Token!$A:$A,$D786),)</f>
        <v/>
      </c>
    </row>
    <row r="787">
      <c r="A787" s="39" t="str">
        <f>IF(AND($L787*1&gt;=$G$3,$L787*1&lt;=$G$4,$I787*$J787&gt;0,OR($I787&lt;&gt;$I788,$L787-$L788&gt;25),IF(ABS($I787)&gt;10,$I787/POW(10,$J787),$J787/POW(10,$I787))*MAXIFS(Token!$C:$C,Token!$A:$A,$K787)&gt;0.01),$L787/86400+DATE(1970,1,1)+$G$6,)</f>
        <v/>
      </c>
      <c r="B787" s="27" t="str">
        <f t="shared" si="1"/>
        <v/>
      </c>
      <c r="C787" s="14" t="str">
        <f>IF($A787&lt;&gt;"",MINIFS(Merchant!$A:$A,Merchant!$B:$B,$G$2),)</f>
        <v/>
      </c>
      <c r="D787" s="14" t="str">
        <f t="shared" si="2"/>
        <v/>
      </c>
      <c r="E787" s="14" t="str">
        <f t="shared" si="3"/>
        <v/>
      </c>
      <c r="F787" s="7" t="str">
        <f>IF($A787&lt;&gt;"",MAXIFS(Token!$C:$C,Token!$A:$A,$D787),)</f>
        <v/>
      </c>
    </row>
    <row r="788">
      <c r="A788" s="39" t="str">
        <f>IF(AND($L788*1&gt;=$G$3,$L788*1&lt;=$G$4,$I788*$J788&gt;0,OR($I788&lt;&gt;$I789,$L788-$L789&gt;25),IF(ABS($I788)&gt;10,$I788/POW(10,$J788),$J788/POW(10,$I788))*MAXIFS(Token!$C:$C,Token!$A:$A,$K788)&gt;0.01),$L788/86400+DATE(1970,1,1)+$G$6,)</f>
        <v/>
      </c>
      <c r="B788" s="27" t="str">
        <f t="shared" si="1"/>
        <v/>
      </c>
      <c r="C788" s="14" t="str">
        <f>IF($A788&lt;&gt;"",MINIFS(Merchant!$A:$A,Merchant!$B:$B,$G$2),)</f>
        <v/>
      </c>
      <c r="D788" s="14" t="str">
        <f t="shared" si="2"/>
        <v/>
      </c>
      <c r="E788" s="14" t="str">
        <f t="shared" si="3"/>
        <v/>
      </c>
      <c r="F788" s="7" t="str">
        <f>IF($A788&lt;&gt;"",MAXIFS(Token!$C:$C,Token!$A:$A,$D788),)</f>
        <v/>
      </c>
    </row>
    <row r="789">
      <c r="A789" s="39" t="str">
        <f>IF(AND($L789*1&gt;=$G$3,$L789*1&lt;=$G$4,$I789*$J789&gt;0,OR($I789&lt;&gt;$I790,$L789-$L790&gt;25),IF(ABS($I789)&gt;10,$I789/POW(10,$J789),$J789/POW(10,$I789))*MAXIFS(Token!$C:$C,Token!$A:$A,$K789)&gt;0.01),$L789/86400+DATE(1970,1,1)+$G$6,)</f>
        <v/>
      </c>
      <c r="B789" s="27" t="str">
        <f t="shared" si="1"/>
        <v/>
      </c>
      <c r="C789" s="14" t="str">
        <f>IF($A789&lt;&gt;"",MINIFS(Merchant!$A:$A,Merchant!$B:$B,$G$2),)</f>
        <v/>
      </c>
      <c r="D789" s="14" t="str">
        <f t="shared" si="2"/>
        <v/>
      </c>
      <c r="E789" s="14" t="str">
        <f t="shared" si="3"/>
        <v/>
      </c>
      <c r="F789" s="7" t="str">
        <f>IF($A789&lt;&gt;"",MAXIFS(Token!$C:$C,Token!$A:$A,$D789),)</f>
        <v/>
      </c>
    </row>
    <row r="790">
      <c r="A790" s="39" t="str">
        <f>IF(AND($L790*1&gt;=$G$3,$L790*1&lt;=$G$4,$I790*$J790&gt;0,OR($I790&lt;&gt;$I791,$L790-$L791&gt;25),IF(ABS($I790)&gt;10,$I790/POW(10,$J790),$J790/POW(10,$I790))*MAXIFS(Token!$C:$C,Token!$A:$A,$K790)&gt;0.01),$L790/86400+DATE(1970,1,1)+$G$6,)</f>
        <v/>
      </c>
      <c r="B790" s="27" t="str">
        <f t="shared" si="1"/>
        <v/>
      </c>
      <c r="C790" s="14" t="str">
        <f>IF($A790&lt;&gt;"",MINIFS(Merchant!$A:$A,Merchant!$B:$B,$G$2),)</f>
        <v/>
      </c>
      <c r="D790" s="14" t="str">
        <f t="shared" si="2"/>
        <v/>
      </c>
      <c r="E790" s="14" t="str">
        <f t="shared" si="3"/>
        <v/>
      </c>
      <c r="F790" s="7" t="str">
        <f>IF($A790&lt;&gt;"",MAXIFS(Token!$C:$C,Token!$A:$A,$D790),)</f>
        <v/>
      </c>
    </row>
    <row r="791">
      <c r="A791" s="39" t="str">
        <f>IF(AND($L791*1&gt;=$G$3,$L791*1&lt;=$G$4,$I791*$J791&gt;0,OR($I791&lt;&gt;$I792,$L791-$L792&gt;25),IF(ABS($I791)&gt;10,$I791/POW(10,$J791),$J791/POW(10,$I791))*MAXIFS(Token!$C:$C,Token!$A:$A,$K791)&gt;0.01),$L791/86400+DATE(1970,1,1)+$G$6,)</f>
        <v/>
      </c>
      <c r="B791" s="27" t="str">
        <f t="shared" si="1"/>
        <v/>
      </c>
      <c r="C791" s="14" t="str">
        <f>IF($A791&lt;&gt;"",MINIFS(Merchant!$A:$A,Merchant!$B:$B,$G$2),)</f>
        <v/>
      </c>
      <c r="D791" s="14" t="str">
        <f t="shared" si="2"/>
        <v/>
      </c>
      <c r="E791" s="14" t="str">
        <f t="shared" si="3"/>
        <v/>
      </c>
      <c r="F791" s="7" t="str">
        <f>IF($A791&lt;&gt;"",MAXIFS(Token!$C:$C,Token!$A:$A,$D791),)</f>
        <v/>
      </c>
    </row>
    <row r="792">
      <c r="A792" s="39" t="str">
        <f>IF(AND($L792*1&gt;=$G$3,$L792*1&lt;=$G$4,$I792*$J792&gt;0,OR($I792&lt;&gt;$I793,$L792-$L793&gt;25),IF(ABS($I792)&gt;10,$I792/POW(10,$J792),$J792/POW(10,$I792))*MAXIFS(Token!$C:$C,Token!$A:$A,$K792)&gt;0.01),$L792/86400+DATE(1970,1,1)+$G$6,)</f>
        <v/>
      </c>
      <c r="B792" s="27" t="str">
        <f t="shared" si="1"/>
        <v/>
      </c>
      <c r="C792" s="14" t="str">
        <f>IF($A792&lt;&gt;"",MINIFS(Merchant!$A:$A,Merchant!$B:$B,$G$2),)</f>
        <v/>
      </c>
      <c r="D792" s="14" t="str">
        <f t="shared" si="2"/>
        <v/>
      </c>
      <c r="E792" s="14" t="str">
        <f t="shared" si="3"/>
        <v/>
      </c>
      <c r="F792" s="7" t="str">
        <f>IF($A792&lt;&gt;"",MAXIFS(Token!$C:$C,Token!$A:$A,$D792),)</f>
        <v/>
      </c>
    </row>
    <row r="793">
      <c r="A793" s="39" t="str">
        <f>IF(AND($L793*1&gt;=$G$3,$L793*1&lt;=$G$4,$I793*$J793&gt;0,OR($I793&lt;&gt;$I794,$L793-$L794&gt;25),IF(ABS($I793)&gt;10,$I793/POW(10,$J793),$J793/POW(10,$I793))*MAXIFS(Token!$C:$C,Token!$A:$A,$K793)&gt;0.01),$L793/86400+DATE(1970,1,1)+$G$6,)</f>
        <v/>
      </c>
      <c r="B793" s="27" t="str">
        <f t="shared" si="1"/>
        <v/>
      </c>
      <c r="C793" s="14" t="str">
        <f>IF($A793&lt;&gt;"",MINIFS(Merchant!$A:$A,Merchant!$B:$B,$G$2),)</f>
        <v/>
      </c>
      <c r="D793" s="14" t="str">
        <f t="shared" si="2"/>
        <v/>
      </c>
      <c r="E793" s="14" t="str">
        <f t="shared" si="3"/>
        <v/>
      </c>
      <c r="F793" s="7" t="str">
        <f>IF($A793&lt;&gt;"",MAXIFS(Token!$C:$C,Token!$A:$A,$D793),)</f>
        <v/>
      </c>
    </row>
    <row r="794">
      <c r="A794" s="39" t="str">
        <f>IF(AND($L794*1&gt;=$G$3,$L794*1&lt;=$G$4,$I794*$J794&gt;0,OR($I794&lt;&gt;$I795,$L794-$L795&gt;25),IF(ABS($I794)&gt;10,$I794/POW(10,$J794),$J794/POW(10,$I794))*MAXIFS(Token!$C:$C,Token!$A:$A,$K794)&gt;0.01),$L794/86400+DATE(1970,1,1)+$G$6,)</f>
        <v/>
      </c>
      <c r="B794" s="27" t="str">
        <f t="shared" si="1"/>
        <v/>
      </c>
      <c r="C794" s="14" t="str">
        <f>IF($A794&lt;&gt;"",MINIFS(Merchant!$A:$A,Merchant!$B:$B,$G$2),)</f>
        <v/>
      </c>
      <c r="D794" s="14" t="str">
        <f t="shared" si="2"/>
        <v/>
      </c>
      <c r="E794" s="14" t="str">
        <f t="shared" si="3"/>
        <v/>
      </c>
      <c r="F794" s="7" t="str">
        <f>IF($A794&lt;&gt;"",MAXIFS(Token!$C:$C,Token!$A:$A,$D794),)</f>
        <v/>
      </c>
    </row>
    <row r="795">
      <c r="A795" s="39" t="str">
        <f>IF(AND($L795*1&gt;=$G$3,$L795*1&lt;=$G$4,$I795*$J795&gt;0,OR($I795&lt;&gt;$I796,$L795-$L796&gt;25),IF(ABS($I795)&gt;10,$I795/POW(10,$J795),$J795/POW(10,$I795))*MAXIFS(Token!$C:$C,Token!$A:$A,$K795)&gt;0.01),$L795/86400+DATE(1970,1,1)+$G$6,)</f>
        <v/>
      </c>
      <c r="B795" s="27" t="str">
        <f t="shared" si="1"/>
        <v/>
      </c>
      <c r="C795" s="14" t="str">
        <f>IF($A795&lt;&gt;"",MINIFS(Merchant!$A:$A,Merchant!$B:$B,$G$2),)</f>
        <v/>
      </c>
      <c r="D795" s="14" t="str">
        <f t="shared" si="2"/>
        <v/>
      </c>
      <c r="E795" s="14" t="str">
        <f t="shared" si="3"/>
        <v/>
      </c>
      <c r="F795" s="7" t="str">
        <f>IF($A795&lt;&gt;"",MAXIFS(Token!$C:$C,Token!$A:$A,$D795),)</f>
        <v/>
      </c>
    </row>
    <row r="796">
      <c r="A796" s="39" t="str">
        <f>IF(AND($L796*1&gt;=$G$3,$L796*1&lt;=$G$4,$I796*$J796&gt;0,OR($I796&lt;&gt;$I797,$L796-$L797&gt;25),IF(ABS($I796)&gt;10,$I796/POW(10,$J796),$J796/POW(10,$I796))*MAXIFS(Token!$C:$C,Token!$A:$A,$K796)&gt;0.01),$L796/86400+DATE(1970,1,1)+$G$6,)</f>
        <v/>
      </c>
      <c r="B796" s="27" t="str">
        <f t="shared" si="1"/>
        <v/>
      </c>
      <c r="C796" s="14" t="str">
        <f>IF($A796&lt;&gt;"",MINIFS(Merchant!$A:$A,Merchant!$B:$B,$G$2),)</f>
        <v/>
      </c>
      <c r="D796" s="14" t="str">
        <f t="shared" si="2"/>
        <v/>
      </c>
      <c r="E796" s="14" t="str">
        <f t="shared" si="3"/>
        <v/>
      </c>
      <c r="F796" s="7" t="str">
        <f>IF($A796&lt;&gt;"",MAXIFS(Token!$C:$C,Token!$A:$A,$D796),)</f>
        <v/>
      </c>
    </row>
    <row r="797">
      <c r="A797" s="39" t="str">
        <f>IF(AND($L797*1&gt;=$G$3,$L797*1&lt;=$G$4,$I797*$J797&gt;0,OR($I797&lt;&gt;$I798,$L797-$L798&gt;25),IF(ABS($I797)&gt;10,$I797/POW(10,$J797),$J797/POW(10,$I797))*MAXIFS(Token!$C:$C,Token!$A:$A,$K797)&gt;0.01),$L797/86400+DATE(1970,1,1)+$G$6,)</f>
        <v/>
      </c>
      <c r="B797" s="27" t="str">
        <f t="shared" si="1"/>
        <v/>
      </c>
      <c r="C797" s="14" t="str">
        <f>IF($A797&lt;&gt;"",MINIFS(Merchant!$A:$A,Merchant!$B:$B,$G$2),)</f>
        <v/>
      </c>
      <c r="D797" s="14" t="str">
        <f t="shared" si="2"/>
        <v/>
      </c>
      <c r="E797" s="14" t="str">
        <f t="shared" si="3"/>
        <v/>
      </c>
      <c r="F797" s="7" t="str">
        <f>IF($A797&lt;&gt;"",MAXIFS(Token!$C:$C,Token!$A:$A,$D797),)</f>
        <v/>
      </c>
    </row>
    <row r="798">
      <c r="A798" s="39" t="str">
        <f>IF(AND($L798*1&gt;=$G$3,$L798*1&lt;=$G$4,$I798*$J798&gt;0,OR($I798&lt;&gt;$I799,$L798-$L799&gt;25),IF(ABS($I798)&gt;10,$I798/POW(10,$J798),$J798/POW(10,$I798))*MAXIFS(Token!$C:$C,Token!$A:$A,$K798)&gt;0.01),$L798/86400+DATE(1970,1,1)+$G$6,)</f>
        <v/>
      </c>
      <c r="B798" s="27" t="str">
        <f t="shared" si="1"/>
        <v/>
      </c>
      <c r="C798" s="14" t="str">
        <f>IF($A798&lt;&gt;"",MINIFS(Merchant!$A:$A,Merchant!$B:$B,$G$2),)</f>
        <v/>
      </c>
      <c r="D798" s="14" t="str">
        <f t="shared" si="2"/>
        <v/>
      </c>
      <c r="E798" s="14" t="str">
        <f t="shared" si="3"/>
        <v/>
      </c>
      <c r="F798" s="7" t="str">
        <f>IF($A798&lt;&gt;"",MAXIFS(Token!$C:$C,Token!$A:$A,$D798),)</f>
        <v/>
      </c>
    </row>
    <row r="799">
      <c r="A799" s="39" t="str">
        <f>IF(AND($L799*1&gt;=$G$3,$L799*1&lt;=$G$4,$I799*$J799&gt;0,OR($I799&lt;&gt;$I800,$L799-$L800&gt;25),IF(ABS($I799)&gt;10,$I799/POW(10,$J799),$J799/POW(10,$I799))*MAXIFS(Token!$C:$C,Token!$A:$A,$K799)&gt;0.01),$L799/86400+DATE(1970,1,1)+$G$6,)</f>
        <v/>
      </c>
      <c r="B799" s="27" t="str">
        <f t="shared" si="1"/>
        <v/>
      </c>
      <c r="C799" s="14" t="str">
        <f>IF($A799&lt;&gt;"",MINIFS(Merchant!$A:$A,Merchant!$B:$B,$G$2),)</f>
        <v/>
      </c>
      <c r="D799" s="14" t="str">
        <f t="shared" si="2"/>
        <v/>
      </c>
      <c r="E799" s="14" t="str">
        <f t="shared" si="3"/>
        <v/>
      </c>
      <c r="F799" s="7" t="str">
        <f>IF($A799&lt;&gt;"",MAXIFS(Token!$C:$C,Token!$A:$A,$D799),)</f>
        <v/>
      </c>
    </row>
    <row r="800">
      <c r="A800" s="39" t="str">
        <f>IF(AND($L800*1&gt;=$G$3,$L800*1&lt;=$G$4,$I800*$J800&gt;0,OR($I800&lt;&gt;$I801,$L800-$L801&gt;25),IF(ABS($I800)&gt;10,$I800/POW(10,$J800),$J800/POW(10,$I800))*MAXIFS(Token!$C:$C,Token!$A:$A,$K800)&gt;0.01),$L800/86400+DATE(1970,1,1)+$G$6,)</f>
        <v/>
      </c>
      <c r="B800" s="27" t="str">
        <f t="shared" si="1"/>
        <v/>
      </c>
      <c r="C800" s="14" t="str">
        <f>IF($A800&lt;&gt;"",MINIFS(Merchant!$A:$A,Merchant!$B:$B,$G$2),)</f>
        <v/>
      </c>
      <c r="D800" s="14" t="str">
        <f t="shared" si="2"/>
        <v/>
      </c>
      <c r="E800" s="14" t="str">
        <f t="shared" si="3"/>
        <v/>
      </c>
      <c r="F800" s="7" t="str">
        <f>IF($A800&lt;&gt;"",MAXIFS(Token!$C:$C,Token!$A:$A,$D800),)</f>
        <v/>
      </c>
    </row>
    <row r="801">
      <c r="A801" s="39" t="str">
        <f>IF(AND($L801*1&gt;=$G$3,$L801*1&lt;=$G$4,$I801*$J801&gt;0,OR($I801&lt;&gt;$I802,$L801-$L802&gt;25),IF(ABS($I801)&gt;10,$I801/POW(10,$J801),$J801/POW(10,$I801))*MAXIFS(Token!$C:$C,Token!$A:$A,$K801)&gt;0.01),$L801/86400+DATE(1970,1,1)+$G$6,)</f>
        <v/>
      </c>
      <c r="B801" s="27" t="str">
        <f t="shared" si="1"/>
        <v/>
      </c>
      <c r="C801" s="14" t="str">
        <f>IF($A801&lt;&gt;"",MINIFS(Merchant!$A:$A,Merchant!$B:$B,$G$2),)</f>
        <v/>
      </c>
      <c r="D801" s="14" t="str">
        <f t="shared" si="2"/>
        <v/>
      </c>
      <c r="E801" s="14" t="str">
        <f t="shared" si="3"/>
        <v/>
      </c>
      <c r="F801" s="7" t="str">
        <f>IF($A801&lt;&gt;"",MAXIFS(Token!$C:$C,Token!$A:$A,$D801),)</f>
        <v/>
      </c>
    </row>
    <row r="802">
      <c r="A802" s="39" t="str">
        <f>IF(AND($L802*1&gt;=$G$3,$L802*1&lt;=$G$4,$I802*$J802&gt;0,OR($I802&lt;&gt;$I803,$L802-$L803&gt;25),IF(ABS($I802)&gt;10,$I802/POW(10,$J802),$J802/POW(10,$I802))*MAXIFS(Token!$C:$C,Token!$A:$A,$K802)&gt;0.01),$L802/86400+DATE(1970,1,1)+$G$6,)</f>
        <v/>
      </c>
      <c r="B802" s="27" t="str">
        <f t="shared" si="1"/>
        <v/>
      </c>
      <c r="C802" s="14" t="str">
        <f>IF($A802&lt;&gt;"",MINIFS(Merchant!$A:$A,Merchant!$B:$B,$G$2),)</f>
        <v/>
      </c>
      <c r="D802" s="14" t="str">
        <f t="shared" si="2"/>
        <v/>
      </c>
      <c r="E802" s="14" t="str">
        <f t="shared" si="3"/>
        <v/>
      </c>
      <c r="F802" s="7" t="str">
        <f>IF($A802&lt;&gt;"",MAXIFS(Token!$C:$C,Token!$A:$A,$D802),)</f>
        <v/>
      </c>
    </row>
    <row r="803">
      <c r="A803" s="39" t="str">
        <f>IF(AND($L803*1&gt;=$G$3,$L803*1&lt;=$G$4,$I803*$J803&gt;0,OR($I803&lt;&gt;$I804,$L803-$L804&gt;25),IF(ABS($I803)&gt;10,$I803/POW(10,$J803),$J803/POW(10,$I803))*MAXIFS(Token!$C:$C,Token!$A:$A,$K803)&gt;0.01),$L803/86400+DATE(1970,1,1)+$G$6,)</f>
        <v/>
      </c>
      <c r="B803" s="27" t="str">
        <f t="shared" si="1"/>
        <v/>
      </c>
      <c r="C803" s="14" t="str">
        <f>IF($A803&lt;&gt;"",MINIFS(Merchant!$A:$A,Merchant!$B:$B,$G$2),)</f>
        <v/>
      </c>
      <c r="D803" s="14" t="str">
        <f t="shared" si="2"/>
        <v/>
      </c>
      <c r="E803" s="14" t="str">
        <f t="shared" si="3"/>
        <v/>
      </c>
      <c r="F803" s="7" t="str">
        <f>IF($A803&lt;&gt;"",MAXIFS(Token!$C:$C,Token!$A:$A,$D803),)</f>
        <v/>
      </c>
    </row>
    <row r="804">
      <c r="A804" s="39" t="str">
        <f>IF(AND($L804*1&gt;=$G$3,$L804*1&lt;=$G$4,$I804*$J804&gt;0,OR($I804&lt;&gt;$I805,$L804-$L805&gt;25),IF(ABS($I804)&gt;10,$I804/POW(10,$J804),$J804/POW(10,$I804))*MAXIFS(Token!$C:$C,Token!$A:$A,$K804)&gt;0.01),$L804/86400+DATE(1970,1,1)+$G$6,)</f>
        <v/>
      </c>
      <c r="B804" s="27" t="str">
        <f t="shared" si="1"/>
        <v/>
      </c>
      <c r="C804" s="14" t="str">
        <f>IF($A804&lt;&gt;"",MINIFS(Merchant!$A:$A,Merchant!$B:$B,$G$2),)</f>
        <v/>
      </c>
      <c r="D804" s="14" t="str">
        <f t="shared" si="2"/>
        <v/>
      </c>
      <c r="E804" s="14" t="str">
        <f t="shared" si="3"/>
        <v/>
      </c>
      <c r="F804" s="7" t="str">
        <f>IF($A804&lt;&gt;"",MAXIFS(Token!$C:$C,Token!$A:$A,$D804),)</f>
        <v/>
      </c>
    </row>
    <row r="805">
      <c r="A805" s="39" t="str">
        <f>IF(AND($L805*1&gt;=$G$3,$L805*1&lt;=$G$4,$I805*$J805&gt;0,OR($I805&lt;&gt;$I806,$L805-$L806&gt;25),IF(ABS($I805)&gt;10,$I805/POW(10,$J805),$J805/POW(10,$I805))*MAXIFS(Token!$C:$C,Token!$A:$A,$K805)&gt;0.01),$L805/86400+DATE(1970,1,1)+$G$6,)</f>
        <v/>
      </c>
      <c r="B805" s="27" t="str">
        <f t="shared" si="1"/>
        <v/>
      </c>
      <c r="C805" s="14" t="str">
        <f>IF($A805&lt;&gt;"",MINIFS(Merchant!$A:$A,Merchant!$B:$B,$G$2),)</f>
        <v/>
      </c>
      <c r="D805" s="14" t="str">
        <f t="shared" si="2"/>
        <v/>
      </c>
      <c r="E805" s="14" t="str">
        <f t="shared" si="3"/>
        <v/>
      </c>
      <c r="F805" s="7" t="str">
        <f>IF($A805&lt;&gt;"",MAXIFS(Token!$C:$C,Token!$A:$A,$D805),)</f>
        <v/>
      </c>
    </row>
    <row r="806">
      <c r="A806" s="39" t="str">
        <f>IF(AND($L806*1&gt;=$G$3,$L806*1&lt;=$G$4,$I806*$J806&gt;0,OR($I806&lt;&gt;$I807,$L806-$L807&gt;25),IF(ABS($I806)&gt;10,$I806/POW(10,$J806),$J806/POW(10,$I806))*MAXIFS(Token!$C:$C,Token!$A:$A,$K806)&gt;0.01),$L806/86400+DATE(1970,1,1)+$G$6,)</f>
        <v/>
      </c>
      <c r="B806" s="27" t="str">
        <f t="shared" si="1"/>
        <v/>
      </c>
      <c r="C806" s="14" t="str">
        <f>IF($A806&lt;&gt;"",MINIFS(Merchant!$A:$A,Merchant!$B:$B,$G$2),)</f>
        <v/>
      </c>
      <c r="D806" s="14" t="str">
        <f t="shared" si="2"/>
        <v/>
      </c>
      <c r="E806" s="14" t="str">
        <f t="shared" si="3"/>
        <v/>
      </c>
      <c r="F806" s="7" t="str">
        <f>IF($A806&lt;&gt;"",MAXIFS(Token!$C:$C,Token!$A:$A,$D806),)</f>
        <v/>
      </c>
    </row>
    <row r="807">
      <c r="A807" s="39" t="str">
        <f>IF(AND($L807*1&gt;=$G$3,$L807*1&lt;=$G$4,$I807*$J807&gt;0,OR($I807&lt;&gt;$I808,$L807-$L808&gt;25),IF(ABS($I807)&gt;10,$I807/POW(10,$J807),$J807/POW(10,$I807))*MAXIFS(Token!$C:$C,Token!$A:$A,$K807)&gt;0.01),$L807/86400+DATE(1970,1,1)+$G$6,)</f>
        <v/>
      </c>
      <c r="B807" s="27" t="str">
        <f t="shared" si="1"/>
        <v/>
      </c>
      <c r="C807" s="14" t="str">
        <f>IF($A807&lt;&gt;"",MINIFS(Merchant!$A:$A,Merchant!$B:$B,$G$2),)</f>
        <v/>
      </c>
      <c r="D807" s="14" t="str">
        <f t="shared" si="2"/>
        <v/>
      </c>
      <c r="E807" s="14" t="str">
        <f t="shared" si="3"/>
        <v/>
      </c>
      <c r="F807" s="7" t="str">
        <f>IF($A807&lt;&gt;"",MAXIFS(Token!$C:$C,Token!$A:$A,$D807),)</f>
        <v/>
      </c>
    </row>
    <row r="808">
      <c r="A808" s="39" t="str">
        <f>IF(AND($L808*1&gt;=$G$3,$L808*1&lt;=$G$4,$I808*$J808&gt;0,OR($I808&lt;&gt;$I809,$L808-$L809&gt;25),IF(ABS($I808)&gt;10,$I808/POW(10,$J808),$J808/POW(10,$I808))*MAXIFS(Token!$C:$C,Token!$A:$A,$K808)&gt;0.01),$L808/86400+DATE(1970,1,1)+$G$6,)</f>
        <v/>
      </c>
      <c r="B808" s="27" t="str">
        <f t="shared" si="1"/>
        <v/>
      </c>
      <c r="C808" s="14" t="str">
        <f>IF($A808&lt;&gt;"",MINIFS(Merchant!$A:$A,Merchant!$B:$B,$G$2),)</f>
        <v/>
      </c>
      <c r="D808" s="14" t="str">
        <f t="shared" si="2"/>
        <v/>
      </c>
      <c r="E808" s="14" t="str">
        <f t="shared" si="3"/>
        <v/>
      </c>
      <c r="F808" s="7" t="str">
        <f>IF($A808&lt;&gt;"",MAXIFS(Token!$C:$C,Token!$A:$A,$D808),)</f>
        <v/>
      </c>
    </row>
    <row r="809">
      <c r="A809" s="39" t="str">
        <f>IF(AND($L809*1&gt;=$G$3,$L809*1&lt;=$G$4,$I809*$J809&gt;0,OR($I809&lt;&gt;$I810,$L809-$L810&gt;25),IF(ABS($I809)&gt;10,$I809/POW(10,$J809),$J809/POW(10,$I809))*MAXIFS(Token!$C:$C,Token!$A:$A,$K809)&gt;0.01),$L809/86400+DATE(1970,1,1)+$G$6,)</f>
        <v/>
      </c>
      <c r="B809" s="27" t="str">
        <f t="shared" si="1"/>
        <v/>
      </c>
      <c r="C809" s="14" t="str">
        <f>IF($A809&lt;&gt;"",MINIFS(Merchant!$A:$A,Merchant!$B:$B,$G$2),)</f>
        <v/>
      </c>
      <c r="D809" s="14" t="str">
        <f t="shared" si="2"/>
        <v/>
      </c>
      <c r="E809" s="14" t="str">
        <f t="shared" si="3"/>
        <v/>
      </c>
      <c r="F809" s="7" t="str">
        <f>IF($A809&lt;&gt;"",MAXIFS(Token!$C:$C,Token!$A:$A,$D809),)</f>
        <v/>
      </c>
    </row>
    <row r="810">
      <c r="A810" s="39" t="str">
        <f>IF(AND($L810*1&gt;=$G$3,$L810*1&lt;=$G$4,$I810*$J810&gt;0,OR($I810&lt;&gt;$I811,$L810-$L811&gt;25),IF(ABS($I810)&gt;10,$I810/POW(10,$J810),$J810/POW(10,$I810))*MAXIFS(Token!$C:$C,Token!$A:$A,$K810)&gt;0.01),$L810/86400+DATE(1970,1,1)+$G$6,)</f>
        <v/>
      </c>
      <c r="B810" s="27" t="str">
        <f t="shared" si="1"/>
        <v/>
      </c>
      <c r="C810" s="14" t="str">
        <f>IF($A810&lt;&gt;"",MINIFS(Merchant!$A:$A,Merchant!$B:$B,$G$2),)</f>
        <v/>
      </c>
      <c r="D810" s="14" t="str">
        <f t="shared" si="2"/>
        <v/>
      </c>
      <c r="E810" s="14" t="str">
        <f t="shared" si="3"/>
        <v/>
      </c>
      <c r="F810" s="7" t="str">
        <f>IF($A810&lt;&gt;"",MAXIFS(Token!$C:$C,Token!$A:$A,$D810),)</f>
        <v/>
      </c>
    </row>
    <row r="811">
      <c r="A811" s="39" t="str">
        <f>IF(AND($L811*1&gt;=$G$3,$L811*1&lt;=$G$4,$I811*$J811&gt;0,OR($I811&lt;&gt;$I812,$L811-$L812&gt;25),IF(ABS($I811)&gt;10,$I811/POW(10,$J811),$J811/POW(10,$I811))*MAXIFS(Token!$C:$C,Token!$A:$A,$K811)&gt;0.01),$L811/86400+DATE(1970,1,1)+$G$6,)</f>
        <v/>
      </c>
      <c r="B811" s="27" t="str">
        <f t="shared" si="1"/>
        <v/>
      </c>
      <c r="C811" s="14" t="str">
        <f>IF($A811&lt;&gt;"",MINIFS(Merchant!$A:$A,Merchant!$B:$B,$G$2),)</f>
        <v/>
      </c>
      <c r="D811" s="14" t="str">
        <f t="shared" si="2"/>
        <v/>
      </c>
      <c r="E811" s="14" t="str">
        <f t="shared" si="3"/>
        <v/>
      </c>
      <c r="F811" s="7" t="str">
        <f>IF($A811&lt;&gt;"",MAXIFS(Token!$C:$C,Token!$A:$A,$D811),)</f>
        <v/>
      </c>
    </row>
    <row r="812">
      <c r="A812" s="39" t="str">
        <f>IF(AND($L812*1&gt;=$G$3,$L812*1&lt;=$G$4,$I812*$J812&gt;0,OR($I812&lt;&gt;$I813,$L812-$L813&gt;25),IF(ABS($I812)&gt;10,$I812/POW(10,$J812),$J812/POW(10,$I812))*MAXIFS(Token!$C:$C,Token!$A:$A,$K812)&gt;0.01),$L812/86400+DATE(1970,1,1)+$G$6,)</f>
        <v/>
      </c>
      <c r="B812" s="27" t="str">
        <f t="shared" si="1"/>
        <v/>
      </c>
      <c r="C812" s="14" t="str">
        <f>IF($A812&lt;&gt;"",MINIFS(Merchant!$A:$A,Merchant!$B:$B,$G$2),)</f>
        <v/>
      </c>
      <c r="D812" s="14" t="str">
        <f t="shared" si="2"/>
        <v/>
      </c>
      <c r="E812" s="14" t="str">
        <f t="shared" si="3"/>
        <v/>
      </c>
      <c r="F812" s="7" t="str">
        <f>IF($A812&lt;&gt;"",MAXIFS(Token!$C:$C,Token!$A:$A,$D812),)</f>
        <v/>
      </c>
    </row>
    <row r="813">
      <c r="A813" s="39" t="str">
        <f>IF(AND($L813*1&gt;=$G$3,$L813*1&lt;=$G$4,$I813*$J813&gt;0,OR($I813&lt;&gt;$I814,$L813-$L814&gt;25),IF(ABS($I813)&gt;10,$I813/POW(10,$J813),$J813/POW(10,$I813))*MAXIFS(Token!$C:$C,Token!$A:$A,$K813)&gt;0.01),$L813/86400+DATE(1970,1,1)+$G$6,)</f>
        <v/>
      </c>
      <c r="B813" s="27" t="str">
        <f t="shared" si="1"/>
        <v/>
      </c>
      <c r="C813" s="14" t="str">
        <f>IF($A813&lt;&gt;"",MINIFS(Merchant!$A:$A,Merchant!$B:$B,$G$2),)</f>
        <v/>
      </c>
      <c r="D813" s="14" t="str">
        <f t="shared" si="2"/>
        <v/>
      </c>
      <c r="E813" s="14" t="str">
        <f t="shared" si="3"/>
        <v/>
      </c>
      <c r="F813" s="7" t="str">
        <f>IF($A813&lt;&gt;"",MAXIFS(Token!$C:$C,Token!$A:$A,$D813),)</f>
        <v/>
      </c>
    </row>
    <row r="814">
      <c r="A814" s="39" t="str">
        <f>IF(AND($L814*1&gt;=$G$3,$L814*1&lt;=$G$4,$I814*$J814&gt;0,OR($I814&lt;&gt;$I815,$L814-$L815&gt;25),IF(ABS($I814)&gt;10,$I814/POW(10,$J814),$J814/POW(10,$I814))*MAXIFS(Token!$C:$C,Token!$A:$A,$K814)&gt;0.01),$L814/86400+DATE(1970,1,1)+$G$6,)</f>
        <v/>
      </c>
      <c r="B814" s="27" t="str">
        <f t="shared" si="1"/>
        <v/>
      </c>
      <c r="C814" s="14" t="str">
        <f>IF($A814&lt;&gt;"",MINIFS(Merchant!$A:$A,Merchant!$B:$B,$G$2),)</f>
        <v/>
      </c>
      <c r="D814" s="14" t="str">
        <f t="shared" si="2"/>
        <v/>
      </c>
      <c r="E814" s="14" t="str">
        <f t="shared" si="3"/>
        <v/>
      </c>
      <c r="F814" s="7" t="str">
        <f>IF($A814&lt;&gt;"",MAXIFS(Token!$C:$C,Token!$A:$A,$D814),)</f>
        <v/>
      </c>
    </row>
    <row r="815">
      <c r="A815" s="39" t="str">
        <f>IF(AND($L815*1&gt;=$G$3,$L815*1&lt;=$G$4,$I815*$J815&gt;0,OR($I815&lt;&gt;$I816,$L815-$L816&gt;25),IF(ABS($I815)&gt;10,$I815/POW(10,$J815),$J815/POW(10,$I815))*MAXIFS(Token!$C:$C,Token!$A:$A,$K815)&gt;0.01),$L815/86400+DATE(1970,1,1)+$G$6,)</f>
        <v/>
      </c>
      <c r="B815" s="27" t="str">
        <f t="shared" si="1"/>
        <v/>
      </c>
      <c r="C815" s="14" t="str">
        <f>IF($A815&lt;&gt;"",MINIFS(Merchant!$A:$A,Merchant!$B:$B,$G$2),)</f>
        <v/>
      </c>
      <c r="D815" s="14" t="str">
        <f t="shared" si="2"/>
        <v/>
      </c>
      <c r="E815" s="14" t="str">
        <f t="shared" si="3"/>
        <v/>
      </c>
      <c r="F815" s="7" t="str">
        <f>IF($A815&lt;&gt;"",MAXIFS(Token!$C:$C,Token!$A:$A,$D815),)</f>
        <v/>
      </c>
    </row>
    <row r="816">
      <c r="A816" s="39" t="str">
        <f>IF(AND($L816*1&gt;=$G$3,$L816*1&lt;=$G$4,$I816*$J816&gt;0,OR($I816&lt;&gt;$I817,$L816-$L817&gt;25),IF(ABS($I816)&gt;10,$I816/POW(10,$J816),$J816/POW(10,$I816))*MAXIFS(Token!$C:$C,Token!$A:$A,$K816)&gt;0.01),$L816/86400+DATE(1970,1,1)+$G$6,)</f>
        <v/>
      </c>
      <c r="B816" s="27" t="str">
        <f t="shared" si="1"/>
        <v/>
      </c>
      <c r="C816" s="14" t="str">
        <f>IF($A816&lt;&gt;"",MINIFS(Merchant!$A:$A,Merchant!$B:$B,$G$2),)</f>
        <v/>
      </c>
      <c r="D816" s="14" t="str">
        <f t="shared" si="2"/>
        <v/>
      </c>
      <c r="E816" s="14" t="str">
        <f t="shared" si="3"/>
        <v/>
      </c>
      <c r="F816" s="7" t="str">
        <f>IF($A816&lt;&gt;"",MAXIFS(Token!$C:$C,Token!$A:$A,$D816),)</f>
        <v/>
      </c>
    </row>
    <row r="817">
      <c r="A817" s="39" t="str">
        <f>IF(AND($L817*1&gt;=$G$3,$L817*1&lt;=$G$4,$I817*$J817&gt;0,OR($I817&lt;&gt;$I818,$L817-$L818&gt;25),IF(ABS($I817)&gt;10,$I817/POW(10,$J817),$J817/POW(10,$I817))*MAXIFS(Token!$C:$C,Token!$A:$A,$K817)&gt;0.01),$L817/86400+DATE(1970,1,1)+$G$6,)</f>
        <v/>
      </c>
      <c r="B817" s="27" t="str">
        <f t="shared" si="1"/>
        <v/>
      </c>
      <c r="C817" s="14" t="str">
        <f>IF($A817&lt;&gt;"",MINIFS(Merchant!$A:$A,Merchant!$B:$B,$G$2),)</f>
        <v/>
      </c>
      <c r="D817" s="14" t="str">
        <f t="shared" si="2"/>
        <v/>
      </c>
      <c r="E817" s="14" t="str">
        <f t="shared" si="3"/>
        <v/>
      </c>
      <c r="F817" s="7" t="str">
        <f>IF($A817&lt;&gt;"",MAXIFS(Token!$C:$C,Token!$A:$A,$D817),)</f>
        <v/>
      </c>
    </row>
    <row r="818">
      <c r="A818" s="39" t="str">
        <f>IF(AND($L818*1&gt;=$G$3,$L818*1&lt;=$G$4,$I818*$J818&gt;0,OR($I818&lt;&gt;$I819,$L818-$L819&gt;25),IF(ABS($I818)&gt;10,$I818/POW(10,$J818),$J818/POW(10,$I818))*MAXIFS(Token!$C:$C,Token!$A:$A,$K818)&gt;0.01),$L818/86400+DATE(1970,1,1)+$G$6,)</f>
        <v/>
      </c>
      <c r="B818" s="27" t="str">
        <f t="shared" si="1"/>
        <v/>
      </c>
      <c r="C818" s="14" t="str">
        <f>IF($A818&lt;&gt;"",MINIFS(Merchant!$A:$A,Merchant!$B:$B,$G$2),)</f>
        <v/>
      </c>
      <c r="D818" s="14" t="str">
        <f t="shared" si="2"/>
        <v/>
      </c>
      <c r="E818" s="14" t="str">
        <f t="shared" si="3"/>
        <v/>
      </c>
      <c r="F818" s="7" t="str">
        <f>IF($A818&lt;&gt;"",MAXIFS(Token!$C:$C,Token!$A:$A,$D818),)</f>
        <v/>
      </c>
    </row>
    <row r="819">
      <c r="A819" s="39" t="str">
        <f>IF(AND($L819*1&gt;=$G$3,$L819*1&lt;=$G$4,$I819*$J819&gt;0,OR($I819&lt;&gt;$I820,$L819-$L820&gt;25),IF(ABS($I819)&gt;10,$I819/POW(10,$J819),$J819/POW(10,$I819))*MAXIFS(Token!$C:$C,Token!$A:$A,$K819)&gt;0.01),$L819/86400+DATE(1970,1,1)+$G$6,)</f>
        <v/>
      </c>
      <c r="B819" s="27" t="str">
        <f t="shared" si="1"/>
        <v/>
      </c>
      <c r="C819" s="14" t="str">
        <f>IF($A819&lt;&gt;"",MINIFS(Merchant!$A:$A,Merchant!$B:$B,$G$2),)</f>
        <v/>
      </c>
      <c r="D819" s="14" t="str">
        <f t="shared" si="2"/>
        <v/>
      </c>
      <c r="E819" s="14" t="str">
        <f t="shared" si="3"/>
        <v/>
      </c>
      <c r="F819" s="7" t="str">
        <f>IF($A819&lt;&gt;"",MAXIFS(Token!$C:$C,Token!$A:$A,$D819),)</f>
        <v/>
      </c>
    </row>
    <row r="820">
      <c r="A820" s="39" t="str">
        <f>IF(AND($L820*1&gt;=$G$3,$L820*1&lt;=$G$4,$I820*$J820&gt;0,OR($I820&lt;&gt;$I821,$L820-$L821&gt;25),IF(ABS($I820)&gt;10,$I820/POW(10,$J820),$J820/POW(10,$I820))*MAXIFS(Token!$C:$C,Token!$A:$A,$K820)&gt;0.01),$L820/86400+DATE(1970,1,1)+$G$6,)</f>
        <v/>
      </c>
      <c r="B820" s="27" t="str">
        <f t="shared" si="1"/>
        <v/>
      </c>
      <c r="C820" s="14" t="str">
        <f>IF($A820&lt;&gt;"",MINIFS(Merchant!$A:$A,Merchant!$B:$B,$G$2),)</f>
        <v/>
      </c>
      <c r="D820" s="14" t="str">
        <f t="shared" si="2"/>
        <v/>
      </c>
      <c r="E820" s="14" t="str">
        <f t="shared" si="3"/>
        <v/>
      </c>
      <c r="F820" s="7" t="str">
        <f>IF($A820&lt;&gt;"",MAXIFS(Token!$C:$C,Token!$A:$A,$D820),)</f>
        <v/>
      </c>
    </row>
    <row r="821">
      <c r="A821" s="39" t="str">
        <f>IF(AND($L821*1&gt;=$G$3,$L821*1&lt;=$G$4,$I821*$J821&gt;0,OR($I821&lt;&gt;$I822,$L821-$L822&gt;25),IF(ABS($I821)&gt;10,$I821/POW(10,$J821),$J821/POW(10,$I821))*MAXIFS(Token!$C:$C,Token!$A:$A,$K821)&gt;0.01),$L821/86400+DATE(1970,1,1)+$G$6,)</f>
        <v/>
      </c>
      <c r="B821" s="27" t="str">
        <f t="shared" si="1"/>
        <v/>
      </c>
      <c r="C821" s="14" t="str">
        <f>IF($A821&lt;&gt;"",MINIFS(Merchant!$A:$A,Merchant!$B:$B,$G$2),)</f>
        <v/>
      </c>
      <c r="D821" s="14" t="str">
        <f t="shared" si="2"/>
        <v/>
      </c>
      <c r="E821" s="14" t="str">
        <f t="shared" si="3"/>
        <v/>
      </c>
      <c r="F821" s="7" t="str">
        <f>IF($A821&lt;&gt;"",MAXIFS(Token!$C:$C,Token!$A:$A,$D821),)</f>
        <v/>
      </c>
    </row>
    <row r="822">
      <c r="A822" s="39" t="str">
        <f>IF(AND($L822*1&gt;=$G$3,$L822*1&lt;=$G$4,$I822*$J822&gt;0,OR($I822&lt;&gt;$I823,$L822-$L823&gt;25),IF(ABS($I822)&gt;10,$I822/POW(10,$J822),$J822/POW(10,$I822))*MAXIFS(Token!$C:$C,Token!$A:$A,$K822)&gt;0.01),$L822/86400+DATE(1970,1,1)+$G$6,)</f>
        <v/>
      </c>
      <c r="B822" s="27" t="str">
        <f t="shared" si="1"/>
        <v/>
      </c>
      <c r="C822" s="14" t="str">
        <f>IF($A822&lt;&gt;"",MINIFS(Merchant!$A:$A,Merchant!$B:$B,$G$2),)</f>
        <v/>
      </c>
      <c r="D822" s="14" t="str">
        <f t="shared" si="2"/>
        <v/>
      </c>
      <c r="E822" s="14" t="str">
        <f t="shared" si="3"/>
        <v/>
      </c>
      <c r="F822" s="7" t="str">
        <f>IF($A822&lt;&gt;"",MAXIFS(Token!$C:$C,Token!$A:$A,$D822),)</f>
        <v/>
      </c>
    </row>
    <row r="823">
      <c r="A823" s="39" t="str">
        <f>IF(AND($L823*1&gt;=$G$3,$L823*1&lt;=$G$4,$I823*$J823&gt;0,OR($I823&lt;&gt;$I824,$L823-$L824&gt;25),IF(ABS($I823)&gt;10,$I823/POW(10,$J823),$J823/POW(10,$I823))*MAXIFS(Token!$C:$C,Token!$A:$A,$K823)&gt;0.01),$L823/86400+DATE(1970,1,1)+$G$6,)</f>
        <v/>
      </c>
      <c r="B823" s="27" t="str">
        <f t="shared" si="1"/>
        <v/>
      </c>
      <c r="C823" s="14" t="str">
        <f>IF($A823&lt;&gt;"",MINIFS(Merchant!$A:$A,Merchant!$B:$B,$G$2),)</f>
        <v/>
      </c>
      <c r="D823" s="14" t="str">
        <f t="shared" si="2"/>
        <v/>
      </c>
      <c r="E823" s="14" t="str">
        <f t="shared" si="3"/>
        <v/>
      </c>
      <c r="F823" s="7" t="str">
        <f>IF($A823&lt;&gt;"",MAXIFS(Token!$C:$C,Token!$A:$A,$D823),)</f>
        <v/>
      </c>
    </row>
    <row r="824">
      <c r="A824" s="39" t="str">
        <f>IF(AND($L824*1&gt;=$G$3,$L824*1&lt;=$G$4,$I824*$J824&gt;0,OR($I824&lt;&gt;$I825,$L824-$L825&gt;25),IF(ABS($I824)&gt;10,$I824/POW(10,$J824),$J824/POW(10,$I824))*MAXIFS(Token!$C:$C,Token!$A:$A,$K824)&gt;0.01),$L824/86400+DATE(1970,1,1)+$G$6,)</f>
        <v/>
      </c>
      <c r="B824" s="27" t="str">
        <f t="shared" si="1"/>
        <v/>
      </c>
      <c r="C824" s="14" t="str">
        <f>IF($A824&lt;&gt;"",MINIFS(Merchant!$A:$A,Merchant!$B:$B,$G$2),)</f>
        <v/>
      </c>
      <c r="D824" s="14" t="str">
        <f t="shared" si="2"/>
        <v/>
      </c>
      <c r="E824" s="14" t="str">
        <f t="shared" si="3"/>
        <v/>
      </c>
      <c r="F824" s="7" t="str">
        <f>IF($A824&lt;&gt;"",MAXIFS(Token!$C:$C,Token!$A:$A,$D824),)</f>
        <v/>
      </c>
    </row>
    <row r="825">
      <c r="A825" s="39" t="str">
        <f>IF(AND($L825*1&gt;=$G$3,$L825*1&lt;=$G$4,$I825*$J825&gt;0,OR($I825&lt;&gt;$I826,$L825-$L826&gt;25),IF(ABS($I825)&gt;10,$I825/POW(10,$J825),$J825/POW(10,$I825))*MAXIFS(Token!$C:$C,Token!$A:$A,$K825)&gt;0.01),$L825/86400+DATE(1970,1,1)+$G$6,)</f>
        <v/>
      </c>
      <c r="B825" s="27" t="str">
        <f t="shared" si="1"/>
        <v/>
      </c>
      <c r="C825" s="14" t="str">
        <f>IF($A825&lt;&gt;"",MINIFS(Merchant!$A:$A,Merchant!$B:$B,$G$2),)</f>
        <v/>
      </c>
      <c r="D825" s="14" t="str">
        <f t="shared" si="2"/>
        <v/>
      </c>
      <c r="E825" s="14" t="str">
        <f t="shared" si="3"/>
        <v/>
      </c>
      <c r="F825" s="7" t="str">
        <f>IF($A825&lt;&gt;"",MAXIFS(Token!$C:$C,Token!$A:$A,$D825),)</f>
        <v/>
      </c>
    </row>
    <row r="826">
      <c r="A826" s="39" t="str">
        <f>IF(AND($L826*1&gt;=$G$3,$L826*1&lt;=$G$4,$I826*$J826&gt;0,OR($I826&lt;&gt;$I827,$L826-$L827&gt;25),IF(ABS($I826)&gt;10,$I826/POW(10,$J826),$J826/POW(10,$I826))*MAXIFS(Token!$C:$C,Token!$A:$A,$K826)&gt;0.01),$L826/86400+DATE(1970,1,1)+$G$6,)</f>
        <v/>
      </c>
      <c r="B826" s="27" t="str">
        <f t="shared" si="1"/>
        <v/>
      </c>
      <c r="C826" s="14" t="str">
        <f>IF($A826&lt;&gt;"",MINIFS(Merchant!$A:$A,Merchant!$B:$B,$G$2),)</f>
        <v/>
      </c>
      <c r="D826" s="14" t="str">
        <f t="shared" si="2"/>
        <v/>
      </c>
      <c r="E826" s="14" t="str">
        <f t="shared" si="3"/>
        <v/>
      </c>
      <c r="F826" s="7" t="str">
        <f>IF($A826&lt;&gt;"",MAXIFS(Token!$C:$C,Token!$A:$A,$D826),)</f>
        <v/>
      </c>
    </row>
    <row r="827">
      <c r="A827" s="39" t="str">
        <f>IF(AND($L827*1&gt;=$G$3,$L827*1&lt;=$G$4,$I827*$J827&gt;0,OR($I827&lt;&gt;$I828,$L827-$L828&gt;25),IF(ABS($I827)&gt;10,$I827/POW(10,$J827),$J827/POW(10,$I827))*MAXIFS(Token!$C:$C,Token!$A:$A,$K827)&gt;0.01),$L827/86400+DATE(1970,1,1)+$G$6,)</f>
        <v/>
      </c>
      <c r="B827" s="27" t="str">
        <f t="shared" si="1"/>
        <v/>
      </c>
      <c r="C827" s="14" t="str">
        <f>IF($A827&lt;&gt;"",MINIFS(Merchant!$A:$A,Merchant!$B:$B,$G$2),)</f>
        <v/>
      </c>
      <c r="D827" s="14" t="str">
        <f t="shared" si="2"/>
        <v/>
      </c>
      <c r="E827" s="14" t="str">
        <f t="shared" si="3"/>
        <v/>
      </c>
      <c r="F827" s="7" t="str">
        <f>IF($A827&lt;&gt;"",MAXIFS(Token!$C:$C,Token!$A:$A,$D827),)</f>
        <v/>
      </c>
    </row>
    <row r="828">
      <c r="A828" s="39" t="str">
        <f>IF(AND($L828*1&gt;=$G$3,$L828*1&lt;=$G$4,$I828*$J828&gt;0,OR($I828&lt;&gt;$I829,$L828-$L829&gt;25),IF(ABS($I828)&gt;10,$I828/POW(10,$J828),$J828/POW(10,$I828))*MAXIFS(Token!$C:$C,Token!$A:$A,$K828)&gt;0.01),$L828/86400+DATE(1970,1,1)+$G$6,)</f>
        <v/>
      </c>
      <c r="B828" s="27" t="str">
        <f t="shared" si="1"/>
        <v/>
      </c>
      <c r="C828" s="14" t="str">
        <f>IF($A828&lt;&gt;"",MINIFS(Merchant!$A:$A,Merchant!$B:$B,$G$2),)</f>
        <v/>
      </c>
      <c r="D828" s="14" t="str">
        <f t="shared" si="2"/>
        <v/>
      </c>
      <c r="E828" s="14" t="str">
        <f t="shared" si="3"/>
        <v/>
      </c>
      <c r="F828" s="7" t="str">
        <f>IF($A828&lt;&gt;"",MAXIFS(Token!$C:$C,Token!$A:$A,$D828),)</f>
        <v/>
      </c>
    </row>
    <row r="829">
      <c r="A829" s="39" t="str">
        <f>IF(AND($L829*1&gt;=$G$3,$L829*1&lt;=$G$4,$I829*$J829&gt;0,OR($I829&lt;&gt;$I830,$L829-$L830&gt;25),IF(ABS($I829)&gt;10,$I829/POW(10,$J829),$J829/POW(10,$I829))*MAXIFS(Token!$C:$C,Token!$A:$A,$K829)&gt;0.01),$L829/86400+DATE(1970,1,1)+$G$6,)</f>
        <v/>
      </c>
      <c r="B829" s="27" t="str">
        <f t="shared" si="1"/>
        <v/>
      </c>
      <c r="C829" s="14" t="str">
        <f>IF($A829&lt;&gt;"",MINIFS(Merchant!$A:$A,Merchant!$B:$B,$G$2),)</f>
        <v/>
      </c>
      <c r="D829" s="14" t="str">
        <f t="shared" si="2"/>
        <v/>
      </c>
      <c r="E829" s="14" t="str">
        <f t="shared" si="3"/>
        <v/>
      </c>
      <c r="F829" s="7" t="str">
        <f>IF($A829&lt;&gt;"",MAXIFS(Token!$C:$C,Token!$A:$A,$D829),)</f>
        <v/>
      </c>
    </row>
    <row r="830">
      <c r="A830" s="39" t="str">
        <f>IF(AND($L830*1&gt;=$G$3,$L830*1&lt;=$G$4,$I830*$J830&gt;0,OR($I830&lt;&gt;$I831,$L830-$L831&gt;25),IF(ABS($I830)&gt;10,$I830/POW(10,$J830),$J830/POW(10,$I830))*MAXIFS(Token!$C:$C,Token!$A:$A,$K830)&gt;0.01),$L830/86400+DATE(1970,1,1)+$G$6,)</f>
        <v/>
      </c>
      <c r="B830" s="27" t="str">
        <f t="shared" si="1"/>
        <v/>
      </c>
      <c r="C830" s="14" t="str">
        <f>IF($A830&lt;&gt;"",MINIFS(Merchant!$A:$A,Merchant!$B:$B,$G$2),)</f>
        <v/>
      </c>
      <c r="D830" s="14" t="str">
        <f t="shared" si="2"/>
        <v/>
      </c>
      <c r="E830" s="14" t="str">
        <f t="shared" si="3"/>
        <v/>
      </c>
      <c r="F830" s="7" t="str">
        <f>IF($A830&lt;&gt;"",MAXIFS(Token!$C:$C,Token!$A:$A,$D830),)</f>
        <v/>
      </c>
    </row>
    <row r="831">
      <c r="A831" s="39" t="str">
        <f>IF(AND($L831*1&gt;=$G$3,$L831*1&lt;=$G$4,$I831*$J831&gt;0,OR($I831&lt;&gt;$I832,$L831-$L832&gt;25),IF(ABS($I831)&gt;10,$I831/POW(10,$J831),$J831/POW(10,$I831))*MAXIFS(Token!$C:$C,Token!$A:$A,$K831)&gt;0.01),$L831/86400+DATE(1970,1,1)+$G$6,)</f>
        <v/>
      </c>
      <c r="B831" s="27" t="str">
        <f t="shared" si="1"/>
        <v/>
      </c>
      <c r="C831" s="14" t="str">
        <f>IF($A831&lt;&gt;"",MINIFS(Merchant!$A:$A,Merchant!$B:$B,$G$2),)</f>
        <v/>
      </c>
      <c r="D831" s="14" t="str">
        <f t="shared" si="2"/>
        <v/>
      </c>
      <c r="E831" s="14" t="str">
        <f t="shared" si="3"/>
        <v/>
      </c>
      <c r="F831" s="7" t="str">
        <f>IF($A831&lt;&gt;"",MAXIFS(Token!$C:$C,Token!$A:$A,$D831),)</f>
        <v/>
      </c>
    </row>
    <row r="832">
      <c r="A832" s="39" t="str">
        <f>IF(AND($L832*1&gt;=$G$3,$L832*1&lt;=$G$4,$I832*$J832&gt;0,OR($I832&lt;&gt;$I833,$L832-$L833&gt;25),IF(ABS($I832)&gt;10,$I832/POW(10,$J832),$J832/POW(10,$I832))*MAXIFS(Token!$C:$C,Token!$A:$A,$K832)&gt;0.01),$L832/86400+DATE(1970,1,1)+$G$6,)</f>
        <v/>
      </c>
      <c r="B832" s="27" t="str">
        <f t="shared" si="1"/>
        <v/>
      </c>
      <c r="C832" s="14" t="str">
        <f>IF($A832&lt;&gt;"",MINIFS(Merchant!$A:$A,Merchant!$B:$B,$G$2),)</f>
        <v/>
      </c>
      <c r="D832" s="14" t="str">
        <f t="shared" si="2"/>
        <v/>
      </c>
      <c r="E832" s="14" t="str">
        <f t="shared" si="3"/>
        <v/>
      </c>
      <c r="F832" s="7" t="str">
        <f>IF($A832&lt;&gt;"",MAXIFS(Token!$C:$C,Token!$A:$A,$D832),)</f>
        <v/>
      </c>
    </row>
    <row r="833">
      <c r="A833" s="39" t="str">
        <f>IF(AND($L833*1&gt;=$G$3,$L833*1&lt;=$G$4,$I833*$J833&gt;0,OR($I833&lt;&gt;$I834,$L833-$L834&gt;25),IF(ABS($I833)&gt;10,$I833/POW(10,$J833),$J833/POW(10,$I833))*MAXIFS(Token!$C:$C,Token!$A:$A,$K833)&gt;0.01),$L833/86400+DATE(1970,1,1)+$G$6,)</f>
        <v/>
      </c>
      <c r="B833" s="27" t="str">
        <f t="shared" si="1"/>
        <v/>
      </c>
      <c r="C833" s="14" t="str">
        <f>IF($A833&lt;&gt;"",MINIFS(Merchant!$A:$A,Merchant!$B:$B,$G$2),)</f>
        <v/>
      </c>
      <c r="D833" s="14" t="str">
        <f t="shared" si="2"/>
        <v/>
      </c>
      <c r="E833" s="14" t="str">
        <f t="shared" si="3"/>
        <v/>
      </c>
      <c r="F833" s="7" t="str">
        <f>IF($A833&lt;&gt;"",MAXIFS(Token!$C:$C,Token!$A:$A,$D833),)</f>
        <v/>
      </c>
    </row>
    <row r="834">
      <c r="A834" s="39" t="str">
        <f>IF(AND($L834*1&gt;=$G$3,$L834*1&lt;=$G$4,$I834*$J834&gt;0,OR($I834&lt;&gt;$I835,$L834-$L835&gt;25),IF(ABS($I834)&gt;10,$I834/POW(10,$J834),$J834/POW(10,$I834))*MAXIFS(Token!$C:$C,Token!$A:$A,$K834)&gt;0.01),$L834/86400+DATE(1970,1,1)+$G$6,)</f>
        <v/>
      </c>
      <c r="B834" s="27" t="str">
        <f t="shared" si="1"/>
        <v/>
      </c>
      <c r="C834" s="14" t="str">
        <f>IF($A834&lt;&gt;"",MINIFS(Merchant!$A:$A,Merchant!$B:$B,$G$2),)</f>
        <v/>
      </c>
      <c r="D834" s="14" t="str">
        <f t="shared" si="2"/>
        <v/>
      </c>
      <c r="E834" s="14" t="str">
        <f t="shared" si="3"/>
        <v/>
      </c>
      <c r="F834" s="7" t="str">
        <f>IF($A834&lt;&gt;"",MAXIFS(Token!$C:$C,Token!$A:$A,$D834),)</f>
        <v/>
      </c>
    </row>
    <row r="835">
      <c r="A835" s="39" t="str">
        <f>IF(AND($L835*1&gt;=$G$3,$L835*1&lt;=$G$4,$I835*$J835&gt;0,OR($I835&lt;&gt;$I836,$L835-$L836&gt;25),IF(ABS($I835)&gt;10,$I835/POW(10,$J835),$J835/POW(10,$I835))*MAXIFS(Token!$C:$C,Token!$A:$A,$K835)&gt;0.01),$L835/86400+DATE(1970,1,1)+$G$6,)</f>
        <v/>
      </c>
      <c r="B835" s="27" t="str">
        <f t="shared" si="1"/>
        <v/>
      </c>
      <c r="C835" s="14" t="str">
        <f>IF($A835&lt;&gt;"",MINIFS(Merchant!$A:$A,Merchant!$B:$B,$G$2),)</f>
        <v/>
      </c>
      <c r="D835" s="14" t="str">
        <f t="shared" si="2"/>
        <v/>
      </c>
      <c r="E835" s="14" t="str">
        <f t="shared" si="3"/>
        <v/>
      </c>
      <c r="F835" s="7" t="str">
        <f>IF($A835&lt;&gt;"",MAXIFS(Token!$C:$C,Token!$A:$A,$D835),)</f>
        <v/>
      </c>
    </row>
    <row r="836">
      <c r="A836" s="39" t="str">
        <f>IF(AND($L836*1&gt;=$G$3,$L836*1&lt;=$G$4,$I836*$J836&gt;0,OR($I836&lt;&gt;$I837,$L836-$L837&gt;25),IF(ABS($I836)&gt;10,$I836/POW(10,$J836),$J836/POW(10,$I836))*MAXIFS(Token!$C:$C,Token!$A:$A,$K836)&gt;0.01),$L836/86400+DATE(1970,1,1)+$G$6,)</f>
        <v/>
      </c>
      <c r="B836" s="27" t="str">
        <f t="shared" si="1"/>
        <v/>
      </c>
      <c r="C836" s="14" t="str">
        <f>IF($A836&lt;&gt;"",MINIFS(Merchant!$A:$A,Merchant!$B:$B,$G$2),)</f>
        <v/>
      </c>
      <c r="D836" s="14" t="str">
        <f t="shared" si="2"/>
        <v/>
      </c>
      <c r="E836" s="14" t="str">
        <f t="shared" si="3"/>
        <v/>
      </c>
      <c r="F836" s="7" t="str">
        <f>IF($A836&lt;&gt;"",MAXIFS(Token!$C:$C,Token!$A:$A,$D836),)</f>
        <v/>
      </c>
    </row>
    <row r="837">
      <c r="A837" s="39" t="str">
        <f>IF(AND($L837*1&gt;=$G$3,$L837*1&lt;=$G$4,$I837*$J837&gt;0,OR($I837&lt;&gt;$I838,$L837-$L838&gt;25),IF(ABS($I837)&gt;10,$I837/POW(10,$J837),$J837/POW(10,$I837))*MAXIFS(Token!$C:$C,Token!$A:$A,$K837)&gt;0.01),$L837/86400+DATE(1970,1,1)+$G$6,)</f>
        <v/>
      </c>
      <c r="B837" s="27" t="str">
        <f t="shared" si="1"/>
        <v/>
      </c>
      <c r="C837" s="14" t="str">
        <f>IF($A837&lt;&gt;"",MINIFS(Merchant!$A:$A,Merchant!$B:$B,$G$2),)</f>
        <v/>
      </c>
      <c r="D837" s="14" t="str">
        <f t="shared" si="2"/>
        <v/>
      </c>
      <c r="E837" s="14" t="str">
        <f t="shared" si="3"/>
        <v/>
      </c>
      <c r="F837" s="7" t="str">
        <f>IF($A837&lt;&gt;"",MAXIFS(Token!$C:$C,Token!$A:$A,$D837),)</f>
        <v/>
      </c>
    </row>
    <row r="838">
      <c r="A838" s="39" t="str">
        <f>IF(AND($L838*1&gt;=$G$3,$L838*1&lt;=$G$4,$I838*$J838&gt;0,OR($I838&lt;&gt;$I839,$L838-$L839&gt;25),IF(ABS($I838)&gt;10,$I838/POW(10,$J838),$J838/POW(10,$I838))*MAXIFS(Token!$C:$C,Token!$A:$A,$K838)&gt;0.01),$L838/86400+DATE(1970,1,1)+$G$6,)</f>
        <v/>
      </c>
      <c r="B838" s="27" t="str">
        <f t="shared" si="1"/>
        <v/>
      </c>
      <c r="C838" s="14" t="str">
        <f>IF($A838&lt;&gt;"",MINIFS(Merchant!$A:$A,Merchant!$B:$B,$G$2),)</f>
        <v/>
      </c>
      <c r="D838" s="14" t="str">
        <f t="shared" si="2"/>
        <v/>
      </c>
      <c r="E838" s="14" t="str">
        <f t="shared" si="3"/>
        <v/>
      </c>
      <c r="F838" s="7" t="str">
        <f>IF($A838&lt;&gt;"",MAXIFS(Token!$C:$C,Token!$A:$A,$D838),)</f>
        <v/>
      </c>
    </row>
    <row r="839">
      <c r="A839" s="39" t="str">
        <f>IF(AND($L839*1&gt;=$G$3,$L839*1&lt;=$G$4,$I839*$J839&gt;0,OR($I839&lt;&gt;$I840,$L839-$L840&gt;25),IF(ABS($I839)&gt;10,$I839/POW(10,$J839),$J839/POW(10,$I839))*MAXIFS(Token!$C:$C,Token!$A:$A,$K839)&gt;0.01),$L839/86400+DATE(1970,1,1)+$G$6,)</f>
        <v/>
      </c>
      <c r="B839" s="27" t="str">
        <f t="shared" si="1"/>
        <v/>
      </c>
      <c r="C839" s="14" t="str">
        <f>IF($A839&lt;&gt;"",MINIFS(Merchant!$A:$A,Merchant!$B:$B,$G$2),)</f>
        <v/>
      </c>
      <c r="D839" s="14" t="str">
        <f t="shared" si="2"/>
        <v/>
      </c>
      <c r="E839" s="14" t="str">
        <f t="shared" si="3"/>
        <v/>
      </c>
      <c r="F839" s="7" t="str">
        <f>IF($A839&lt;&gt;"",MAXIFS(Token!$C:$C,Token!$A:$A,$D839),)</f>
        <v/>
      </c>
    </row>
    <row r="840">
      <c r="A840" s="39" t="str">
        <f>IF(AND($L840*1&gt;=$G$3,$L840*1&lt;=$G$4,$I840*$J840&gt;0,OR($I840&lt;&gt;$I841,$L840-$L841&gt;25),IF(ABS($I840)&gt;10,$I840/POW(10,$J840),$J840/POW(10,$I840))*MAXIFS(Token!$C:$C,Token!$A:$A,$K840)&gt;0.01),$L840/86400+DATE(1970,1,1)+$G$6,)</f>
        <v/>
      </c>
      <c r="B840" s="27" t="str">
        <f t="shared" si="1"/>
        <v/>
      </c>
      <c r="C840" s="14" t="str">
        <f>IF($A840&lt;&gt;"",MINIFS(Merchant!$A:$A,Merchant!$B:$B,$G$2),)</f>
        <v/>
      </c>
      <c r="D840" s="14" t="str">
        <f t="shared" si="2"/>
        <v/>
      </c>
      <c r="E840" s="14" t="str">
        <f t="shared" si="3"/>
        <v/>
      </c>
      <c r="F840" s="7" t="str">
        <f>IF($A840&lt;&gt;"",MAXIFS(Token!$C:$C,Token!$A:$A,$D840),)</f>
        <v/>
      </c>
    </row>
    <row r="841">
      <c r="A841" s="39" t="str">
        <f>IF(AND($L841*1&gt;=$G$3,$L841*1&lt;=$G$4,$I841*$J841&gt;0,OR($I841&lt;&gt;$I842,$L841-$L842&gt;25),IF(ABS($I841)&gt;10,$I841/POW(10,$J841),$J841/POW(10,$I841))*MAXIFS(Token!$C:$C,Token!$A:$A,$K841)&gt;0.01),$L841/86400+DATE(1970,1,1)+$G$6,)</f>
        <v/>
      </c>
      <c r="B841" s="27" t="str">
        <f t="shared" si="1"/>
        <v/>
      </c>
      <c r="C841" s="14" t="str">
        <f>IF($A841&lt;&gt;"",MINIFS(Merchant!$A:$A,Merchant!$B:$B,$G$2),)</f>
        <v/>
      </c>
      <c r="D841" s="14" t="str">
        <f t="shared" si="2"/>
        <v/>
      </c>
      <c r="E841" s="14" t="str">
        <f t="shared" si="3"/>
        <v/>
      </c>
      <c r="F841" s="7" t="str">
        <f>IF($A841&lt;&gt;"",MAXIFS(Token!$C:$C,Token!$A:$A,$D841),)</f>
        <v/>
      </c>
    </row>
    <row r="842">
      <c r="A842" s="39" t="str">
        <f>IF(AND($L842*1&gt;=$G$3,$L842*1&lt;=$G$4,$I842*$J842&gt;0,OR($I842&lt;&gt;$I843,$L842-$L843&gt;25),IF(ABS($I842)&gt;10,$I842/POW(10,$J842),$J842/POW(10,$I842))*MAXIFS(Token!$C:$C,Token!$A:$A,$K842)&gt;0.01),$L842/86400+DATE(1970,1,1)+$G$6,)</f>
        <v/>
      </c>
      <c r="B842" s="27" t="str">
        <f t="shared" si="1"/>
        <v/>
      </c>
      <c r="C842" s="14" t="str">
        <f>IF($A842&lt;&gt;"",MINIFS(Merchant!$A:$A,Merchant!$B:$B,$G$2),)</f>
        <v/>
      </c>
      <c r="D842" s="14" t="str">
        <f t="shared" si="2"/>
        <v/>
      </c>
      <c r="E842" s="14" t="str">
        <f t="shared" si="3"/>
        <v/>
      </c>
      <c r="F842" s="7" t="str">
        <f>IF($A842&lt;&gt;"",MAXIFS(Token!$C:$C,Token!$A:$A,$D842),)</f>
        <v/>
      </c>
    </row>
    <row r="843">
      <c r="A843" s="39" t="str">
        <f>IF(AND($L843*1&gt;=$G$3,$L843*1&lt;=$G$4,$I843*$J843&gt;0,OR($I843&lt;&gt;$I844,$L843-$L844&gt;25),IF(ABS($I843)&gt;10,$I843/POW(10,$J843),$J843/POW(10,$I843))*MAXIFS(Token!$C:$C,Token!$A:$A,$K843)&gt;0.01),$L843/86400+DATE(1970,1,1)+$G$6,)</f>
        <v/>
      </c>
      <c r="B843" s="27" t="str">
        <f t="shared" si="1"/>
        <v/>
      </c>
      <c r="C843" s="14" t="str">
        <f>IF($A843&lt;&gt;"",MINIFS(Merchant!$A:$A,Merchant!$B:$B,$G$2),)</f>
        <v/>
      </c>
      <c r="D843" s="14" t="str">
        <f t="shared" si="2"/>
        <v/>
      </c>
      <c r="E843" s="14" t="str">
        <f t="shared" si="3"/>
        <v/>
      </c>
      <c r="F843" s="7" t="str">
        <f>IF($A843&lt;&gt;"",MAXIFS(Token!$C:$C,Token!$A:$A,$D843),)</f>
        <v/>
      </c>
    </row>
    <row r="844">
      <c r="A844" s="39" t="str">
        <f>IF(AND($L844*1&gt;=$G$3,$L844*1&lt;=$G$4,$I844*$J844&gt;0,OR($I844&lt;&gt;$I845,$L844-$L845&gt;25),IF(ABS($I844)&gt;10,$I844/POW(10,$J844),$J844/POW(10,$I844))*MAXIFS(Token!$C:$C,Token!$A:$A,$K844)&gt;0.01),$L844/86400+DATE(1970,1,1)+$G$6,)</f>
        <v/>
      </c>
      <c r="B844" s="27" t="str">
        <f t="shared" si="1"/>
        <v/>
      </c>
      <c r="C844" s="14" t="str">
        <f>IF($A844&lt;&gt;"",MINIFS(Merchant!$A:$A,Merchant!$B:$B,$G$2),)</f>
        <v/>
      </c>
      <c r="D844" s="14" t="str">
        <f t="shared" si="2"/>
        <v/>
      </c>
      <c r="E844" s="14" t="str">
        <f t="shared" si="3"/>
        <v/>
      </c>
      <c r="F844" s="7" t="str">
        <f>IF($A844&lt;&gt;"",MAXIFS(Token!$C:$C,Token!$A:$A,$D844),)</f>
        <v/>
      </c>
    </row>
    <row r="845">
      <c r="A845" s="39" t="str">
        <f>IF(AND($L845*1&gt;=$G$3,$L845*1&lt;=$G$4,$I845*$J845&gt;0,OR($I845&lt;&gt;$I846,$L845-$L846&gt;25),IF(ABS($I845)&gt;10,$I845/POW(10,$J845),$J845/POW(10,$I845))*MAXIFS(Token!$C:$C,Token!$A:$A,$K845)&gt;0.01),$L845/86400+DATE(1970,1,1)+$G$6,)</f>
        <v/>
      </c>
      <c r="B845" s="27" t="str">
        <f t="shared" si="1"/>
        <v/>
      </c>
      <c r="C845" s="14" t="str">
        <f>IF($A845&lt;&gt;"",MINIFS(Merchant!$A:$A,Merchant!$B:$B,$G$2),)</f>
        <v/>
      </c>
      <c r="D845" s="14" t="str">
        <f t="shared" si="2"/>
        <v/>
      </c>
      <c r="E845" s="14" t="str">
        <f t="shared" si="3"/>
        <v/>
      </c>
      <c r="F845" s="7" t="str">
        <f>IF($A845&lt;&gt;"",MAXIFS(Token!$C:$C,Token!$A:$A,$D845),)</f>
        <v/>
      </c>
    </row>
    <row r="846">
      <c r="A846" s="39" t="str">
        <f>IF(AND($L846*1&gt;=$G$3,$L846*1&lt;=$G$4,$I846*$J846&gt;0,OR($I846&lt;&gt;$I847,$L846-$L847&gt;25),IF(ABS($I846)&gt;10,$I846/POW(10,$J846),$J846/POW(10,$I846))*MAXIFS(Token!$C:$C,Token!$A:$A,$K846)&gt;0.01),$L846/86400+DATE(1970,1,1)+$G$6,)</f>
        <v/>
      </c>
      <c r="B846" s="27" t="str">
        <f t="shared" si="1"/>
        <v/>
      </c>
      <c r="C846" s="14" t="str">
        <f>IF($A846&lt;&gt;"",MINIFS(Merchant!$A:$A,Merchant!$B:$B,$G$2),)</f>
        <v/>
      </c>
      <c r="D846" s="14" t="str">
        <f t="shared" si="2"/>
        <v/>
      </c>
      <c r="E846" s="14" t="str">
        <f t="shared" si="3"/>
        <v/>
      </c>
      <c r="F846" s="7" t="str">
        <f>IF($A846&lt;&gt;"",MAXIFS(Token!$C:$C,Token!$A:$A,$D846),)</f>
        <v/>
      </c>
    </row>
    <row r="847">
      <c r="A847" s="39" t="str">
        <f>IF(AND($L847*1&gt;=$G$3,$L847*1&lt;=$G$4,$I847*$J847&gt;0,OR($I847&lt;&gt;$I848,$L847-$L848&gt;25),IF(ABS($I847)&gt;10,$I847/POW(10,$J847),$J847/POW(10,$I847))*MAXIFS(Token!$C:$C,Token!$A:$A,$K847)&gt;0.01),$L847/86400+DATE(1970,1,1)+$G$6,)</f>
        <v/>
      </c>
      <c r="B847" s="27" t="str">
        <f t="shared" si="1"/>
        <v/>
      </c>
      <c r="C847" s="14" t="str">
        <f>IF($A847&lt;&gt;"",MINIFS(Merchant!$A:$A,Merchant!$B:$B,$G$2),)</f>
        <v/>
      </c>
      <c r="D847" s="14" t="str">
        <f t="shared" si="2"/>
        <v/>
      </c>
      <c r="E847" s="14" t="str">
        <f t="shared" si="3"/>
        <v/>
      </c>
      <c r="F847" s="7" t="str">
        <f>IF($A847&lt;&gt;"",MAXIFS(Token!$C:$C,Token!$A:$A,$D847),)</f>
        <v/>
      </c>
    </row>
    <row r="848">
      <c r="A848" s="39" t="str">
        <f>IF(AND($L848*1&gt;=$G$3,$L848*1&lt;=$G$4,$I848*$J848&gt;0,OR($I848&lt;&gt;$I849,$L848-$L849&gt;25),IF(ABS($I848)&gt;10,$I848/POW(10,$J848),$J848/POW(10,$I848))*MAXIFS(Token!$C:$C,Token!$A:$A,$K848)&gt;0.01),$L848/86400+DATE(1970,1,1)+$G$6,)</f>
        <v/>
      </c>
      <c r="B848" s="27" t="str">
        <f t="shared" si="1"/>
        <v/>
      </c>
      <c r="C848" s="14" t="str">
        <f>IF($A848&lt;&gt;"",MINIFS(Merchant!$A:$A,Merchant!$B:$B,$G$2),)</f>
        <v/>
      </c>
      <c r="D848" s="14" t="str">
        <f t="shared" si="2"/>
        <v/>
      </c>
      <c r="E848" s="14" t="str">
        <f t="shared" si="3"/>
        <v/>
      </c>
      <c r="F848" s="7" t="str">
        <f>IF($A848&lt;&gt;"",MAXIFS(Token!$C:$C,Token!$A:$A,$D848),)</f>
        <v/>
      </c>
    </row>
    <row r="849">
      <c r="A849" s="39" t="str">
        <f>IF(AND($L849*1&gt;=$G$3,$L849*1&lt;=$G$4,$I849*$J849&gt;0,OR($I849&lt;&gt;$I850,$L849-$L850&gt;25),IF(ABS($I849)&gt;10,$I849/POW(10,$J849),$J849/POW(10,$I849))*MAXIFS(Token!$C:$C,Token!$A:$A,$K849)&gt;0.01),$L849/86400+DATE(1970,1,1)+$G$6,)</f>
        <v/>
      </c>
      <c r="B849" s="27" t="str">
        <f t="shared" si="1"/>
        <v/>
      </c>
      <c r="C849" s="14" t="str">
        <f>IF($A849&lt;&gt;"",MINIFS(Merchant!$A:$A,Merchant!$B:$B,$G$2),)</f>
        <v/>
      </c>
      <c r="D849" s="14" t="str">
        <f t="shared" si="2"/>
        <v/>
      </c>
      <c r="E849" s="14" t="str">
        <f t="shared" si="3"/>
        <v/>
      </c>
      <c r="F849" s="7" t="str">
        <f>IF($A849&lt;&gt;"",MAXIFS(Token!$C:$C,Token!$A:$A,$D849),)</f>
        <v/>
      </c>
    </row>
    <row r="850">
      <c r="A850" s="39" t="str">
        <f>IF(AND($L850*1&gt;=$G$3,$L850*1&lt;=$G$4,$I850*$J850&gt;0,OR($I850&lt;&gt;$I851,$L850-$L851&gt;25),IF(ABS($I850)&gt;10,$I850/POW(10,$J850),$J850/POW(10,$I850))*MAXIFS(Token!$C:$C,Token!$A:$A,$K850)&gt;0.01),$L850/86400+DATE(1970,1,1)+$G$6,)</f>
        <v/>
      </c>
      <c r="B850" s="27" t="str">
        <f t="shared" si="1"/>
        <v/>
      </c>
      <c r="C850" s="14" t="str">
        <f>IF($A850&lt;&gt;"",MINIFS(Merchant!$A:$A,Merchant!$B:$B,$G$2),)</f>
        <v/>
      </c>
      <c r="D850" s="14" t="str">
        <f t="shared" si="2"/>
        <v/>
      </c>
      <c r="E850" s="14" t="str">
        <f t="shared" si="3"/>
        <v/>
      </c>
      <c r="F850" s="7" t="str">
        <f>IF($A850&lt;&gt;"",MAXIFS(Token!$C:$C,Token!$A:$A,$D850),)</f>
        <v/>
      </c>
    </row>
    <row r="851">
      <c r="A851" s="39" t="str">
        <f>IF(AND($L851*1&gt;=$G$3,$L851*1&lt;=$G$4,$I851*$J851&gt;0,OR($I851&lt;&gt;$I852,$L851-$L852&gt;25),IF(ABS($I851)&gt;10,$I851/POW(10,$J851),$J851/POW(10,$I851))*MAXIFS(Token!$C:$C,Token!$A:$A,$K851)&gt;0.01),$L851/86400+DATE(1970,1,1)+$G$6,)</f>
        <v/>
      </c>
      <c r="B851" s="27" t="str">
        <f t="shared" si="1"/>
        <v/>
      </c>
      <c r="C851" s="14" t="str">
        <f>IF($A851&lt;&gt;"",MINIFS(Merchant!$A:$A,Merchant!$B:$B,$G$2),)</f>
        <v/>
      </c>
      <c r="D851" s="14" t="str">
        <f t="shared" si="2"/>
        <v/>
      </c>
      <c r="E851" s="14" t="str">
        <f t="shared" si="3"/>
        <v/>
      </c>
      <c r="F851" s="7" t="str">
        <f>IF($A851&lt;&gt;"",MAXIFS(Token!$C:$C,Token!$A:$A,$D851),)</f>
        <v/>
      </c>
    </row>
    <row r="852">
      <c r="A852" s="39" t="str">
        <f>IF(AND($L852*1&gt;=$G$3,$L852*1&lt;=$G$4,$I852*$J852&gt;0,OR($I852&lt;&gt;$I853,$L852-$L853&gt;25),IF(ABS($I852)&gt;10,$I852/POW(10,$J852),$J852/POW(10,$I852))*MAXIFS(Token!$C:$C,Token!$A:$A,$K852)&gt;0.01),$L852/86400+DATE(1970,1,1)+$G$6,)</f>
        <v/>
      </c>
      <c r="B852" s="27" t="str">
        <f t="shared" si="1"/>
        <v/>
      </c>
      <c r="C852" s="14" t="str">
        <f>IF($A852&lt;&gt;"",MINIFS(Merchant!$A:$A,Merchant!$B:$B,$G$2),)</f>
        <v/>
      </c>
      <c r="D852" s="14" t="str">
        <f t="shared" si="2"/>
        <v/>
      </c>
      <c r="E852" s="14" t="str">
        <f t="shared" si="3"/>
        <v/>
      </c>
      <c r="F852" s="7" t="str">
        <f>IF($A852&lt;&gt;"",MAXIFS(Token!$C:$C,Token!$A:$A,$D852),)</f>
        <v/>
      </c>
    </row>
    <row r="853">
      <c r="A853" s="39" t="str">
        <f>IF(AND($L853*1&gt;=$G$3,$L853*1&lt;=$G$4,$I853*$J853&gt;0,OR($I853&lt;&gt;$I854,$L853-$L854&gt;25),IF(ABS($I853)&gt;10,$I853/POW(10,$J853),$J853/POW(10,$I853))*MAXIFS(Token!$C:$C,Token!$A:$A,$K853)&gt;0.01),$L853/86400+DATE(1970,1,1)+$G$6,)</f>
        <v/>
      </c>
      <c r="B853" s="27" t="str">
        <f t="shared" si="1"/>
        <v/>
      </c>
      <c r="C853" s="14" t="str">
        <f>IF($A853&lt;&gt;"",MINIFS(Merchant!$A:$A,Merchant!$B:$B,$G$2),)</f>
        <v/>
      </c>
      <c r="D853" s="14" t="str">
        <f t="shared" si="2"/>
        <v/>
      </c>
      <c r="E853" s="14" t="str">
        <f t="shared" si="3"/>
        <v/>
      </c>
      <c r="F853" s="7" t="str">
        <f>IF($A853&lt;&gt;"",MAXIFS(Token!$C:$C,Token!$A:$A,$D853),)</f>
        <v/>
      </c>
    </row>
    <row r="854">
      <c r="A854" s="39" t="str">
        <f>IF(AND($L854*1&gt;=$G$3,$L854*1&lt;=$G$4,$I854*$J854&gt;0,OR($I854&lt;&gt;$I855,$L854-$L855&gt;25),IF(ABS($I854)&gt;10,$I854/POW(10,$J854),$J854/POW(10,$I854))*MAXIFS(Token!$C:$C,Token!$A:$A,$K854)&gt;0.01),$L854/86400+DATE(1970,1,1)+$G$6,)</f>
        <v/>
      </c>
      <c r="B854" s="27" t="str">
        <f t="shared" si="1"/>
        <v/>
      </c>
      <c r="C854" s="14" t="str">
        <f>IF($A854&lt;&gt;"",MINIFS(Merchant!$A:$A,Merchant!$B:$B,$G$2),)</f>
        <v/>
      </c>
      <c r="D854" s="14" t="str">
        <f t="shared" si="2"/>
        <v/>
      </c>
      <c r="E854" s="14" t="str">
        <f t="shared" si="3"/>
        <v/>
      </c>
      <c r="F854" s="7" t="str">
        <f>IF($A854&lt;&gt;"",MAXIFS(Token!$C:$C,Token!$A:$A,$D854),)</f>
        <v/>
      </c>
    </row>
    <row r="855">
      <c r="A855" s="39" t="str">
        <f>IF(AND($L855*1&gt;=$G$3,$L855*1&lt;=$G$4,$I855*$J855&gt;0,OR($I855&lt;&gt;$I856,$L855-$L856&gt;25),IF(ABS($I855)&gt;10,$I855/POW(10,$J855),$J855/POW(10,$I855))*MAXIFS(Token!$C:$C,Token!$A:$A,$K855)&gt;0.01),$L855/86400+DATE(1970,1,1)+$G$6,)</f>
        <v/>
      </c>
      <c r="B855" s="27" t="str">
        <f t="shared" si="1"/>
        <v/>
      </c>
      <c r="C855" s="14" t="str">
        <f>IF($A855&lt;&gt;"",MINIFS(Merchant!$A:$A,Merchant!$B:$B,$G$2),)</f>
        <v/>
      </c>
      <c r="D855" s="14" t="str">
        <f t="shared" si="2"/>
        <v/>
      </c>
      <c r="E855" s="14" t="str">
        <f t="shared" si="3"/>
        <v/>
      </c>
      <c r="F855" s="7" t="str">
        <f>IF($A855&lt;&gt;"",MAXIFS(Token!$C:$C,Token!$A:$A,$D855),)</f>
        <v/>
      </c>
    </row>
    <row r="856">
      <c r="A856" s="39" t="str">
        <f>IF(AND($L856*1&gt;=$G$3,$L856*1&lt;=$G$4,$I856*$J856&gt;0,OR($I856&lt;&gt;$I857,$L856-$L857&gt;25),IF(ABS($I856)&gt;10,$I856/POW(10,$J856),$J856/POW(10,$I856))*MAXIFS(Token!$C:$C,Token!$A:$A,$K856)&gt;0.01),$L856/86400+DATE(1970,1,1)+$G$6,)</f>
        <v/>
      </c>
      <c r="B856" s="27" t="str">
        <f t="shared" si="1"/>
        <v/>
      </c>
      <c r="C856" s="14" t="str">
        <f>IF($A856&lt;&gt;"",MINIFS(Merchant!$A:$A,Merchant!$B:$B,$G$2),)</f>
        <v/>
      </c>
      <c r="D856" s="14" t="str">
        <f t="shared" si="2"/>
        <v/>
      </c>
      <c r="E856" s="14" t="str">
        <f t="shared" si="3"/>
        <v/>
      </c>
      <c r="F856" s="7" t="str">
        <f>IF($A856&lt;&gt;"",MAXIFS(Token!$C:$C,Token!$A:$A,$D856),)</f>
        <v/>
      </c>
    </row>
    <row r="857">
      <c r="A857" s="39" t="str">
        <f>IF(AND($L857*1&gt;=$G$3,$L857*1&lt;=$G$4,$I857*$J857&gt;0,OR($I857&lt;&gt;$I858,$L857-$L858&gt;25),IF(ABS($I857)&gt;10,$I857/POW(10,$J857),$J857/POW(10,$I857))*MAXIFS(Token!$C:$C,Token!$A:$A,$K857)&gt;0.01),$L857/86400+DATE(1970,1,1)+$G$6,)</f>
        <v/>
      </c>
      <c r="B857" s="27" t="str">
        <f t="shared" si="1"/>
        <v/>
      </c>
      <c r="C857" s="14" t="str">
        <f>IF($A857&lt;&gt;"",MINIFS(Merchant!$A:$A,Merchant!$B:$B,$G$2),)</f>
        <v/>
      </c>
      <c r="D857" s="14" t="str">
        <f t="shared" si="2"/>
        <v/>
      </c>
      <c r="E857" s="14" t="str">
        <f t="shared" si="3"/>
        <v/>
      </c>
      <c r="F857" s="7" t="str">
        <f>IF($A857&lt;&gt;"",MAXIFS(Token!$C:$C,Token!$A:$A,$D857),)</f>
        <v/>
      </c>
    </row>
    <row r="858">
      <c r="A858" s="39" t="str">
        <f>IF(AND($L858*1&gt;=$G$3,$L858*1&lt;=$G$4,$I858*$J858&gt;0,OR($I858&lt;&gt;$I859,$L858-$L859&gt;25),IF(ABS($I858)&gt;10,$I858/POW(10,$J858),$J858/POW(10,$I858))*MAXIFS(Token!$C:$C,Token!$A:$A,$K858)&gt;0.01),$L858/86400+DATE(1970,1,1)+$G$6,)</f>
        <v/>
      </c>
      <c r="B858" s="27" t="str">
        <f t="shared" si="1"/>
        <v/>
      </c>
      <c r="C858" s="14" t="str">
        <f>IF($A858&lt;&gt;"",MINIFS(Merchant!$A:$A,Merchant!$B:$B,$G$2),)</f>
        <v/>
      </c>
      <c r="D858" s="14" t="str">
        <f t="shared" si="2"/>
        <v/>
      </c>
      <c r="E858" s="14" t="str">
        <f t="shared" si="3"/>
        <v/>
      </c>
      <c r="F858" s="7" t="str">
        <f>IF($A858&lt;&gt;"",MAXIFS(Token!$C:$C,Token!$A:$A,$D858),)</f>
        <v/>
      </c>
    </row>
    <row r="859">
      <c r="A859" s="39" t="str">
        <f>IF(AND($L859*1&gt;=$G$3,$L859*1&lt;=$G$4,$I859*$J859&gt;0,OR($I859&lt;&gt;$I860,$L859-$L860&gt;25),IF(ABS($I859)&gt;10,$I859/POW(10,$J859),$J859/POW(10,$I859))*MAXIFS(Token!$C:$C,Token!$A:$A,$K859)&gt;0.01),$L859/86400+DATE(1970,1,1)+$G$6,)</f>
        <v/>
      </c>
      <c r="B859" s="27" t="str">
        <f t="shared" si="1"/>
        <v/>
      </c>
      <c r="C859" s="14" t="str">
        <f>IF($A859&lt;&gt;"",MINIFS(Merchant!$A:$A,Merchant!$B:$B,$G$2),)</f>
        <v/>
      </c>
      <c r="D859" s="14" t="str">
        <f t="shared" si="2"/>
        <v/>
      </c>
      <c r="E859" s="14" t="str">
        <f t="shared" si="3"/>
        <v/>
      </c>
      <c r="F859" s="7" t="str">
        <f>IF($A859&lt;&gt;"",MAXIFS(Token!$C:$C,Token!$A:$A,$D859),)</f>
        <v/>
      </c>
    </row>
    <row r="860">
      <c r="A860" s="39" t="str">
        <f>IF(AND($L860*1&gt;=$G$3,$L860*1&lt;=$G$4,$I860*$J860&gt;0,OR($I860&lt;&gt;$I861,$L860-$L861&gt;25),IF(ABS($I860)&gt;10,$I860/POW(10,$J860),$J860/POW(10,$I860))*MAXIFS(Token!$C:$C,Token!$A:$A,$K860)&gt;0.01),$L860/86400+DATE(1970,1,1)+$G$6,)</f>
        <v/>
      </c>
      <c r="B860" s="27" t="str">
        <f t="shared" si="1"/>
        <v/>
      </c>
      <c r="C860" s="14" t="str">
        <f>IF($A860&lt;&gt;"",MINIFS(Merchant!$A:$A,Merchant!$B:$B,$G$2),)</f>
        <v/>
      </c>
      <c r="D860" s="14" t="str">
        <f t="shared" si="2"/>
        <v/>
      </c>
      <c r="E860" s="14" t="str">
        <f t="shared" si="3"/>
        <v/>
      </c>
      <c r="F860" s="7" t="str">
        <f>IF($A860&lt;&gt;"",MAXIFS(Token!$C:$C,Token!$A:$A,$D860),)</f>
        <v/>
      </c>
    </row>
    <row r="861">
      <c r="A861" s="39" t="str">
        <f>IF(AND($L861*1&gt;=$G$3,$L861*1&lt;=$G$4,$I861*$J861&gt;0,OR($I861&lt;&gt;$I862,$L861-$L862&gt;25),IF(ABS($I861)&gt;10,$I861/POW(10,$J861),$J861/POW(10,$I861))*MAXIFS(Token!$C:$C,Token!$A:$A,$K861)&gt;0.01),$L861/86400+DATE(1970,1,1)+$G$6,)</f>
        <v/>
      </c>
      <c r="B861" s="27" t="str">
        <f t="shared" si="1"/>
        <v/>
      </c>
      <c r="C861" s="14" t="str">
        <f>IF($A861&lt;&gt;"",MINIFS(Merchant!$A:$A,Merchant!$B:$B,$G$2),)</f>
        <v/>
      </c>
      <c r="D861" s="14" t="str">
        <f t="shared" si="2"/>
        <v/>
      </c>
      <c r="E861" s="14" t="str">
        <f t="shared" si="3"/>
        <v/>
      </c>
      <c r="F861" s="7" t="str">
        <f>IF($A861&lt;&gt;"",MAXIFS(Token!$C:$C,Token!$A:$A,$D861),)</f>
        <v/>
      </c>
    </row>
    <row r="862">
      <c r="A862" s="39" t="str">
        <f>IF(AND($L862*1&gt;=$G$3,$L862*1&lt;=$G$4,$I862*$J862&gt;0,OR($I862&lt;&gt;$I863,$L862-$L863&gt;25),IF(ABS($I862)&gt;10,$I862/POW(10,$J862),$J862/POW(10,$I862))*MAXIFS(Token!$C:$C,Token!$A:$A,$K862)&gt;0.01),$L862/86400+DATE(1970,1,1)+$G$6,)</f>
        <v/>
      </c>
      <c r="B862" s="27" t="str">
        <f t="shared" si="1"/>
        <v/>
      </c>
      <c r="C862" s="14" t="str">
        <f>IF($A862&lt;&gt;"",MINIFS(Merchant!$A:$A,Merchant!$B:$B,$G$2),)</f>
        <v/>
      </c>
      <c r="D862" s="14" t="str">
        <f t="shared" si="2"/>
        <v/>
      </c>
      <c r="E862" s="14" t="str">
        <f t="shared" si="3"/>
        <v/>
      </c>
      <c r="F862" s="7" t="str">
        <f>IF($A862&lt;&gt;"",MAXIFS(Token!$C:$C,Token!$A:$A,$D862),)</f>
        <v/>
      </c>
    </row>
    <row r="863">
      <c r="A863" s="39" t="str">
        <f>IF(AND($L863*1&gt;=$G$3,$L863*1&lt;=$G$4,$I863*$J863&gt;0,OR($I863&lt;&gt;$I864,$L863-$L864&gt;25),IF(ABS($I863)&gt;10,$I863/POW(10,$J863),$J863/POW(10,$I863))*MAXIFS(Token!$C:$C,Token!$A:$A,$K863)&gt;0.01),$L863/86400+DATE(1970,1,1)+$G$6,)</f>
        <v/>
      </c>
      <c r="B863" s="27" t="str">
        <f t="shared" si="1"/>
        <v/>
      </c>
      <c r="C863" s="14" t="str">
        <f>IF($A863&lt;&gt;"",MINIFS(Merchant!$A:$A,Merchant!$B:$B,$G$2),)</f>
        <v/>
      </c>
      <c r="D863" s="14" t="str">
        <f t="shared" si="2"/>
        <v/>
      </c>
      <c r="E863" s="14" t="str">
        <f t="shared" si="3"/>
        <v/>
      </c>
      <c r="F863" s="7" t="str">
        <f>IF($A863&lt;&gt;"",MAXIFS(Token!$C:$C,Token!$A:$A,$D863),)</f>
        <v/>
      </c>
    </row>
    <row r="864">
      <c r="A864" s="39" t="str">
        <f>IF(AND($L864*1&gt;=$G$3,$L864*1&lt;=$G$4,$I864*$J864&gt;0,OR($I864&lt;&gt;$I865,$L864-$L865&gt;25),IF(ABS($I864)&gt;10,$I864/POW(10,$J864),$J864/POW(10,$I864))*MAXIFS(Token!$C:$C,Token!$A:$A,$K864)&gt;0.01),$L864/86400+DATE(1970,1,1)+$G$6,)</f>
        <v/>
      </c>
      <c r="B864" s="27" t="str">
        <f t="shared" si="1"/>
        <v/>
      </c>
      <c r="C864" s="14" t="str">
        <f>IF($A864&lt;&gt;"",MINIFS(Merchant!$A:$A,Merchant!$B:$B,$G$2),)</f>
        <v/>
      </c>
      <c r="D864" s="14" t="str">
        <f t="shared" si="2"/>
        <v/>
      </c>
      <c r="E864" s="14" t="str">
        <f t="shared" si="3"/>
        <v/>
      </c>
      <c r="F864" s="7" t="str">
        <f>IF($A864&lt;&gt;"",MAXIFS(Token!$C:$C,Token!$A:$A,$D864),)</f>
        <v/>
      </c>
    </row>
    <row r="865">
      <c r="A865" s="39" t="str">
        <f>IF(AND($L865*1&gt;=$G$3,$L865*1&lt;=$G$4,$I865*$J865&gt;0,OR($I865&lt;&gt;$I866,$L865-$L866&gt;25),IF(ABS($I865)&gt;10,$I865/POW(10,$J865),$J865/POW(10,$I865))*MAXIFS(Token!$C:$C,Token!$A:$A,$K865)&gt;0.01),$L865/86400+DATE(1970,1,1)+$G$6,)</f>
        <v/>
      </c>
      <c r="B865" s="27" t="str">
        <f t="shared" si="1"/>
        <v/>
      </c>
      <c r="C865" s="14" t="str">
        <f>IF($A865&lt;&gt;"",MINIFS(Merchant!$A:$A,Merchant!$B:$B,$G$2),)</f>
        <v/>
      </c>
      <c r="D865" s="14" t="str">
        <f t="shared" si="2"/>
        <v/>
      </c>
      <c r="E865" s="14" t="str">
        <f t="shared" si="3"/>
        <v/>
      </c>
      <c r="F865" s="7" t="str">
        <f>IF($A865&lt;&gt;"",MAXIFS(Token!$C:$C,Token!$A:$A,$D865),)</f>
        <v/>
      </c>
    </row>
    <row r="866">
      <c r="A866" s="39" t="str">
        <f>IF(AND($L866*1&gt;=$G$3,$L866*1&lt;=$G$4,$I866*$J866&gt;0,OR($I866&lt;&gt;$I867,$L866-$L867&gt;25),IF(ABS($I866)&gt;10,$I866/POW(10,$J866),$J866/POW(10,$I866))*MAXIFS(Token!$C:$C,Token!$A:$A,$K866)&gt;0.01),$L866/86400+DATE(1970,1,1)+$G$6,)</f>
        <v/>
      </c>
      <c r="B866" s="27" t="str">
        <f t="shared" si="1"/>
        <v/>
      </c>
      <c r="C866" s="14" t="str">
        <f>IF($A866&lt;&gt;"",MINIFS(Merchant!$A:$A,Merchant!$B:$B,$G$2),)</f>
        <v/>
      </c>
      <c r="D866" s="14" t="str">
        <f t="shared" si="2"/>
        <v/>
      </c>
      <c r="E866" s="14" t="str">
        <f t="shared" si="3"/>
        <v/>
      </c>
      <c r="F866" s="7" t="str">
        <f>IF($A866&lt;&gt;"",MAXIFS(Token!$C:$C,Token!$A:$A,$D866),)</f>
        <v/>
      </c>
    </row>
    <row r="867">
      <c r="A867" s="39" t="str">
        <f>IF(AND($L867*1&gt;=$G$3,$L867*1&lt;=$G$4,$I867*$J867&gt;0,OR($I867&lt;&gt;$I868,$L867-$L868&gt;25),IF(ABS($I867)&gt;10,$I867/POW(10,$J867),$J867/POW(10,$I867))*MAXIFS(Token!$C:$C,Token!$A:$A,$K867)&gt;0.01),$L867/86400+DATE(1970,1,1)+$G$6,)</f>
        <v/>
      </c>
      <c r="B867" s="27" t="str">
        <f t="shared" si="1"/>
        <v/>
      </c>
      <c r="C867" s="14" t="str">
        <f>IF($A867&lt;&gt;"",MINIFS(Merchant!$A:$A,Merchant!$B:$B,$G$2),)</f>
        <v/>
      </c>
      <c r="D867" s="14" t="str">
        <f t="shared" si="2"/>
        <v/>
      </c>
      <c r="E867" s="14" t="str">
        <f t="shared" si="3"/>
        <v/>
      </c>
      <c r="F867" s="7" t="str">
        <f>IF($A867&lt;&gt;"",MAXIFS(Token!$C:$C,Token!$A:$A,$D867),)</f>
        <v/>
      </c>
    </row>
    <row r="868">
      <c r="A868" s="39" t="str">
        <f>IF(AND($L868*1&gt;=$G$3,$L868*1&lt;=$G$4,$I868*$J868&gt;0,OR($I868&lt;&gt;$I869,$L868-$L869&gt;25),IF(ABS($I868)&gt;10,$I868/POW(10,$J868),$J868/POW(10,$I868))*MAXIFS(Token!$C:$C,Token!$A:$A,$K868)&gt;0.01),$L868/86400+DATE(1970,1,1)+$G$6,)</f>
        <v/>
      </c>
      <c r="B868" s="27" t="str">
        <f t="shared" si="1"/>
        <v/>
      </c>
      <c r="C868" s="14" t="str">
        <f>IF($A868&lt;&gt;"",MINIFS(Merchant!$A:$A,Merchant!$B:$B,$G$2),)</f>
        <v/>
      </c>
      <c r="D868" s="14" t="str">
        <f t="shared" si="2"/>
        <v/>
      </c>
      <c r="E868" s="14" t="str">
        <f t="shared" si="3"/>
        <v/>
      </c>
      <c r="F868" s="7" t="str">
        <f>IF($A868&lt;&gt;"",MAXIFS(Token!$C:$C,Token!$A:$A,$D868),)</f>
        <v/>
      </c>
    </row>
    <row r="869">
      <c r="A869" s="39" t="str">
        <f>IF(AND($L869*1&gt;=$G$3,$L869*1&lt;=$G$4,$I869*$J869&gt;0,OR($I869&lt;&gt;$I870,$L869-$L870&gt;25),IF(ABS($I869)&gt;10,$I869/POW(10,$J869),$J869/POW(10,$I869))*MAXIFS(Token!$C:$C,Token!$A:$A,$K869)&gt;0.01),$L869/86400+DATE(1970,1,1)+$G$6,)</f>
        <v/>
      </c>
      <c r="B869" s="27" t="str">
        <f t="shared" si="1"/>
        <v/>
      </c>
      <c r="C869" s="14" t="str">
        <f>IF($A869&lt;&gt;"",MINIFS(Merchant!$A:$A,Merchant!$B:$B,$G$2),)</f>
        <v/>
      </c>
      <c r="D869" s="14" t="str">
        <f t="shared" si="2"/>
        <v/>
      </c>
      <c r="E869" s="14" t="str">
        <f t="shared" si="3"/>
        <v/>
      </c>
      <c r="F869" s="7" t="str">
        <f>IF($A869&lt;&gt;"",MAXIFS(Token!$C:$C,Token!$A:$A,$D869),)</f>
        <v/>
      </c>
    </row>
    <row r="870">
      <c r="A870" s="39" t="str">
        <f>IF(AND($L870*1&gt;=$G$3,$L870*1&lt;=$G$4,$I870*$J870&gt;0,OR($I870&lt;&gt;$I871,$L870-$L871&gt;25),IF(ABS($I870)&gt;10,$I870/POW(10,$J870),$J870/POW(10,$I870))*MAXIFS(Token!$C:$C,Token!$A:$A,$K870)&gt;0.01),$L870/86400+DATE(1970,1,1)+$G$6,)</f>
        <v/>
      </c>
      <c r="B870" s="27" t="str">
        <f t="shared" si="1"/>
        <v/>
      </c>
      <c r="C870" s="14" t="str">
        <f>IF($A870&lt;&gt;"",MINIFS(Merchant!$A:$A,Merchant!$B:$B,$G$2),)</f>
        <v/>
      </c>
      <c r="D870" s="14" t="str">
        <f t="shared" si="2"/>
        <v/>
      </c>
      <c r="E870" s="14" t="str">
        <f t="shared" si="3"/>
        <v/>
      </c>
      <c r="F870" s="7" t="str">
        <f>IF($A870&lt;&gt;"",MAXIFS(Token!$C:$C,Token!$A:$A,$D870),)</f>
        <v/>
      </c>
    </row>
    <row r="871">
      <c r="A871" s="39" t="str">
        <f>IF(AND($L871*1&gt;=$G$3,$L871*1&lt;=$G$4,$I871*$J871&gt;0,OR($I871&lt;&gt;$I872,$L871-$L872&gt;25),IF(ABS($I871)&gt;10,$I871/POW(10,$J871),$J871/POW(10,$I871))*MAXIFS(Token!$C:$C,Token!$A:$A,$K871)&gt;0.01),$L871/86400+DATE(1970,1,1)+$G$6,)</f>
        <v/>
      </c>
      <c r="B871" s="27" t="str">
        <f t="shared" si="1"/>
        <v/>
      </c>
      <c r="C871" s="14" t="str">
        <f>IF($A871&lt;&gt;"",MINIFS(Merchant!$A:$A,Merchant!$B:$B,$G$2),)</f>
        <v/>
      </c>
      <c r="D871" s="14" t="str">
        <f t="shared" si="2"/>
        <v/>
      </c>
      <c r="E871" s="14" t="str">
        <f t="shared" si="3"/>
        <v/>
      </c>
      <c r="F871" s="7" t="str">
        <f>IF($A871&lt;&gt;"",MAXIFS(Token!$C:$C,Token!$A:$A,$D871),)</f>
        <v/>
      </c>
    </row>
    <row r="872">
      <c r="A872" s="39" t="str">
        <f>IF(AND($L872*1&gt;=$G$3,$L872*1&lt;=$G$4,$I872*$J872&gt;0,OR($I872&lt;&gt;$I873,$L872-$L873&gt;25),IF(ABS($I872)&gt;10,$I872/POW(10,$J872),$J872/POW(10,$I872))*MAXIFS(Token!$C:$C,Token!$A:$A,$K872)&gt;0.01),$L872/86400+DATE(1970,1,1)+$G$6,)</f>
        <v/>
      </c>
      <c r="B872" s="27" t="str">
        <f t="shared" si="1"/>
        <v/>
      </c>
      <c r="C872" s="14" t="str">
        <f>IF($A872&lt;&gt;"",MINIFS(Merchant!$A:$A,Merchant!$B:$B,$G$2),)</f>
        <v/>
      </c>
      <c r="D872" s="14" t="str">
        <f t="shared" si="2"/>
        <v/>
      </c>
      <c r="E872" s="14" t="str">
        <f t="shared" si="3"/>
        <v/>
      </c>
      <c r="F872" s="7" t="str">
        <f>IF($A872&lt;&gt;"",MAXIFS(Token!$C:$C,Token!$A:$A,$D872),)</f>
        <v/>
      </c>
    </row>
    <row r="873">
      <c r="A873" s="39" t="str">
        <f>IF(AND($L873*1&gt;=$G$3,$L873*1&lt;=$G$4,$I873*$J873&gt;0,OR($I873&lt;&gt;$I874,$L873-$L874&gt;25),IF(ABS($I873)&gt;10,$I873/POW(10,$J873),$J873/POW(10,$I873))*MAXIFS(Token!$C:$C,Token!$A:$A,$K873)&gt;0.01),$L873/86400+DATE(1970,1,1)+$G$6,)</f>
        <v/>
      </c>
      <c r="B873" s="27" t="str">
        <f t="shared" si="1"/>
        <v/>
      </c>
      <c r="C873" s="14" t="str">
        <f>IF($A873&lt;&gt;"",MINIFS(Merchant!$A:$A,Merchant!$B:$B,$G$2),)</f>
        <v/>
      </c>
      <c r="D873" s="14" t="str">
        <f t="shared" si="2"/>
        <v/>
      </c>
      <c r="E873" s="14" t="str">
        <f t="shared" si="3"/>
        <v/>
      </c>
      <c r="F873" s="7" t="str">
        <f>IF($A873&lt;&gt;"",MAXIFS(Token!$C:$C,Token!$A:$A,$D873),)</f>
        <v/>
      </c>
    </row>
    <row r="874">
      <c r="A874" s="39" t="str">
        <f>IF(AND($L874*1&gt;=$G$3,$L874*1&lt;=$G$4,$I874*$J874&gt;0,OR($I874&lt;&gt;$I875,$L874-$L875&gt;25),IF(ABS($I874)&gt;10,$I874/POW(10,$J874),$J874/POW(10,$I874))*MAXIFS(Token!$C:$C,Token!$A:$A,$K874)&gt;0.01),$L874/86400+DATE(1970,1,1)+$G$6,)</f>
        <v/>
      </c>
      <c r="B874" s="27" t="str">
        <f t="shared" si="1"/>
        <v/>
      </c>
      <c r="C874" s="14" t="str">
        <f>IF($A874&lt;&gt;"",MINIFS(Merchant!$A:$A,Merchant!$B:$B,$G$2),)</f>
        <v/>
      </c>
      <c r="D874" s="14" t="str">
        <f t="shared" si="2"/>
        <v/>
      </c>
      <c r="E874" s="14" t="str">
        <f t="shared" si="3"/>
        <v/>
      </c>
      <c r="F874" s="7" t="str">
        <f>IF($A874&lt;&gt;"",MAXIFS(Token!$C:$C,Token!$A:$A,$D874),)</f>
        <v/>
      </c>
    </row>
    <row r="875">
      <c r="A875" s="39" t="str">
        <f>IF(AND($L875*1&gt;=$G$3,$L875*1&lt;=$G$4,$I875*$J875&gt;0,OR($I875&lt;&gt;$I876,$L875-$L876&gt;25),IF(ABS($I875)&gt;10,$I875/POW(10,$J875),$J875/POW(10,$I875))*MAXIFS(Token!$C:$C,Token!$A:$A,$K875)&gt;0.01),$L875/86400+DATE(1970,1,1)+$G$6,)</f>
        <v/>
      </c>
      <c r="B875" s="27" t="str">
        <f t="shared" si="1"/>
        <v/>
      </c>
      <c r="C875" s="14" t="str">
        <f>IF($A875&lt;&gt;"",MINIFS(Merchant!$A:$A,Merchant!$B:$B,$G$2),)</f>
        <v/>
      </c>
      <c r="D875" s="14" t="str">
        <f t="shared" si="2"/>
        <v/>
      </c>
      <c r="E875" s="14" t="str">
        <f t="shared" si="3"/>
        <v/>
      </c>
      <c r="F875" s="7" t="str">
        <f>IF($A875&lt;&gt;"",MAXIFS(Token!$C:$C,Token!$A:$A,$D875),)</f>
        <v/>
      </c>
    </row>
    <row r="876">
      <c r="A876" s="39" t="str">
        <f>IF(AND($L876*1&gt;=$G$3,$L876*1&lt;=$G$4,$I876*$J876&gt;0,OR($I876&lt;&gt;$I877,$L876-$L877&gt;25),IF(ABS($I876)&gt;10,$I876/POW(10,$J876),$J876/POW(10,$I876))*MAXIFS(Token!$C:$C,Token!$A:$A,$K876)&gt;0.01),$L876/86400+DATE(1970,1,1)+$G$6,)</f>
        <v/>
      </c>
      <c r="B876" s="27" t="str">
        <f t="shared" si="1"/>
        <v/>
      </c>
      <c r="C876" s="14" t="str">
        <f>IF($A876&lt;&gt;"",MINIFS(Merchant!$A:$A,Merchant!$B:$B,$G$2),)</f>
        <v/>
      </c>
      <c r="D876" s="14" t="str">
        <f t="shared" si="2"/>
        <v/>
      </c>
      <c r="E876" s="14" t="str">
        <f t="shared" si="3"/>
        <v/>
      </c>
      <c r="F876" s="7" t="str">
        <f>IF($A876&lt;&gt;"",MAXIFS(Token!$C:$C,Token!$A:$A,$D876),)</f>
        <v/>
      </c>
    </row>
    <row r="877">
      <c r="A877" s="39" t="str">
        <f>IF(AND($L877*1&gt;=$G$3,$L877*1&lt;=$G$4,$I877*$J877&gt;0,OR($I877&lt;&gt;$I878,$L877-$L878&gt;25),IF(ABS($I877)&gt;10,$I877/POW(10,$J877),$J877/POW(10,$I877))*MAXIFS(Token!$C:$C,Token!$A:$A,$K877)&gt;0.01),$L877/86400+DATE(1970,1,1)+$G$6,)</f>
        <v/>
      </c>
      <c r="B877" s="27" t="str">
        <f t="shared" si="1"/>
        <v/>
      </c>
      <c r="C877" s="14" t="str">
        <f>IF($A877&lt;&gt;"",MINIFS(Merchant!$A:$A,Merchant!$B:$B,$G$2),)</f>
        <v/>
      </c>
      <c r="D877" s="14" t="str">
        <f t="shared" si="2"/>
        <v/>
      </c>
      <c r="E877" s="14" t="str">
        <f t="shared" si="3"/>
        <v/>
      </c>
      <c r="F877" s="7" t="str">
        <f>IF($A877&lt;&gt;"",MAXIFS(Token!$C:$C,Token!$A:$A,$D877),)</f>
        <v/>
      </c>
    </row>
    <row r="878">
      <c r="A878" s="39" t="str">
        <f>IF(AND($L878*1&gt;=$G$3,$L878*1&lt;=$G$4,$I878*$J878&gt;0,OR($I878&lt;&gt;$I879,$L878-$L879&gt;25),IF(ABS($I878)&gt;10,$I878/POW(10,$J878),$J878/POW(10,$I878))*MAXIFS(Token!$C:$C,Token!$A:$A,$K878)&gt;0.01),$L878/86400+DATE(1970,1,1)+$G$6,)</f>
        <v/>
      </c>
      <c r="B878" s="27" t="str">
        <f t="shared" si="1"/>
        <v/>
      </c>
      <c r="C878" s="14" t="str">
        <f>IF($A878&lt;&gt;"",MINIFS(Merchant!$A:$A,Merchant!$B:$B,$G$2),)</f>
        <v/>
      </c>
      <c r="D878" s="14" t="str">
        <f t="shared" si="2"/>
        <v/>
      </c>
      <c r="E878" s="14" t="str">
        <f t="shared" si="3"/>
        <v/>
      </c>
      <c r="F878" s="7" t="str">
        <f>IF($A878&lt;&gt;"",MAXIFS(Token!$C:$C,Token!$A:$A,$D878),)</f>
        <v/>
      </c>
    </row>
    <row r="879">
      <c r="A879" s="39" t="str">
        <f>IF(AND($L879*1&gt;=$G$3,$L879*1&lt;=$G$4,$I879*$J879&gt;0,OR($I879&lt;&gt;$I880,$L879-$L880&gt;25),IF(ABS($I879)&gt;10,$I879/POW(10,$J879),$J879/POW(10,$I879))*MAXIFS(Token!$C:$C,Token!$A:$A,$K879)&gt;0.01),$L879/86400+DATE(1970,1,1)+$G$6,)</f>
        <v/>
      </c>
      <c r="B879" s="27" t="str">
        <f t="shared" si="1"/>
        <v/>
      </c>
      <c r="C879" s="14" t="str">
        <f>IF($A879&lt;&gt;"",MINIFS(Merchant!$A:$A,Merchant!$B:$B,$G$2),)</f>
        <v/>
      </c>
      <c r="D879" s="14" t="str">
        <f t="shared" si="2"/>
        <v/>
      </c>
      <c r="E879" s="14" t="str">
        <f t="shared" si="3"/>
        <v/>
      </c>
      <c r="F879" s="7" t="str">
        <f>IF($A879&lt;&gt;"",MAXIFS(Token!$C:$C,Token!$A:$A,$D879),)</f>
        <v/>
      </c>
    </row>
    <row r="880">
      <c r="A880" s="39" t="str">
        <f>IF(AND($L880*1&gt;=$G$3,$L880*1&lt;=$G$4,$I880*$J880&gt;0,OR($I880&lt;&gt;$I881,$L880-$L881&gt;25),IF(ABS($I880)&gt;10,$I880/POW(10,$J880),$J880/POW(10,$I880))*MAXIFS(Token!$C:$C,Token!$A:$A,$K880)&gt;0.01),$L880/86400+DATE(1970,1,1)+$G$6,)</f>
        <v/>
      </c>
      <c r="B880" s="27" t="str">
        <f t="shared" si="1"/>
        <v/>
      </c>
      <c r="C880" s="14" t="str">
        <f>IF($A880&lt;&gt;"",MINIFS(Merchant!$A:$A,Merchant!$B:$B,$G$2),)</f>
        <v/>
      </c>
      <c r="D880" s="14" t="str">
        <f t="shared" si="2"/>
        <v/>
      </c>
      <c r="E880" s="14" t="str">
        <f t="shared" si="3"/>
        <v/>
      </c>
      <c r="F880" s="7" t="str">
        <f>IF($A880&lt;&gt;"",MAXIFS(Token!$C:$C,Token!$A:$A,$D880),)</f>
        <v/>
      </c>
    </row>
    <row r="881">
      <c r="A881" s="39" t="str">
        <f>IF(AND($L881*1&gt;=$G$3,$L881*1&lt;=$G$4,$I881*$J881&gt;0,OR($I881&lt;&gt;$I882,$L881-$L882&gt;25),IF(ABS($I881)&gt;10,$I881/POW(10,$J881),$J881/POW(10,$I881))*MAXIFS(Token!$C:$C,Token!$A:$A,$K881)&gt;0.01),$L881/86400+DATE(1970,1,1)+$G$6,)</f>
        <v/>
      </c>
      <c r="B881" s="27" t="str">
        <f t="shared" si="1"/>
        <v/>
      </c>
      <c r="C881" s="14" t="str">
        <f>IF($A881&lt;&gt;"",MINIFS(Merchant!$A:$A,Merchant!$B:$B,$G$2),)</f>
        <v/>
      </c>
      <c r="D881" s="14" t="str">
        <f t="shared" si="2"/>
        <v/>
      </c>
      <c r="E881" s="14" t="str">
        <f t="shared" si="3"/>
        <v/>
      </c>
      <c r="F881" s="7" t="str">
        <f>IF($A881&lt;&gt;"",MAXIFS(Token!$C:$C,Token!$A:$A,$D881),)</f>
        <v/>
      </c>
    </row>
    <row r="882">
      <c r="A882" s="39" t="str">
        <f>IF(AND($L882*1&gt;=$G$3,$L882*1&lt;=$G$4,$I882*$J882&gt;0,OR($I882&lt;&gt;$I883,$L882-$L883&gt;25),IF(ABS($I882)&gt;10,$I882/POW(10,$J882),$J882/POW(10,$I882))*MAXIFS(Token!$C:$C,Token!$A:$A,$K882)&gt;0.01),$L882/86400+DATE(1970,1,1)+$G$6,)</f>
        <v/>
      </c>
      <c r="B882" s="27" t="str">
        <f t="shared" si="1"/>
        <v/>
      </c>
      <c r="C882" s="14" t="str">
        <f>IF($A882&lt;&gt;"",MINIFS(Merchant!$A:$A,Merchant!$B:$B,$G$2),)</f>
        <v/>
      </c>
      <c r="D882" s="14" t="str">
        <f t="shared" si="2"/>
        <v/>
      </c>
      <c r="E882" s="14" t="str">
        <f t="shared" si="3"/>
        <v/>
      </c>
      <c r="F882" s="7" t="str">
        <f>IF($A882&lt;&gt;"",MAXIFS(Token!$C:$C,Token!$A:$A,$D882),)</f>
        <v/>
      </c>
    </row>
    <row r="883">
      <c r="A883" s="39" t="str">
        <f>IF(AND($L883*1&gt;=$G$3,$L883*1&lt;=$G$4,$I883*$J883&gt;0,OR($I883&lt;&gt;$I884,$L883-$L884&gt;25),IF(ABS($I883)&gt;10,$I883/POW(10,$J883),$J883/POW(10,$I883))*MAXIFS(Token!$C:$C,Token!$A:$A,$K883)&gt;0.01),$L883/86400+DATE(1970,1,1)+$G$6,)</f>
        <v/>
      </c>
      <c r="B883" s="27" t="str">
        <f t="shared" si="1"/>
        <v/>
      </c>
      <c r="C883" s="14" t="str">
        <f>IF($A883&lt;&gt;"",MINIFS(Merchant!$A:$A,Merchant!$B:$B,$G$2),)</f>
        <v/>
      </c>
      <c r="D883" s="14" t="str">
        <f t="shared" si="2"/>
        <v/>
      </c>
      <c r="E883" s="14" t="str">
        <f t="shared" si="3"/>
        <v/>
      </c>
      <c r="F883" s="7" t="str">
        <f>IF($A883&lt;&gt;"",MAXIFS(Token!$C:$C,Token!$A:$A,$D883),)</f>
        <v/>
      </c>
    </row>
    <row r="884">
      <c r="A884" s="39" t="str">
        <f>IF(AND($L884*1&gt;=$G$3,$L884*1&lt;=$G$4,$I884*$J884&gt;0,OR($I884&lt;&gt;$I885,$L884-$L885&gt;25),IF(ABS($I884)&gt;10,$I884/POW(10,$J884),$J884/POW(10,$I884))*MAXIFS(Token!$C:$C,Token!$A:$A,$K884)&gt;0.01),$L884/86400+DATE(1970,1,1)+$G$6,)</f>
        <v/>
      </c>
      <c r="B884" s="27" t="str">
        <f t="shared" si="1"/>
        <v/>
      </c>
      <c r="C884" s="14" t="str">
        <f>IF($A884&lt;&gt;"",MINIFS(Merchant!$A:$A,Merchant!$B:$B,$G$2),)</f>
        <v/>
      </c>
      <c r="D884" s="14" t="str">
        <f t="shared" si="2"/>
        <v/>
      </c>
      <c r="E884" s="14" t="str">
        <f t="shared" si="3"/>
        <v/>
      </c>
      <c r="F884" s="7" t="str">
        <f>IF($A884&lt;&gt;"",MAXIFS(Token!$C:$C,Token!$A:$A,$D884),)</f>
        <v/>
      </c>
    </row>
    <row r="885">
      <c r="A885" s="39" t="str">
        <f>IF(AND($L885*1&gt;=$G$3,$L885*1&lt;=$G$4,$I885*$J885&gt;0,OR($I885&lt;&gt;$I886,$L885-$L886&gt;25),IF(ABS($I885)&gt;10,$I885/POW(10,$J885),$J885/POW(10,$I885))*MAXIFS(Token!$C:$C,Token!$A:$A,$K885)&gt;0.01),$L885/86400+DATE(1970,1,1)+$G$6,)</f>
        <v/>
      </c>
      <c r="B885" s="27" t="str">
        <f t="shared" si="1"/>
        <v/>
      </c>
      <c r="C885" s="14" t="str">
        <f>IF($A885&lt;&gt;"",MINIFS(Merchant!$A:$A,Merchant!$B:$B,$G$2),)</f>
        <v/>
      </c>
      <c r="D885" s="14" t="str">
        <f t="shared" si="2"/>
        <v/>
      </c>
      <c r="E885" s="14" t="str">
        <f t="shared" si="3"/>
        <v/>
      </c>
      <c r="F885" s="7" t="str">
        <f>IF($A885&lt;&gt;"",MAXIFS(Token!$C:$C,Token!$A:$A,$D885),)</f>
        <v/>
      </c>
    </row>
    <row r="886">
      <c r="A886" s="39" t="str">
        <f>IF(AND($L886*1&gt;=$G$3,$L886*1&lt;=$G$4,$I886*$J886&gt;0,OR($I886&lt;&gt;$I887,$L886-$L887&gt;25),IF(ABS($I886)&gt;10,$I886/POW(10,$J886),$J886/POW(10,$I886))*MAXIFS(Token!$C:$C,Token!$A:$A,$K886)&gt;0.01),$L886/86400+DATE(1970,1,1)+$G$6,)</f>
        <v/>
      </c>
      <c r="B886" s="27" t="str">
        <f t="shared" si="1"/>
        <v/>
      </c>
      <c r="C886" s="14" t="str">
        <f>IF($A886&lt;&gt;"",MINIFS(Merchant!$A:$A,Merchant!$B:$B,$G$2),)</f>
        <v/>
      </c>
      <c r="D886" s="14" t="str">
        <f t="shared" si="2"/>
        <v/>
      </c>
      <c r="E886" s="14" t="str">
        <f t="shared" si="3"/>
        <v/>
      </c>
      <c r="F886" s="7" t="str">
        <f>IF($A886&lt;&gt;"",MAXIFS(Token!$C:$C,Token!$A:$A,$D886),)</f>
        <v/>
      </c>
    </row>
    <row r="887">
      <c r="A887" s="39" t="str">
        <f>IF(AND($L887*1&gt;=$G$3,$L887*1&lt;=$G$4,$I887*$J887&gt;0,OR($I887&lt;&gt;$I888,$L887-$L888&gt;25),IF(ABS($I887)&gt;10,$I887/POW(10,$J887),$J887/POW(10,$I887))*MAXIFS(Token!$C:$C,Token!$A:$A,$K887)&gt;0.01),$L887/86400+DATE(1970,1,1)+$G$6,)</f>
        <v/>
      </c>
      <c r="B887" s="27" t="str">
        <f t="shared" si="1"/>
        <v/>
      </c>
      <c r="C887" s="14" t="str">
        <f>IF($A887&lt;&gt;"",MINIFS(Merchant!$A:$A,Merchant!$B:$B,$G$2),)</f>
        <v/>
      </c>
      <c r="D887" s="14" t="str">
        <f t="shared" si="2"/>
        <v/>
      </c>
      <c r="E887" s="14" t="str">
        <f t="shared" si="3"/>
        <v/>
      </c>
      <c r="F887" s="7" t="str">
        <f>IF($A887&lt;&gt;"",MAXIFS(Token!$C:$C,Token!$A:$A,$D887),)</f>
        <v/>
      </c>
    </row>
    <row r="888">
      <c r="A888" s="39" t="str">
        <f>IF(AND($L888*1&gt;=$G$3,$L888*1&lt;=$G$4,$I888*$J888&gt;0,OR($I888&lt;&gt;$I889,$L888-$L889&gt;25),IF(ABS($I888)&gt;10,$I888/POW(10,$J888),$J888/POW(10,$I888))*MAXIFS(Token!$C:$C,Token!$A:$A,$K888)&gt;0.01),$L888/86400+DATE(1970,1,1)+$G$6,)</f>
        <v/>
      </c>
      <c r="B888" s="27" t="str">
        <f t="shared" si="1"/>
        <v/>
      </c>
      <c r="C888" s="14" t="str">
        <f>IF($A888&lt;&gt;"",MINIFS(Merchant!$A:$A,Merchant!$B:$B,$G$2),)</f>
        <v/>
      </c>
      <c r="D888" s="14" t="str">
        <f t="shared" si="2"/>
        <v/>
      </c>
      <c r="E888" s="14" t="str">
        <f t="shared" si="3"/>
        <v/>
      </c>
      <c r="F888" s="7" t="str">
        <f>IF($A888&lt;&gt;"",MAXIFS(Token!$C:$C,Token!$A:$A,$D888),)</f>
        <v/>
      </c>
    </row>
    <row r="889">
      <c r="A889" s="39" t="str">
        <f>IF(AND($L889*1&gt;=$G$3,$L889*1&lt;=$G$4,$I889*$J889&gt;0,OR($I889&lt;&gt;$I890,$L889-$L890&gt;25),IF(ABS($I889)&gt;10,$I889/POW(10,$J889),$J889/POW(10,$I889))*MAXIFS(Token!$C:$C,Token!$A:$A,$K889)&gt;0.01),$L889/86400+DATE(1970,1,1)+$G$6,)</f>
        <v/>
      </c>
      <c r="B889" s="27" t="str">
        <f t="shared" si="1"/>
        <v/>
      </c>
      <c r="C889" s="14" t="str">
        <f>IF($A889&lt;&gt;"",MINIFS(Merchant!$A:$A,Merchant!$B:$B,$G$2),)</f>
        <v/>
      </c>
      <c r="D889" s="14" t="str">
        <f t="shared" si="2"/>
        <v/>
      </c>
      <c r="E889" s="14" t="str">
        <f t="shared" si="3"/>
        <v/>
      </c>
      <c r="F889" s="7" t="str">
        <f>IF($A889&lt;&gt;"",MAXIFS(Token!$C:$C,Token!$A:$A,$D889),)</f>
        <v/>
      </c>
    </row>
    <row r="890">
      <c r="A890" s="39" t="str">
        <f>IF(AND($L890*1&gt;=$G$3,$L890*1&lt;=$G$4,$I890*$J890&gt;0,OR($I890&lt;&gt;$I891,$L890-$L891&gt;25),IF(ABS($I890)&gt;10,$I890/POW(10,$J890),$J890/POW(10,$I890))*MAXIFS(Token!$C:$C,Token!$A:$A,$K890)&gt;0.01),$L890/86400+DATE(1970,1,1)+$G$6,)</f>
        <v/>
      </c>
      <c r="B890" s="27" t="str">
        <f t="shared" si="1"/>
        <v/>
      </c>
      <c r="C890" s="14" t="str">
        <f>IF($A890&lt;&gt;"",MINIFS(Merchant!$A:$A,Merchant!$B:$B,$G$2),)</f>
        <v/>
      </c>
      <c r="D890" s="14" t="str">
        <f t="shared" si="2"/>
        <v/>
      </c>
      <c r="E890" s="14" t="str">
        <f t="shared" si="3"/>
        <v/>
      </c>
      <c r="F890" s="7" t="str">
        <f>IF($A890&lt;&gt;"",MAXIFS(Token!$C:$C,Token!$A:$A,$D890),)</f>
        <v/>
      </c>
    </row>
    <row r="891">
      <c r="A891" s="39" t="str">
        <f>IF(AND($L891*1&gt;=$G$3,$L891*1&lt;=$G$4,$I891*$J891&gt;0,OR($I891&lt;&gt;$I892,$L891-$L892&gt;25),IF(ABS($I891)&gt;10,$I891/POW(10,$J891),$J891/POW(10,$I891))*MAXIFS(Token!$C:$C,Token!$A:$A,$K891)&gt;0.01),$L891/86400+DATE(1970,1,1)+$G$6,)</f>
        <v/>
      </c>
      <c r="B891" s="27" t="str">
        <f t="shared" si="1"/>
        <v/>
      </c>
      <c r="C891" s="14" t="str">
        <f>IF($A891&lt;&gt;"",MINIFS(Merchant!$A:$A,Merchant!$B:$B,$G$2),)</f>
        <v/>
      </c>
      <c r="D891" s="14" t="str">
        <f t="shared" si="2"/>
        <v/>
      </c>
      <c r="E891" s="14" t="str">
        <f t="shared" si="3"/>
        <v/>
      </c>
      <c r="F891" s="7" t="str">
        <f>IF($A891&lt;&gt;"",MAXIFS(Token!$C:$C,Token!$A:$A,$D891),)</f>
        <v/>
      </c>
    </row>
    <row r="892">
      <c r="A892" s="39" t="str">
        <f>IF(AND($L892*1&gt;=$G$3,$L892*1&lt;=$G$4,$I892*$J892&gt;0,OR($I892&lt;&gt;$I893,$L892-$L893&gt;25),IF(ABS($I892)&gt;10,$I892/POW(10,$J892),$J892/POW(10,$I892))*MAXIFS(Token!$C:$C,Token!$A:$A,$K892)&gt;0.01),$L892/86400+DATE(1970,1,1)+$G$6,)</f>
        <v/>
      </c>
      <c r="B892" s="27" t="str">
        <f t="shared" si="1"/>
        <v/>
      </c>
      <c r="C892" s="14" t="str">
        <f>IF($A892&lt;&gt;"",MINIFS(Merchant!$A:$A,Merchant!$B:$B,$G$2),)</f>
        <v/>
      </c>
      <c r="D892" s="14" t="str">
        <f t="shared" si="2"/>
        <v/>
      </c>
      <c r="E892" s="14" t="str">
        <f t="shared" si="3"/>
        <v/>
      </c>
      <c r="F892" s="7" t="str">
        <f>IF($A892&lt;&gt;"",MAXIFS(Token!$C:$C,Token!$A:$A,$D892),)</f>
        <v/>
      </c>
    </row>
    <row r="893">
      <c r="A893" s="39" t="str">
        <f>IF(AND($L893*1&gt;=$G$3,$L893*1&lt;=$G$4,$I893*$J893&gt;0,OR($I893&lt;&gt;$I894,$L893-$L894&gt;25),IF(ABS($I893)&gt;10,$I893/POW(10,$J893),$J893/POW(10,$I893))*MAXIFS(Token!$C:$C,Token!$A:$A,$K893)&gt;0.01),$L893/86400+DATE(1970,1,1)+$G$6,)</f>
        <v/>
      </c>
      <c r="B893" s="27" t="str">
        <f t="shared" si="1"/>
        <v/>
      </c>
      <c r="C893" s="14" t="str">
        <f>IF($A893&lt;&gt;"",MINIFS(Merchant!$A:$A,Merchant!$B:$B,$G$2),)</f>
        <v/>
      </c>
      <c r="D893" s="14" t="str">
        <f t="shared" si="2"/>
        <v/>
      </c>
      <c r="E893" s="14" t="str">
        <f t="shared" si="3"/>
        <v/>
      </c>
      <c r="F893" s="7" t="str">
        <f>IF($A893&lt;&gt;"",MAXIFS(Token!$C:$C,Token!$A:$A,$D893),)</f>
        <v/>
      </c>
    </row>
    <row r="894">
      <c r="A894" s="39" t="str">
        <f>IF(AND($L894*1&gt;=$G$3,$L894*1&lt;=$G$4,$I894*$J894&gt;0,OR($I894&lt;&gt;$I895,$L894-$L895&gt;25),IF(ABS($I894)&gt;10,$I894/POW(10,$J894),$J894/POW(10,$I894))*MAXIFS(Token!$C:$C,Token!$A:$A,$K894)&gt;0.01),$L894/86400+DATE(1970,1,1)+$G$6,)</f>
        <v/>
      </c>
      <c r="B894" s="27" t="str">
        <f t="shared" si="1"/>
        <v/>
      </c>
      <c r="C894" s="14" t="str">
        <f>IF($A894&lt;&gt;"",MINIFS(Merchant!$A:$A,Merchant!$B:$B,$G$2),)</f>
        <v/>
      </c>
      <c r="D894" s="14" t="str">
        <f t="shared" si="2"/>
        <v/>
      </c>
      <c r="E894" s="14" t="str">
        <f t="shared" si="3"/>
        <v/>
      </c>
      <c r="F894" s="7" t="str">
        <f>IF($A894&lt;&gt;"",MAXIFS(Token!$C:$C,Token!$A:$A,$D894),)</f>
        <v/>
      </c>
    </row>
    <row r="895">
      <c r="A895" s="39" t="str">
        <f>IF(AND($L895*1&gt;=$G$3,$L895*1&lt;=$G$4,$I895*$J895&gt;0,OR($I895&lt;&gt;$I896,$L895-$L896&gt;25),IF(ABS($I895)&gt;10,$I895/POW(10,$J895),$J895/POW(10,$I895))*MAXIFS(Token!$C:$C,Token!$A:$A,$K895)&gt;0.01),$L895/86400+DATE(1970,1,1)+$G$6,)</f>
        <v/>
      </c>
      <c r="B895" s="27" t="str">
        <f t="shared" si="1"/>
        <v/>
      </c>
      <c r="C895" s="14" t="str">
        <f>IF($A895&lt;&gt;"",MINIFS(Merchant!$A:$A,Merchant!$B:$B,$G$2),)</f>
        <v/>
      </c>
      <c r="D895" s="14" t="str">
        <f t="shared" si="2"/>
        <v/>
      </c>
      <c r="E895" s="14" t="str">
        <f t="shared" si="3"/>
        <v/>
      </c>
      <c r="F895" s="7" t="str">
        <f>IF($A895&lt;&gt;"",MAXIFS(Token!$C:$C,Token!$A:$A,$D895),)</f>
        <v/>
      </c>
    </row>
    <row r="896">
      <c r="A896" s="39" t="str">
        <f>IF(AND($L896*1&gt;=$G$3,$L896*1&lt;=$G$4,$I896*$J896&gt;0,OR($I896&lt;&gt;$I897,$L896-$L897&gt;25),IF(ABS($I896)&gt;10,$I896/POW(10,$J896),$J896/POW(10,$I896))*MAXIFS(Token!$C:$C,Token!$A:$A,$K896)&gt;0.01),$L896/86400+DATE(1970,1,1)+$G$6,)</f>
        <v/>
      </c>
      <c r="B896" s="27" t="str">
        <f t="shared" si="1"/>
        <v/>
      </c>
      <c r="C896" s="14" t="str">
        <f>IF($A896&lt;&gt;"",MINIFS(Merchant!$A:$A,Merchant!$B:$B,$G$2),)</f>
        <v/>
      </c>
      <c r="D896" s="14" t="str">
        <f t="shared" si="2"/>
        <v/>
      </c>
      <c r="E896" s="14" t="str">
        <f t="shared" si="3"/>
        <v/>
      </c>
      <c r="F896" s="7" t="str">
        <f>IF($A896&lt;&gt;"",MAXIFS(Token!$C:$C,Token!$A:$A,$D896),)</f>
        <v/>
      </c>
    </row>
    <row r="897">
      <c r="A897" s="39" t="str">
        <f>IF(AND($L897*1&gt;=$G$3,$L897*1&lt;=$G$4,$I897*$J897&gt;0,OR($I897&lt;&gt;$I898,$L897-$L898&gt;25),IF(ABS($I897)&gt;10,$I897/POW(10,$J897),$J897/POW(10,$I897))*MAXIFS(Token!$C:$C,Token!$A:$A,$K897)&gt;0.01),$L897/86400+DATE(1970,1,1)+$G$6,)</f>
        <v/>
      </c>
      <c r="B897" s="27" t="str">
        <f t="shared" si="1"/>
        <v/>
      </c>
      <c r="C897" s="14" t="str">
        <f>IF($A897&lt;&gt;"",MINIFS(Merchant!$A:$A,Merchant!$B:$B,$G$2),)</f>
        <v/>
      </c>
      <c r="D897" s="14" t="str">
        <f t="shared" si="2"/>
        <v/>
      </c>
      <c r="E897" s="14" t="str">
        <f t="shared" si="3"/>
        <v/>
      </c>
      <c r="F897" s="7" t="str">
        <f>IF($A897&lt;&gt;"",MAXIFS(Token!$C:$C,Token!$A:$A,$D897),)</f>
        <v/>
      </c>
    </row>
    <row r="898">
      <c r="A898" s="39" t="str">
        <f>IF(AND($L898*1&gt;=$G$3,$L898*1&lt;=$G$4,$I898*$J898&gt;0,OR($I898&lt;&gt;$I899,$L898-$L899&gt;25),IF(ABS($I898)&gt;10,$I898/POW(10,$J898),$J898/POW(10,$I898))*MAXIFS(Token!$C:$C,Token!$A:$A,$K898)&gt;0.01),$L898/86400+DATE(1970,1,1)+$G$6,)</f>
        <v/>
      </c>
      <c r="B898" s="27" t="str">
        <f t="shared" si="1"/>
        <v/>
      </c>
      <c r="C898" s="14" t="str">
        <f>IF($A898&lt;&gt;"",MINIFS(Merchant!$A:$A,Merchant!$B:$B,$G$2),)</f>
        <v/>
      </c>
      <c r="D898" s="14" t="str">
        <f t="shared" si="2"/>
        <v/>
      </c>
      <c r="E898" s="14" t="str">
        <f t="shared" si="3"/>
        <v/>
      </c>
      <c r="F898" s="7" t="str">
        <f>IF($A898&lt;&gt;"",MAXIFS(Token!$C:$C,Token!$A:$A,$D898),)</f>
        <v/>
      </c>
    </row>
    <row r="899">
      <c r="A899" s="39" t="str">
        <f>IF(AND($L899*1&gt;=$G$3,$L899*1&lt;=$G$4,$I899*$J899&gt;0,OR($I899&lt;&gt;$I900,$L899-$L900&gt;25),IF(ABS($I899)&gt;10,$I899/POW(10,$J899),$J899/POW(10,$I899))*MAXIFS(Token!$C:$C,Token!$A:$A,$K899)&gt;0.01),$L899/86400+DATE(1970,1,1)+$G$6,)</f>
        <v/>
      </c>
      <c r="B899" s="27" t="str">
        <f t="shared" si="1"/>
        <v/>
      </c>
      <c r="C899" s="14" t="str">
        <f>IF($A899&lt;&gt;"",MINIFS(Merchant!$A:$A,Merchant!$B:$B,$G$2),)</f>
        <v/>
      </c>
      <c r="D899" s="14" t="str">
        <f t="shared" si="2"/>
        <v/>
      </c>
      <c r="E899" s="14" t="str">
        <f t="shared" si="3"/>
        <v/>
      </c>
      <c r="F899" s="7" t="str">
        <f>IF($A899&lt;&gt;"",MAXIFS(Token!$C:$C,Token!$A:$A,$D899),)</f>
        <v/>
      </c>
    </row>
    <row r="900">
      <c r="A900" s="39" t="str">
        <f>IF(AND($L900*1&gt;=$G$3,$L900*1&lt;=$G$4,$I900*$J900&gt;0,OR($I900&lt;&gt;$I901,$L900-$L901&gt;25),IF(ABS($I900)&gt;10,$I900/POW(10,$J900),$J900/POW(10,$I900))*MAXIFS(Token!$C:$C,Token!$A:$A,$K900)&gt;0.01),$L900/86400+DATE(1970,1,1)+$G$6,)</f>
        <v/>
      </c>
      <c r="B900" s="27" t="str">
        <f t="shared" si="1"/>
        <v/>
      </c>
      <c r="C900" s="14" t="str">
        <f>IF($A900&lt;&gt;"",MINIFS(Merchant!$A:$A,Merchant!$B:$B,$G$2),)</f>
        <v/>
      </c>
      <c r="D900" s="14" t="str">
        <f t="shared" si="2"/>
        <v/>
      </c>
      <c r="E900" s="14" t="str">
        <f t="shared" si="3"/>
        <v/>
      </c>
      <c r="F900" s="7" t="str">
        <f>IF($A900&lt;&gt;"",MAXIFS(Token!$C:$C,Token!$A:$A,$D900),)</f>
        <v/>
      </c>
    </row>
    <row r="901">
      <c r="A901" s="39" t="str">
        <f>IF(AND($L901*1&gt;=$G$3,$L901*1&lt;=$G$4,$I901*$J901&gt;0,OR($I901&lt;&gt;$I902,$L901-$L902&gt;25),IF(ABS($I901)&gt;10,$I901/POW(10,$J901),$J901/POW(10,$I901))*MAXIFS(Token!$C:$C,Token!$A:$A,$K901)&gt;0.01),$L901/86400+DATE(1970,1,1)+$G$6,)</f>
        <v/>
      </c>
      <c r="B901" s="27" t="str">
        <f t="shared" si="1"/>
        <v/>
      </c>
      <c r="C901" s="14" t="str">
        <f>IF($A901&lt;&gt;"",MINIFS(Merchant!$A:$A,Merchant!$B:$B,$G$2),)</f>
        <v/>
      </c>
      <c r="D901" s="14" t="str">
        <f t="shared" si="2"/>
        <v/>
      </c>
      <c r="E901" s="14" t="str">
        <f t="shared" si="3"/>
        <v/>
      </c>
      <c r="F901" s="7" t="str">
        <f>IF($A901&lt;&gt;"",MAXIFS(Token!$C:$C,Token!$A:$A,$D901),)</f>
        <v/>
      </c>
    </row>
    <row r="902">
      <c r="A902" s="39" t="str">
        <f>IF(AND($L902*1&gt;=$G$3,$L902*1&lt;=$G$4,$I902*$J902&gt;0,OR($I902&lt;&gt;$I903,$L902-$L903&gt;25),IF(ABS($I902)&gt;10,$I902/POW(10,$J902),$J902/POW(10,$I902))*MAXIFS(Token!$C:$C,Token!$A:$A,$K902)&gt;0.01),$L902/86400+DATE(1970,1,1)+$G$6,)</f>
        <v/>
      </c>
      <c r="B902" s="27" t="str">
        <f t="shared" si="1"/>
        <v/>
      </c>
      <c r="C902" s="14" t="str">
        <f>IF($A902&lt;&gt;"",MINIFS(Merchant!$A:$A,Merchant!$B:$B,$G$2),)</f>
        <v/>
      </c>
      <c r="D902" s="14" t="str">
        <f t="shared" si="2"/>
        <v/>
      </c>
      <c r="E902" s="14" t="str">
        <f t="shared" si="3"/>
        <v/>
      </c>
      <c r="F902" s="7" t="str">
        <f>IF($A902&lt;&gt;"",MAXIFS(Token!$C:$C,Token!$A:$A,$D902),)</f>
        <v/>
      </c>
    </row>
    <row r="903">
      <c r="A903" s="39" t="str">
        <f>IF(AND($L903*1&gt;=$G$3,$L903*1&lt;=$G$4,$I903*$J903&gt;0,OR($I903&lt;&gt;$I904,$L903-$L904&gt;25),IF(ABS($I903)&gt;10,$I903/POW(10,$J903),$J903/POW(10,$I903))*MAXIFS(Token!$C:$C,Token!$A:$A,$K903)&gt;0.01),$L903/86400+DATE(1970,1,1)+$G$6,)</f>
        <v/>
      </c>
      <c r="B903" s="27" t="str">
        <f t="shared" si="1"/>
        <v/>
      </c>
      <c r="C903" s="14" t="str">
        <f>IF($A903&lt;&gt;"",MINIFS(Merchant!$A:$A,Merchant!$B:$B,$G$2),)</f>
        <v/>
      </c>
      <c r="D903" s="14" t="str">
        <f t="shared" si="2"/>
        <v/>
      </c>
      <c r="E903" s="14" t="str">
        <f t="shared" si="3"/>
        <v/>
      </c>
      <c r="F903" s="7" t="str">
        <f>IF($A903&lt;&gt;"",MAXIFS(Token!$C:$C,Token!$A:$A,$D903),)</f>
        <v/>
      </c>
    </row>
    <row r="904">
      <c r="A904" s="39" t="str">
        <f>IF(AND($L904*1&gt;=$G$3,$L904*1&lt;=$G$4,$I904*$J904&gt;0,OR($I904&lt;&gt;$I905,$L904-$L905&gt;25),IF(ABS($I904)&gt;10,$I904/POW(10,$J904),$J904/POW(10,$I904))*MAXIFS(Token!$C:$C,Token!$A:$A,$K904)&gt;0.01),$L904/86400+DATE(1970,1,1)+$G$6,)</f>
        <v/>
      </c>
      <c r="B904" s="27" t="str">
        <f t="shared" si="1"/>
        <v/>
      </c>
      <c r="C904" s="14" t="str">
        <f>IF($A904&lt;&gt;"",MINIFS(Merchant!$A:$A,Merchant!$B:$B,$G$2),)</f>
        <v/>
      </c>
      <c r="D904" s="14" t="str">
        <f t="shared" si="2"/>
        <v/>
      </c>
      <c r="E904" s="14" t="str">
        <f t="shared" si="3"/>
        <v/>
      </c>
      <c r="F904" s="7" t="str">
        <f>IF($A904&lt;&gt;"",MAXIFS(Token!$C:$C,Token!$A:$A,$D904),)</f>
        <v/>
      </c>
    </row>
    <row r="905">
      <c r="A905" s="39" t="str">
        <f>IF(AND($L905*1&gt;=$G$3,$L905*1&lt;=$G$4,$I905*$J905&gt;0,OR($I905&lt;&gt;$I906,$L905-$L906&gt;25),IF(ABS($I905)&gt;10,$I905/POW(10,$J905),$J905/POW(10,$I905))*MAXIFS(Token!$C:$C,Token!$A:$A,$K905)&gt;0.01),$L905/86400+DATE(1970,1,1)+$G$6,)</f>
        <v/>
      </c>
      <c r="B905" s="27" t="str">
        <f t="shared" si="1"/>
        <v/>
      </c>
      <c r="C905" s="14" t="str">
        <f>IF($A905&lt;&gt;"",MINIFS(Merchant!$A:$A,Merchant!$B:$B,$G$2),)</f>
        <v/>
      </c>
      <c r="D905" s="14" t="str">
        <f t="shared" si="2"/>
        <v/>
      </c>
      <c r="E905" s="14" t="str">
        <f t="shared" si="3"/>
        <v/>
      </c>
      <c r="F905" s="7" t="str">
        <f>IF($A905&lt;&gt;"",MAXIFS(Token!$C:$C,Token!$A:$A,$D905),)</f>
        <v/>
      </c>
    </row>
    <row r="906">
      <c r="A906" s="39" t="str">
        <f>IF(AND($L906*1&gt;=$G$3,$L906*1&lt;=$G$4,$I906*$J906&gt;0,OR($I906&lt;&gt;$I907,$L906-$L907&gt;25),IF(ABS($I906)&gt;10,$I906/POW(10,$J906),$J906/POW(10,$I906))*MAXIFS(Token!$C:$C,Token!$A:$A,$K906)&gt;0.01),$L906/86400+DATE(1970,1,1)+$G$6,)</f>
        <v/>
      </c>
      <c r="B906" s="27" t="str">
        <f t="shared" si="1"/>
        <v/>
      </c>
      <c r="C906" s="14" t="str">
        <f>IF($A906&lt;&gt;"",MINIFS(Merchant!$A:$A,Merchant!$B:$B,$G$2),)</f>
        <v/>
      </c>
      <c r="D906" s="14" t="str">
        <f t="shared" si="2"/>
        <v/>
      </c>
      <c r="E906" s="14" t="str">
        <f t="shared" si="3"/>
        <v/>
      </c>
      <c r="F906" s="7" t="str">
        <f>IF($A906&lt;&gt;"",MAXIFS(Token!$C:$C,Token!$A:$A,$D906),)</f>
        <v/>
      </c>
    </row>
    <row r="907">
      <c r="A907" s="39" t="str">
        <f>IF(AND($L907*1&gt;=$G$3,$L907*1&lt;=$G$4,$I907*$J907&gt;0,OR($I907&lt;&gt;$I908,$L907-$L908&gt;25),IF(ABS($I907)&gt;10,$I907/POW(10,$J907),$J907/POW(10,$I907))*MAXIFS(Token!$C:$C,Token!$A:$A,$K907)&gt;0.01),$L907/86400+DATE(1970,1,1)+$G$6,)</f>
        <v/>
      </c>
      <c r="B907" s="27" t="str">
        <f t="shared" si="1"/>
        <v/>
      </c>
      <c r="C907" s="14" t="str">
        <f>IF($A907&lt;&gt;"",MINIFS(Merchant!$A:$A,Merchant!$B:$B,$G$2),)</f>
        <v/>
      </c>
      <c r="D907" s="14" t="str">
        <f t="shared" si="2"/>
        <v/>
      </c>
      <c r="E907" s="14" t="str">
        <f t="shared" si="3"/>
        <v/>
      </c>
      <c r="F907" s="7" t="str">
        <f>IF($A907&lt;&gt;"",MAXIFS(Token!$C:$C,Token!$A:$A,$D907),)</f>
        <v/>
      </c>
    </row>
    <row r="908">
      <c r="A908" s="39" t="str">
        <f>IF(AND($L908*1&gt;=$G$3,$L908*1&lt;=$G$4,$I908*$J908&gt;0,OR($I908&lt;&gt;$I909,$L908-$L909&gt;25),IF(ABS($I908)&gt;10,$I908/POW(10,$J908),$J908/POW(10,$I908))*MAXIFS(Token!$C:$C,Token!$A:$A,$K908)&gt;0.01),$L908/86400+DATE(1970,1,1)+$G$6,)</f>
        <v/>
      </c>
      <c r="B908" s="27" t="str">
        <f t="shared" si="1"/>
        <v/>
      </c>
      <c r="C908" s="14" t="str">
        <f>IF($A908&lt;&gt;"",MINIFS(Merchant!$A:$A,Merchant!$B:$B,$G$2),)</f>
        <v/>
      </c>
      <c r="D908" s="14" t="str">
        <f t="shared" si="2"/>
        <v/>
      </c>
      <c r="E908" s="14" t="str">
        <f t="shared" si="3"/>
        <v/>
      </c>
      <c r="F908" s="7" t="str">
        <f>IF($A908&lt;&gt;"",MAXIFS(Token!$C:$C,Token!$A:$A,$D908),)</f>
        <v/>
      </c>
    </row>
    <row r="909">
      <c r="A909" s="39" t="str">
        <f>IF(AND($L909*1&gt;=$G$3,$L909*1&lt;=$G$4,$I909*$J909&gt;0,OR($I909&lt;&gt;$I910,$L909-$L910&gt;25),IF(ABS($I909)&gt;10,$I909/POW(10,$J909),$J909/POW(10,$I909))*MAXIFS(Token!$C:$C,Token!$A:$A,$K909)&gt;0.01),$L909/86400+DATE(1970,1,1)+$G$6,)</f>
        <v/>
      </c>
      <c r="B909" s="27" t="str">
        <f t="shared" si="1"/>
        <v/>
      </c>
      <c r="C909" s="14" t="str">
        <f>IF($A909&lt;&gt;"",MINIFS(Merchant!$A:$A,Merchant!$B:$B,$G$2),)</f>
        <v/>
      </c>
      <c r="D909" s="14" t="str">
        <f t="shared" si="2"/>
        <v/>
      </c>
      <c r="E909" s="14" t="str">
        <f t="shared" si="3"/>
        <v/>
      </c>
      <c r="F909" s="7" t="str">
        <f>IF($A909&lt;&gt;"",MAXIFS(Token!$C:$C,Token!$A:$A,$D909),)</f>
        <v/>
      </c>
    </row>
    <row r="910">
      <c r="A910" s="39" t="str">
        <f>IF(AND($L910*1&gt;=$G$3,$L910*1&lt;=$G$4,$I910*$J910&gt;0,OR($I910&lt;&gt;$I911,$L910-$L911&gt;25),IF(ABS($I910)&gt;10,$I910/POW(10,$J910),$J910/POW(10,$I910))*MAXIFS(Token!$C:$C,Token!$A:$A,$K910)&gt;0.01),$L910/86400+DATE(1970,1,1)+$G$6,)</f>
        <v/>
      </c>
      <c r="B910" s="27" t="str">
        <f t="shared" si="1"/>
        <v/>
      </c>
      <c r="C910" s="14" t="str">
        <f>IF($A910&lt;&gt;"",MINIFS(Merchant!$A:$A,Merchant!$B:$B,$G$2),)</f>
        <v/>
      </c>
      <c r="D910" s="14" t="str">
        <f t="shared" si="2"/>
        <v/>
      </c>
      <c r="E910" s="14" t="str">
        <f t="shared" si="3"/>
        <v/>
      </c>
      <c r="F910" s="7" t="str">
        <f>IF($A910&lt;&gt;"",MAXIFS(Token!$C:$C,Token!$A:$A,$D910),)</f>
        <v/>
      </c>
    </row>
    <row r="911">
      <c r="A911" s="39" t="str">
        <f>IF(AND($L911*1&gt;=$G$3,$L911*1&lt;=$G$4,$I911*$J911&gt;0,OR($I911&lt;&gt;$I912,$L911-$L912&gt;25),IF(ABS($I911)&gt;10,$I911/POW(10,$J911),$J911/POW(10,$I911))*MAXIFS(Token!$C:$C,Token!$A:$A,$K911)&gt;0.01),$L911/86400+DATE(1970,1,1)+$G$6,)</f>
        <v/>
      </c>
      <c r="B911" s="27" t="str">
        <f t="shared" si="1"/>
        <v/>
      </c>
      <c r="C911" s="14" t="str">
        <f>IF($A911&lt;&gt;"",MINIFS(Merchant!$A:$A,Merchant!$B:$B,$G$2),)</f>
        <v/>
      </c>
      <c r="D911" s="14" t="str">
        <f t="shared" si="2"/>
        <v/>
      </c>
      <c r="E911" s="14" t="str">
        <f t="shared" si="3"/>
        <v/>
      </c>
      <c r="F911" s="7" t="str">
        <f>IF($A911&lt;&gt;"",MAXIFS(Token!$C:$C,Token!$A:$A,$D911),)</f>
        <v/>
      </c>
    </row>
    <row r="912">
      <c r="A912" s="39" t="str">
        <f>IF(AND($L912*1&gt;=$G$3,$L912*1&lt;=$G$4,$I912*$J912&gt;0,OR($I912&lt;&gt;$I913,$L912-$L913&gt;25),IF(ABS($I912)&gt;10,$I912/POW(10,$J912),$J912/POW(10,$I912))*MAXIFS(Token!$C:$C,Token!$A:$A,$K912)&gt;0.01),$L912/86400+DATE(1970,1,1)+$G$6,)</f>
        <v/>
      </c>
      <c r="B912" s="27" t="str">
        <f t="shared" si="1"/>
        <v/>
      </c>
      <c r="C912" s="14" t="str">
        <f>IF($A912&lt;&gt;"",MINIFS(Merchant!$A:$A,Merchant!$B:$B,$G$2),)</f>
        <v/>
      </c>
      <c r="D912" s="14" t="str">
        <f t="shared" si="2"/>
        <v/>
      </c>
      <c r="E912" s="14" t="str">
        <f t="shared" si="3"/>
        <v/>
      </c>
      <c r="F912" s="7" t="str">
        <f>IF($A912&lt;&gt;"",MAXIFS(Token!$C:$C,Token!$A:$A,$D912),)</f>
        <v/>
      </c>
    </row>
    <row r="913">
      <c r="A913" s="39" t="str">
        <f>IF(AND($L913*1&gt;=$G$3,$L913*1&lt;=$G$4,$I913*$J913&gt;0,OR($I913&lt;&gt;$I914,$L913-$L914&gt;25),IF(ABS($I913)&gt;10,$I913/POW(10,$J913),$J913/POW(10,$I913))*MAXIFS(Token!$C:$C,Token!$A:$A,$K913)&gt;0.01),$L913/86400+DATE(1970,1,1)+$G$6,)</f>
        <v/>
      </c>
      <c r="B913" s="27" t="str">
        <f t="shared" si="1"/>
        <v/>
      </c>
      <c r="C913" s="14" t="str">
        <f>IF($A913&lt;&gt;"",MINIFS(Merchant!$A:$A,Merchant!$B:$B,$G$2),)</f>
        <v/>
      </c>
      <c r="D913" s="14" t="str">
        <f t="shared" si="2"/>
        <v/>
      </c>
      <c r="E913" s="14" t="str">
        <f t="shared" si="3"/>
        <v/>
      </c>
      <c r="F913" s="7" t="str">
        <f>IF($A913&lt;&gt;"",MAXIFS(Token!$C:$C,Token!$A:$A,$D913),)</f>
        <v/>
      </c>
    </row>
    <row r="914">
      <c r="A914" s="39" t="str">
        <f>IF(AND($L914*1&gt;=$G$3,$L914*1&lt;=$G$4,$I914*$J914&gt;0,OR($I914&lt;&gt;$I915,$L914-$L915&gt;25),IF(ABS($I914)&gt;10,$I914/POW(10,$J914),$J914/POW(10,$I914))*MAXIFS(Token!$C:$C,Token!$A:$A,$K914)&gt;0.01),$L914/86400+DATE(1970,1,1)+$G$6,)</f>
        <v/>
      </c>
      <c r="B914" s="27" t="str">
        <f t="shared" si="1"/>
        <v/>
      </c>
      <c r="C914" s="14" t="str">
        <f>IF($A914&lt;&gt;"",MINIFS(Merchant!$A:$A,Merchant!$B:$B,$G$2),)</f>
        <v/>
      </c>
      <c r="D914" s="14" t="str">
        <f t="shared" si="2"/>
        <v/>
      </c>
      <c r="E914" s="14" t="str">
        <f t="shared" si="3"/>
        <v/>
      </c>
      <c r="F914" s="7" t="str">
        <f>IF($A914&lt;&gt;"",MAXIFS(Token!$C:$C,Token!$A:$A,$D914),)</f>
        <v/>
      </c>
    </row>
    <row r="915">
      <c r="A915" s="39" t="str">
        <f>IF(AND($L915*1&gt;=$G$3,$L915*1&lt;=$G$4,$I915*$J915&gt;0,OR($I915&lt;&gt;$I916,$L915-$L916&gt;25),IF(ABS($I915)&gt;10,$I915/POW(10,$J915),$J915/POW(10,$I915))*MAXIFS(Token!$C:$C,Token!$A:$A,$K915)&gt;0.01),$L915/86400+DATE(1970,1,1)+$G$6,)</f>
        <v/>
      </c>
      <c r="B915" s="27" t="str">
        <f t="shared" si="1"/>
        <v/>
      </c>
      <c r="C915" s="14" t="str">
        <f>IF($A915&lt;&gt;"",MINIFS(Merchant!$A:$A,Merchant!$B:$B,$G$2),)</f>
        <v/>
      </c>
      <c r="D915" s="14" t="str">
        <f t="shared" si="2"/>
        <v/>
      </c>
      <c r="E915" s="14" t="str">
        <f t="shared" si="3"/>
        <v/>
      </c>
      <c r="F915" s="7" t="str">
        <f>IF($A915&lt;&gt;"",MAXIFS(Token!$C:$C,Token!$A:$A,$D915),)</f>
        <v/>
      </c>
    </row>
    <row r="916">
      <c r="A916" s="39" t="str">
        <f>IF(AND($L916*1&gt;=$G$3,$L916*1&lt;=$G$4,$I916*$J916&gt;0,OR($I916&lt;&gt;$I917,$L916-$L917&gt;25),IF(ABS($I916)&gt;10,$I916/POW(10,$J916),$J916/POW(10,$I916))*MAXIFS(Token!$C:$C,Token!$A:$A,$K916)&gt;0.01),$L916/86400+DATE(1970,1,1)+$G$6,)</f>
        <v/>
      </c>
      <c r="B916" s="27" t="str">
        <f t="shared" si="1"/>
        <v/>
      </c>
      <c r="C916" s="14" t="str">
        <f>IF($A916&lt;&gt;"",MINIFS(Merchant!$A:$A,Merchant!$B:$B,$G$2),)</f>
        <v/>
      </c>
      <c r="D916" s="14" t="str">
        <f t="shared" si="2"/>
        <v/>
      </c>
      <c r="E916" s="14" t="str">
        <f t="shared" si="3"/>
        <v/>
      </c>
      <c r="F916" s="7" t="str">
        <f>IF($A916&lt;&gt;"",MAXIFS(Token!$C:$C,Token!$A:$A,$D916),)</f>
        <v/>
      </c>
    </row>
    <row r="917">
      <c r="A917" s="39" t="str">
        <f>IF(AND($L917*1&gt;=$G$3,$L917*1&lt;=$G$4,$I917*$J917&gt;0,OR($I917&lt;&gt;$I918,$L917-$L918&gt;25),IF(ABS($I917)&gt;10,$I917/POW(10,$J917),$J917/POW(10,$I917))*MAXIFS(Token!$C:$C,Token!$A:$A,$K917)&gt;0.01),$L917/86400+DATE(1970,1,1)+$G$6,)</f>
        <v/>
      </c>
      <c r="B917" s="27" t="str">
        <f t="shared" si="1"/>
        <v/>
      </c>
      <c r="C917" s="14" t="str">
        <f>IF($A917&lt;&gt;"",MINIFS(Merchant!$A:$A,Merchant!$B:$B,$G$2),)</f>
        <v/>
      </c>
      <c r="D917" s="14" t="str">
        <f t="shared" si="2"/>
        <v/>
      </c>
      <c r="E917" s="14" t="str">
        <f t="shared" si="3"/>
        <v/>
      </c>
      <c r="F917" s="7" t="str">
        <f>IF($A917&lt;&gt;"",MAXIFS(Token!$C:$C,Token!$A:$A,$D917),)</f>
        <v/>
      </c>
    </row>
    <row r="918">
      <c r="A918" s="39" t="str">
        <f>IF(AND($L918*1&gt;=$G$3,$L918*1&lt;=$G$4,$I918*$J918&gt;0,OR($I918&lt;&gt;$I919,$L918-$L919&gt;25),IF(ABS($I918)&gt;10,$I918/POW(10,$J918),$J918/POW(10,$I918))*MAXIFS(Token!$C:$C,Token!$A:$A,$K918)&gt;0.01),$L918/86400+DATE(1970,1,1)+$G$6,)</f>
        <v/>
      </c>
      <c r="B918" s="27" t="str">
        <f t="shared" si="1"/>
        <v/>
      </c>
      <c r="C918" s="14" t="str">
        <f>IF($A918&lt;&gt;"",MINIFS(Merchant!$A:$A,Merchant!$B:$B,$G$2),)</f>
        <v/>
      </c>
      <c r="D918" s="14" t="str">
        <f t="shared" si="2"/>
        <v/>
      </c>
      <c r="E918" s="14" t="str">
        <f t="shared" si="3"/>
        <v/>
      </c>
      <c r="F918" s="7" t="str">
        <f>IF($A918&lt;&gt;"",MAXIFS(Token!$C:$C,Token!$A:$A,$D918),)</f>
        <v/>
      </c>
    </row>
    <row r="919">
      <c r="A919" s="39" t="str">
        <f>IF(AND($L919*1&gt;=$G$3,$L919*1&lt;=$G$4,$I919*$J919&gt;0,OR($I919&lt;&gt;$I920,$L919-$L920&gt;25),IF(ABS($I919)&gt;10,$I919/POW(10,$J919),$J919/POW(10,$I919))*MAXIFS(Token!$C:$C,Token!$A:$A,$K919)&gt;0.01),$L919/86400+DATE(1970,1,1)+$G$6,)</f>
        <v/>
      </c>
      <c r="B919" s="27" t="str">
        <f t="shared" si="1"/>
        <v/>
      </c>
      <c r="C919" s="14" t="str">
        <f>IF($A919&lt;&gt;"",MINIFS(Merchant!$A:$A,Merchant!$B:$B,$G$2),)</f>
        <v/>
      </c>
      <c r="D919" s="14" t="str">
        <f t="shared" si="2"/>
        <v/>
      </c>
      <c r="E919" s="14" t="str">
        <f t="shared" si="3"/>
        <v/>
      </c>
      <c r="F919" s="7" t="str">
        <f>IF($A919&lt;&gt;"",MAXIFS(Token!$C:$C,Token!$A:$A,$D919),)</f>
        <v/>
      </c>
    </row>
    <row r="920">
      <c r="A920" s="39" t="str">
        <f>IF(AND($L920*1&gt;=$G$3,$L920*1&lt;=$G$4,$I920*$J920&gt;0,OR($I920&lt;&gt;$I921,$L920-$L921&gt;25),IF(ABS($I920)&gt;10,$I920/POW(10,$J920),$J920/POW(10,$I920))*MAXIFS(Token!$C:$C,Token!$A:$A,$K920)&gt;0.01),$L920/86400+DATE(1970,1,1)+$G$6,)</f>
        <v/>
      </c>
      <c r="B920" s="27" t="str">
        <f t="shared" si="1"/>
        <v/>
      </c>
      <c r="C920" s="14" t="str">
        <f>IF($A920&lt;&gt;"",MINIFS(Merchant!$A:$A,Merchant!$B:$B,$G$2),)</f>
        <v/>
      </c>
      <c r="D920" s="14" t="str">
        <f t="shared" si="2"/>
        <v/>
      </c>
      <c r="E920" s="14" t="str">
        <f t="shared" si="3"/>
        <v/>
      </c>
      <c r="F920" s="7" t="str">
        <f>IF($A920&lt;&gt;"",MAXIFS(Token!$C:$C,Token!$A:$A,$D920),)</f>
        <v/>
      </c>
    </row>
    <row r="921">
      <c r="A921" s="39" t="str">
        <f>IF(AND($L921*1&gt;=$G$3,$L921*1&lt;=$G$4,$I921*$J921&gt;0,OR($I921&lt;&gt;$I922,$L921-$L922&gt;25),IF(ABS($I921)&gt;10,$I921/POW(10,$J921),$J921/POW(10,$I921))*MAXIFS(Token!$C:$C,Token!$A:$A,$K921)&gt;0.01),$L921/86400+DATE(1970,1,1)+$G$6,)</f>
        <v/>
      </c>
      <c r="B921" s="27" t="str">
        <f t="shared" si="1"/>
        <v/>
      </c>
      <c r="C921" s="14" t="str">
        <f>IF($A921&lt;&gt;"",MINIFS(Merchant!$A:$A,Merchant!$B:$B,$G$2),)</f>
        <v/>
      </c>
      <c r="D921" s="14" t="str">
        <f t="shared" si="2"/>
        <v/>
      </c>
      <c r="E921" s="14" t="str">
        <f t="shared" si="3"/>
        <v/>
      </c>
      <c r="F921" s="7" t="str">
        <f>IF($A921&lt;&gt;"",MAXIFS(Token!$C:$C,Token!$A:$A,$D921),)</f>
        <v/>
      </c>
    </row>
    <row r="922">
      <c r="A922" s="39" t="str">
        <f>IF(AND($L922*1&gt;=$G$3,$L922*1&lt;=$G$4,$I922*$J922&gt;0,OR($I922&lt;&gt;$I923,$L922-$L923&gt;25),IF(ABS($I922)&gt;10,$I922/POW(10,$J922),$J922/POW(10,$I922))*MAXIFS(Token!$C:$C,Token!$A:$A,$K922)&gt;0.01),$L922/86400+DATE(1970,1,1)+$G$6,)</f>
        <v/>
      </c>
      <c r="B922" s="27" t="str">
        <f t="shared" si="1"/>
        <v/>
      </c>
      <c r="C922" s="14" t="str">
        <f>IF($A922&lt;&gt;"",MINIFS(Merchant!$A:$A,Merchant!$B:$B,$G$2),)</f>
        <v/>
      </c>
      <c r="D922" s="14" t="str">
        <f t="shared" si="2"/>
        <v/>
      </c>
      <c r="E922" s="14" t="str">
        <f t="shared" si="3"/>
        <v/>
      </c>
      <c r="F922" s="7" t="str">
        <f>IF($A922&lt;&gt;"",MAXIFS(Token!$C:$C,Token!$A:$A,$D922),)</f>
        <v/>
      </c>
    </row>
    <row r="923">
      <c r="A923" s="39" t="str">
        <f>IF(AND($L923*1&gt;=$G$3,$L923*1&lt;=$G$4,$I923*$J923&gt;0,OR($I923&lt;&gt;$I924,$L923-$L924&gt;25),IF(ABS($I923)&gt;10,$I923/POW(10,$J923),$J923/POW(10,$I923))*MAXIFS(Token!$C:$C,Token!$A:$A,$K923)&gt;0.01),$L923/86400+DATE(1970,1,1)+$G$6,)</f>
        <v/>
      </c>
      <c r="B923" s="27" t="str">
        <f t="shared" si="1"/>
        <v/>
      </c>
      <c r="C923" s="14" t="str">
        <f>IF($A923&lt;&gt;"",MINIFS(Merchant!$A:$A,Merchant!$B:$B,$G$2),)</f>
        <v/>
      </c>
      <c r="D923" s="14" t="str">
        <f t="shared" si="2"/>
        <v/>
      </c>
      <c r="E923" s="14" t="str">
        <f t="shared" si="3"/>
        <v/>
      </c>
      <c r="F923" s="7" t="str">
        <f>IF($A923&lt;&gt;"",MAXIFS(Token!$C:$C,Token!$A:$A,$D923),)</f>
        <v/>
      </c>
    </row>
    <row r="924">
      <c r="A924" s="39" t="str">
        <f>IF(AND($L924*1&gt;=$G$3,$L924*1&lt;=$G$4,$I924*$J924&gt;0,OR($I924&lt;&gt;$I925,$L924-$L925&gt;25),IF(ABS($I924)&gt;10,$I924/POW(10,$J924),$J924/POW(10,$I924))*MAXIFS(Token!$C:$C,Token!$A:$A,$K924)&gt;0.01),$L924/86400+DATE(1970,1,1)+$G$6,)</f>
        <v/>
      </c>
      <c r="B924" s="27" t="str">
        <f t="shared" si="1"/>
        <v/>
      </c>
      <c r="C924" s="14" t="str">
        <f>IF($A924&lt;&gt;"",MINIFS(Merchant!$A:$A,Merchant!$B:$B,$G$2),)</f>
        <v/>
      </c>
      <c r="D924" s="14" t="str">
        <f t="shared" si="2"/>
        <v/>
      </c>
      <c r="E924" s="14" t="str">
        <f t="shared" si="3"/>
        <v/>
      </c>
      <c r="F924" s="7" t="str">
        <f>IF($A924&lt;&gt;"",MAXIFS(Token!$C:$C,Token!$A:$A,$D924),)</f>
        <v/>
      </c>
    </row>
    <row r="925">
      <c r="A925" s="39" t="str">
        <f>IF(AND($L925*1&gt;=$G$3,$L925*1&lt;=$G$4,$I925*$J925&gt;0,OR($I925&lt;&gt;$I926,$L925-$L926&gt;25),IF(ABS($I925)&gt;10,$I925/POW(10,$J925),$J925/POW(10,$I925))*MAXIFS(Token!$C:$C,Token!$A:$A,$K925)&gt;0.01),$L925/86400+DATE(1970,1,1)+$G$6,)</f>
        <v/>
      </c>
      <c r="B925" s="27" t="str">
        <f t="shared" si="1"/>
        <v/>
      </c>
      <c r="C925" s="14" t="str">
        <f>IF($A925&lt;&gt;"",MINIFS(Merchant!$A:$A,Merchant!$B:$B,$G$2),)</f>
        <v/>
      </c>
      <c r="D925" s="14" t="str">
        <f t="shared" si="2"/>
        <v/>
      </c>
      <c r="E925" s="14" t="str">
        <f t="shared" si="3"/>
        <v/>
      </c>
      <c r="F925" s="7" t="str">
        <f>IF($A925&lt;&gt;"",MAXIFS(Token!$C:$C,Token!$A:$A,$D925),)</f>
        <v/>
      </c>
    </row>
    <row r="926">
      <c r="A926" s="39" t="str">
        <f>IF(AND($L926*1&gt;=$G$3,$L926*1&lt;=$G$4,$I926*$J926&gt;0,OR($I926&lt;&gt;$I927,$L926-$L927&gt;25),IF(ABS($I926)&gt;10,$I926/POW(10,$J926),$J926/POW(10,$I926))*MAXIFS(Token!$C:$C,Token!$A:$A,$K926)&gt;0.01),$L926/86400+DATE(1970,1,1)+$G$6,)</f>
        <v/>
      </c>
      <c r="B926" s="27" t="str">
        <f t="shared" si="1"/>
        <v/>
      </c>
      <c r="C926" s="14" t="str">
        <f>IF($A926&lt;&gt;"",MINIFS(Merchant!$A:$A,Merchant!$B:$B,$G$2),)</f>
        <v/>
      </c>
      <c r="D926" s="14" t="str">
        <f t="shared" si="2"/>
        <v/>
      </c>
      <c r="E926" s="14" t="str">
        <f t="shared" si="3"/>
        <v/>
      </c>
      <c r="F926" s="7" t="str">
        <f>IF($A926&lt;&gt;"",MAXIFS(Token!$C:$C,Token!$A:$A,$D926),)</f>
        <v/>
      </c>
    </row>
    <row r="927">
      <c r="A927" s="39" t="str">
        <f>IF(AND($L927*1&gt;=$G$3,$L927*1&lt;=$G$4,$I927*$J927&gt;0,OR($I927&lt;&gt;$I928,$L927-$L928&gt;25),IF(ABS($I927)&gt;10,$I927/POW(10,$J927),$J927/POW(10,$I927))*MAXIFS(Token!$C:$C,Token!$A:$A,$K927)&gt;0.01),$L927/86400+DATE(1970,1,1)+$G$6,)</f>
        <v/>
      </c>
      <c r="B927" s="27" t="str">
        <f t="shared" si="1"/>
        <v/>
      </c>
      <c r="C927" s="14" t="str">
        <f>IF($A927&lt;&gt;"",MINIFS(Merchant!$A:$A,Merchant!$B:$B,$G$2),)</f>
        <v/>
      </c>
      <c r="D927" s="14" t="str">
        <f t="shared" si="2"/>
        <v/>
      </c>
      <c r="E927" s="14" t="str">
        <f t="shared" si="3"/>
        <v/>
      </c>
      <c r="F927" s="7" t="str">
        <f>IF($A927&lt;&gt;"",MAXIFS(Token!$C:$C,Token!$A:$A,$D927),)</f>
        <v/>
      </c>
    </row>
    <row r="928">
      <c r="A928" s="39" t="str">
        <f>IF(AND($L928*1&gt;=$G$3,$L928*1&lt;=$G$4,$I928*$J928&gt;0,OR($I928&lt;&gt;$I929,$L928-$L929&gt;25),IF(ABS($I928)&gt;10,$I928/POW(10,$J928),$J928/POW(10,$I928))*MAXIFS(Token!$C:$C,Token!$A:$A,$K928)&gt;0.01),$L928/86400+DATE(1970,1,1)+$G$6,)</f>
        <v/>
      </c>
      <c r="B928" s="27" t="str">
        <f t="shared" si="1"/>
        <v/>
      </c>
      <c r="C928" s="14" t="str">
        <f>IF($A928&lt;&gt;"",MINIFS(Merchant!$A:$A,Merchant!$B:$B,$G$2),)</f>
        <v/>
      </c>
      <c r="D928" s="14" t="str">
        <f t="shared" si="2"/>
        <v/>
      </c>
      <c r="E928" s="14" t="str">
        <f t="shared" si="3"/>
        <v/>
      </c>
      <c r="F928" s="7" t="str">
        <f>IF($A928&lt;&gt;"",MAXIFS(Token!$C:$C,Token!$A:$A,$D928),)</f>
        <v/>
      </c>
    </row>
    <row r="929">
      <c r="A929" s="39" t="str">
        <f>IF(AND($L929*1&gt;=$G$3,$L929*1&lt;=$G$4,$I929*$J929&gt;0,OR($I929&lt;&gt;$I930,$L929-$L930&gt;25),IF(ABS($I929)&gt;10,$I929/POW(10,$J929),$J929/POW(10,$I929))*MAXIFS(Token!$C:$C,Token!$A:$A,$K929)&gt;0.01),$L929/86400+DATE(1970,1,1)+$G$6,)</f>
        <v/>
      </c>
      <c r="B929" s="27" t="str">
        <f t="shared" si="1"/>
        <v/>
      </c>
      <c r="C929" s="14" t="str">
        <f>IF($A929&lt;&gt;"",MINIFS(Merchant!$A:$A,Merchant!$B:$B,$G$2),)</f>
        <v/>
      </c>
      <c r="D929" s="14" t="str">
        <f t="shared" si="2"/>
        <v/>
      </c>
      <c r="E929" s="14" t="str">
        <f t="shared" si="3"/>
        <v/>
      </c>
      <c r="F929" s="7" t="str">
        <f>IF($A929&lt;&gt;"",MAXIFS(Token!$C:$C,Token!$A:$A,$D929),)</f>
        <v/>
      </c>
    </row>
    <row r="930">
      <c r="A930" s="39" t="str">
        <f>IF(AND($L930*1&gt;=$G$3,$L930*1&lt;=$G$4,$I930*$J930&gt;0,OR($I930&lt;&gt;$I931,$L930-$L931&gt;25),IF(ABS($I930)&gt;10,$I930/POW(10,$J930),$J930/POW(10,$I930))*MAXIFS(Token!$C:$C,Token!$A:$A,$K930)&gt;0.01),$L930/86400+DATE(1970,1,1)+$G$6,)</f>
        <v/>
      </c>
      <c r="B930" s="27" t="str">
        <f t="shared" si="1"/>
        <v/>
      </c>
      <c r="C930" s="14" t="str">
        <f>IF($A930&lt;&gt;"",MINIFS(Merchant!$A:$A,Merchant!$B:$B,$G$2),)</f>
        <v/>
      </c>
      <c r="D930" s="14" t="str">
        <f t="shared" si="2"/>
        <v/>
      </c>
      <c r="E930" s="14" t="str">
        <f t="shared" si="3"/>
        <v/>
      </c>
      <c r="F930" s="7" t="str">
        <f>IF($A930&lt;&gt;"",MAXIFS(Token!$C:$C,Token!$A:$A,$D930),)</f>
        <v/>
      </c>
    </row>
    <row r="931">
      <c r="A931" s="39" t="str">
        <f>IF(AND($L931*1&gt;=$G$3,$L931*1&lt;=$G$4,$I931*$J931&gt;0,OR($I931&lt;&gt;$I932,$L931-$L932&gt;25),IF(ABS($I931)&gt;10,$I931/POW(10,$J931),$J931/POW(10,$I931))*MAXIFS(Token!$C:$C,Token!$A:$A,$K931)&gt;0.01),$L931/86400+DATE(1970,1,1)+$G$6,)</f>
        <v/>
      </c>
      <c r="B931" s="27" t="str">
        <f t="shared" si="1"/>
        <v/>
      </c>
      <c r="C931" s="14" t="str">
        <f>IF($A931&lt;&gt;"",MINIFS(Merchant!$A:$A,Merchant!$B:$B,$G$2),)</f>
        <v/>
      </c>
      <c r="D931" s="14" t="str">
        <f t="shared" si="2"/>
        <v/>
      </c>
      <c r="E931" s="14" t="str">
        <f t="shared" si="3"/>
        <v/>
      </c>
      <c r="F931" s="7" t="str">
        <f>IF($A931&lt;&gt;"",MAXIFS(Token!$C:$C,Token!$A:$A,$D931),)</f>
        <v/>
      </c>
    </row>
    <row r="932">
      <c r="A932" s="39" t="str">
        <f>IF(AND($L932*1&gt;=$G$3,$L932*1&lt;=$G$4,$I932*$J932&gt;0,OR($I932&lt;&gt;$I933,$L932-$L933&gt;25),IF(ABS($I932)&gt;10,$I932/POW(10,$J932),$J932/POW(10,$I932))*MAXIFS(Token!$C:$C,Token!$A:$A,$K932)&gt;0.01),$L932/86400+DATE(1970,1,1)+$G$6,)</f>
        <v/>
      </c>
      <c r="B932" s="27" t="str">
        <f t="shared" si="1"/>
        <v/>
      </c>
      <c r="C932" s="14" t="str">
        <f>IF($A932&lt;&gt;"",MINIFS(Merchant!$A:$A,Merchant!$B:$B,$G$2),)</f>
        <v/>
      </c>
      <c r="D932" s="14" t="str">
        <f t="shared" si="2"/>
        <v/>
      </c>
      <c r="E932" s="14" t="str">
        <f t="shared" si="3"/>
        <v/>
      </c>
      <c r="F932" s="7" t="str">
        <f>IF($A932&lt;&gt;"",MAXIFS(Token!$C:$C,Token!$A:$A,$D932),)</f>
        <v/>
      </c>
    </row>
    <row r="933">
      <c r="A933" s="39" t="str">
        <f>IF(AND($L933*1&gt;=$G$3,$L933*1&lt;=$G$4,$I933*$J933&gt;0,OR($I933&lt;&gt;$I934,$L933-$L934&gt;25),IF(ABS($I933)&gt;10,$I933/POW(10,$J933),$J933/POW(10,$I933))*MAXIFS(Token!$C:$C,Token!$A:$A,$K933)&gt;0.01),$L933/86400+DATE(1970,1,1)+$G$6,)</f>
        <v/>
      </c>
      <c r="B933" s="27" t="str">
        <f t="shared" si="1"/>
        <v/>
      </c>
      <c r="C933" s="14" t="str">
        <f>IF($A933&lt;&gt;"",MINIFS(Merchant!$A:$A,Merchant!$B:$B,$G$2),)</f>
        <v/>
      </c>
      <c r="D933" s="14" t="str">
        <f t="shared" si="2"/>
        <v/>
      </c>
      <c r="E933" s="14" t="str">
        <f t="shared" si="3"/>
        <v/>
      </c>
      <c r="F933" s="7" t="str">
        <f>IF($A933&lt;&gt;"",MAXIFS(Token!$C:$C,Token!$A:$A,$D933),)</f>
        <v/>
      </c>
    </row>
    <row r="934">
      <c r="A934" s="39" t="str">
        <f>IF(AND($L934*1&gt;=$G$3,$L934*1&lt;=$G$4,$I934*$J934&gt;0,OR($I934&lt;&gt;$I935,$L934-$L935&gt;25),IF(ABS($I934)&gt;10,$I934/POW(10,$J934),$J934/POW(10,$I934))*MAXIFS(Token!$C:$C,Token!$A:$A,$K934)&gt;0.01),$L934/86400+DATE(1970,1,1)+$G$6,)</f>
        <v/>
      </c>
      <c r="B934" s="27" t="str">
        <f t="shared" si="1"/>
        <v/>
      </c>
      <c r="C934" s="14" t="str">
        <f>IF($A934&lt;&gt;"",MINIFS(Merchant!$A:$A,Merchant!$B:$B,$G$2),)</f>
        <v/>
      </c>
      <c r="D934" s="14" t="str">
        <f t="shared" si="2"/>
        <v/>
      </c>
      <c r="E934" s="14" t="str">
        <f t="shared" si="3"/>
        <v/>
      </c>
      <c r="F934" s="7" t="str">
        <f>IF($A934&lt;&gt;"",MAXIFS(Token!$C:$C,Token!$A:$A,$D934),)</f>
        <v/>
      </c>
    </row>
    <row r="935">
      <c r="A935" s="39" t="str">
        <f>IF(AND($L935*1&gt;=$G$3,$L935*1&lt;=$G$4,$I935*$J935&gt;0,OR($I935&lt;&gt;$I936,$L935-$L936&gt;25),IF(ABS($I935)&gt;10,$I935/POW(10,$J935),$J935/POW(10,$I935))*MAXIFS(Token!$C:$C,Token!$A:$A,$K935)&gt;0.01),$L935/86400+DATE(1970,1,1)+$G$6,)</f>
        <v/>
      </c>
      <c r="B935" s="27" t="str">
        <f t="shared" si="1"/>
        <v/>
      </c>
      <c r="C935" s="14" t="str">
        <f>IF($A935&lt;&gt;"",MINIFS(Merchant!$A:$A,Merchant!$B:$B,$G$2),)</f>
        <v/>
      </c>
      <c r="D935" s="14" t="str">
        <f t="shared" si="2"/>
        <v/>
      </c>
      <c r="E935" s="14" t="str">
        <f t="shared" si="3"/>
        <v/>
      </c>
      <c r="F935" s="7" t="str">
        <f>IF($A935&lt;&gt;"",MAXIFS(Token!$C:$C,Token!$A:$A,$D935),)</f>
        <v/>
      </c>
    </row>
    <row r="936">
      <c r="A936" s="39" t="str">
        <f>IF(AND($L936*1&gt;=$G$3,$L936*1&lt;=$G$4,$I936*$J936&gt;0,OR($I936&lt;&gt;$I937,$L936-$L937&gt;25),IF(ABS($I936)&gt;10,$I936/POW(10,$J936),$J936/POW(10,$I936))*MAXIFS(Token!$C:$C,Token!$A:$A,$K936)&gt;0.01),$L936/86400+DATE(1970,1,1)+$G$6,)</f>
        <v/>
      </c>
      <c r="B936" s="27" t="str">
        <f t="shared" si="1"/>
        <v/>
      </c>
      <c r="C936" s="14" t="str">
        <f>IF($A936&lt;&gt;"",MINIFS(Merchant!$A:$A,Merchant!$B:$B,$G$2),)</f>
        <v/>
      </c>
      <c r="D936" s="14" t="str">
        <f t="shared" si="2"/>
        <v/>
      </c>
      <c r="E936" s="14" t="str">
        <f t="shared" si="3"/>
        <v/>
      </c>
      <c r="F936" s="7" t="str">
        <f>IF($A936&lt;&gt;"",MAXIFS(Token!$C:$C,Token!$A:$A,$D936),)</f>
        <v/>
      </c>
    </row>
    <row r="937">
      <c r="A937" s="39" t="str">
        <f>IF(AND($L937*1&gt;=$G$3,$L937*1&lt;=$G$4,$I937*$J937&gt;0,OR($I937&lt;&gt;$I938,$L937-$L938&gt;25),IF(ABS($I937)&gt;10,$I937/POW(10,$J937),$J937/POW(10,$I937))*MAXIFS(Token!$C:$C,Token!$A:$A,$K937)&gt;0.01),$L937/86400+DATE(1970,1,1)+$G$6,)</f>
        <v/>
      </c>
      <c r="B937" s="27" t="str">
        <f t="shared" si="1"/>
        <v/>
      </c>
      <c r="C937" s="14" t="str">
        <f>IF($A937&lt;&gt;"",MINIFS(Merchant!$A:$A,Merchant!$B:$B,$G$2),)</f>
        <v/>
      </c>
      <c r="D937" s="14" t="str">
        <f t="shared" si="2"/>
        <v/>
      </c>
      <c r="E937" s="14" t="str">
        <f t="shared" si="3"/>
        <v/>
      </c>
      <c r="F937" s="7" t="str">
        <f>IF($A937&lt;&gt;"",MAXIFS(Token!$C:$C,Token!$A:$A,$D937),)</f>
        <v/>
      </c>
    </row>
    <row r="938">
      <c r="A938" s="39" t="str">
        <f>IF(AND($L938*1&gt;=$G$3,$L938*1&lt;=$G$4,$I938*$J938&gt;0,OR($I938&lt;&gt;$I939,$L938-$L939&gt;25),IF(ABS($I938)&gt;10,$I938/POW(10,$J938),$J938/POW(10,$I938))*MAXIFS(Token!$C:$C,Token!$A:$A,$K938)&gt;0.01),$L938/86400+DATE(1970,1,1)+$G$6,)</f>
        <v/>
      </c>
      <c r="B938" s="27" t="str">
        <f t="shared" si="1"/>
        <v/>
      </c>
      <c r="C938" s="14" t="str">
        <f>IF($A938&lt;&gt;"",MINIFS(Merchant!$A:$A,Merchant!$B:$B,$G$2),)</f>
        <v/>
      </c>
      <c r="D938" s="14" t="str">
        <f t="shared" si="2"/>
        <v/>
      </c>
      <c r="E938" s="14" t="str">
        <f t="shared" si="3"/>
        <v/>
      </c>
      <c r="F938" s="7" t="str">
        <f>IF($A938&lt;&gt;"",MAXIFS(Token!$C:$C,Token!$A:$A,$D938),)</f>
        <v/>
      </c>
    </row>
    <row r="939">
      <c r="A939" s="39" t="str">
        <f>IF(AND($L939*1&gt;=$G$3,$L939*1&lt;=$G$4,$I939*$J939&gt;0,OR($I939&lt;&gt;$I940,$L939-$L940&gt;25),IF(ABS($I939)&gt;10,$I939/POW(10,$J939),$J939/POW(10,$I939))*MAXIFS(Token!$C:$C,Token!$A:$A,$K939)&gt;0.01),$L939/86400+DATE(1970,1,1)+$G$6,)</f>
        <v/>
      </c>
      <c r="B939" s="27" t="str">
        <f t="shared" si="1"/>
        <v/>
      </c>
      <c r="C939" s="14" t="str">
        <f>IF($A939&lt;&gt;"",MINIFS(Merchant!$A:$A,Merchant!$B:$B,$G$2),)</f>
        <v/>
      </c>
      <c r="D939" s="14" t="str">
        <f t="shared" si="2"/>
        <v/>
      </c>
      <c r="E939" s="14" t="str">
        <f t="shared" si="3"/>
        <v/>
      </c>
      <c r="F939" s="7" t="str">
        <f>IF($A939&lt;&gt;"",MAXIFS(Token!$C:$C,Token!$A:$A,$D939),)</f>
        <v/>
      </c>
    </row>
    <row r="940">
      <c r="A940" s="39" t="str">
        <f>IF(AND($L940*1&gt;=$G$3,$L940*1&lt;=$G$4,$I940*$J940&gt;0,OR($I940&lt;&gt;$I941,$L940-$L941&gt;25),IF(ABS($I940)&gt;10,$I940/POW(10,$J940),$J940/POW(10,$I940))*MAXIFS(Token!$C:$C,Token!$A:$A,$K940)&gt;0.01),$L940/86400+DATE(1970,1,1)+$G$6,)</f>
        <v/>
      </c>
      <c r="B940" s="27" t="str">
        <f t="shared" si="1"/>
        <v/>
      </c>
      <c r="C940" s="14" t="str">
        <f>IF($A940&lt;&gt;"",MINIFS(Merchant!$A:$A,Merchant!$B:$B,$G$2),)</f>
        <v/>
      </c>
      <c r="D940" s="14" t="str">
        <f t="shared" si="2"/>
        <v/>
      </c>
      <c r="E940" s="14" t="str">
        <f t="shared" si="3"/>
        <v/>
      </c>
      <c r="F940" s="7" t="str">
        <f>IF($A940&lt;&gt;"",MAXIFS(Token!$C:$C,Token!$A:$A,$D940),)</f>
        <v/>
      </c>
    </row>
    <row r="941">
      <c r="A941" s="39" t="str">
        <f>IF(AND($L941*1&gt;=$G$3,$L941*1&lt;=$G$4,$I941*$J941&gt;0,OR($I941&lt;&gt;$I942,$L941-$L942&gt;25),IF(ABS($I941)&gt;10,$I941/POW(10,$J941),$J941/POW(10,$I941))*MAXIFS(Token!$C:$C,Token!$A:$A,$K941)&gt;0.01),$L941/86400+DATE(1970,1,1)+$G$6,)</f>
        <v/>
      </c>
      <c r="B941" s="27" t="str">
        <f t="shared" si="1"/>
        <v/>
      </c>
      <c r="C941" s="14" t="str">
        <f>IF($A941&lt;&gt;"",MINIFS(Merchant!$A:$A,Merchant!$B:$B,$G$2),)</f>
        <v/>
      </c>
      <c r="D941" s="14" t="str">
        <f t="shared" si="2"/>
        <v/>
      </c>
      <c r="E941" s="14" t="str">
        <f t="shared" si="3"/>
        <v/>
      </c>
      <c r="F941" s="7" t="str">
        <f>IF($A941&lt;&gt;"",MAXIFS(Token!$C:$C,Token!$A:$A,$D941),)</f>
        <v/>
      </c>
    </row>
    <row r="942">
      <c r="A942" s="39" t="str">
        <f>IF(AND($L942*1&gt;=$G$3,$L942*1&lt;=$G$4,$I942*$J942&gt;0,OR($I942&lt;&gt;$I943,$L942-$L943&gt;25),IF(ABS($I942)&gt;10,$I942/POW(10,$J942),$J942/POW(10,$I942))*MAXIFS(Token!$C:$C,Token!$A:$A,$K942)&gt;0.01),$L942/86400+DATE(1970,1,1)+$G$6,)</f>
        <v/>
      </c>
      <c r="B942" s="27" t="str">
        <f t="shared" si="1"/>
        <v/>
      </c>
      <c r="C942" s="14" t="str">
        <f>IF($A942&lt;&gt;"",MINIFS(Merchant!$A:$A,Merchant!$B:$B,$G$2),)</f>
        <v/>
      </c>
      <c r="D942" s="14" t="str">
        <f t="shared" si="2"/>
        <v/>
      </c>
      <c r="E942" s="14" t="str">
        <f t="shared" si="3"/>
        <v/>
      </c>
      <c r="F942" s="7" t="str">
        <f>IF($A942&lt;&gt;"",MAXIFS(Token!$C:$C,Token!$A:$A,$D942),)</f>
        <v/>
      </c>
    </row>
    <row r="943">
      <c r="A943" s="39" t="str">
        <f>IF(AND($L943*1&gt;=$G$3,$L943*1&lt;=$G$4,$I943*$J943&gt;0,OR($I943&lt;&gt;$I944,$L943-$L944&gt;25),IF(ABS($I943)&gt;10,$I943/POW(10,$J943),$J943/POW(10,$I943))*MAXIFS(Token!$C:$C,Token!$A:$A,$K943)&gt;0.01),$L943/86400+DATE(1970,1,1)+$G$6,)</f>
        <v/>
      </c>
      <c r="B943" s="27" t="str">
        <f t="shared" si="1"/>
        <v/>
      </c>
      <c r="C943" s="14" t="str">
        <f>IF($A943&lt;&gt;"",MINIFS(Merchant!$A:$A,Merchant!$B:$B,$G$2),)</f>
        <v/>
      </c>
      <c r="D943" s="14" t="str">
        <f t="shared" si="2"/>
        <v/>
      </c>
      <c r="E943" s="14" t="str">
        <f t="shared" si="3"/>
        <v/>
      </c>
      <c r="F943" s="7" t="str">
        <f>IF($A943&lt;&gt;"",MAXIFS(Token!$C:$C,Token!$A:$A,$D943),)</f>
        <v/>
      </c>
    </row>
    <row r="944">
      <c r="A944" s="39" t="str">
        <f>IF(AND($L944*1&gt;=$G$3,$L944*1&lt;=$G$4,$I944*$J944&gt;0,OR($I944&lt;&gt;$I945,$L944-$L945&gt;25),IF(ABS($I944)&gt;10,$I944/POW(10,$J944),$J944/POW(10,$I944))*MAXIFS(Token!$C:$C,Token!$A:$A,$K944)&gt;0.01),$L944/86400+DATE(1970,1,1)+$G$6,)</f>
        <v/>
      </c>
      <c r="B944" s="27" t="str">
        <f t="shared" si="1"/>
        <v/>
      </c>
      <c r="C944" s="14" t="str">
        <f>IF($A944&lt;&gt;"",MINIFS(Merchant!$A:$A,Merchant!$B:$B,$G$2),)</f>
        <v/>
      </c>
      <c r="D944" s="14" t="str">
        <f t="shared" si="2"/>
        <v/>
      </c>
      <c r="E944" s="14" t="str">
        <f t="shared" si="3"/>
        <v/>
      </c>
      <c r="F944" s="7" t="str">
        <f>IF($A944&lt;&gt;"",MAXIFS(Token!$C:$C,Token!$A:$A,$D944),)</f>
        <v/>
      </c>
    </row>
    <row r="945">
      <c r="A945" s="39" t="str">
        <f>IF(AND($L945*1&gt;=$G$3,$L945*1&lt;=$G$4,$I945*$J945&gt;0,OR($I945&lt;&gt;$I946,$L945-$L946&gt;25),IF(ABS($I945)&gt;10,$I945/POW(10,$J945),$J945/POW(10,$I945))*MAXIFS(Token!$C:$C,Token!$A:$A,$K945)&gt;0.01),$L945/86400+DATE(1970,1,1)+$G$6,)</f>
        <v/>
      </c>
      <c r="B945" s="27" t="str">
        <f t="shared" si="1"/>
        <v/>
      </c>
      <c r="C945" s="14" t="str">
        <f>IF($A945&lt;&gt;"",MINIFS(Merchant!$A:$A,Merchant!$B:$B,$G$2),)</f>
        <v/>
      </c>
      <c r="D945" s="14" t="str">
        <f t="shared" si="2"/>
        <v/>
      </c>
      <c r="E945" s="14" t="str">
        <f t="shared" si="3"/>
        <v/>
      </c>
      <c r="F945" s="7" t="str">
        <f>IF($A945&lt;&gt;"",MAXIFS(Token!$C:$C,Token!$A:$A,$D945),)</f>
        <v/>
      </c>
    </row>
    <row r="946">
      <c r="A946" s="39" t="str">
        <f>IF(AND($L946*1&gt;=$G$3,$L946*1&lt;=$G$4,$I946*$J946&gt;0,OR($I946&lt;&gt;$I947,$L946-$L947&gt;25),IF(ABS($I946)&gt;10,$I946/POW(10,$J946),$J946/POW(10,$I946))*MAXIFS(Token!$C:$C,Token!$A:$A,$K946)&gt;0.01),$L946/86400+DATE(1970,1,1)+$G$6,)</f>
        <v/>
      </c>
      <c r="B946" s="27" t="str">
        <f t="shared" si="1"/>
        <v/>
      </c>
      <c r="C946" s="14" t="str">
        <f>IF($A946&lt;&gt;"",MINIFS(Merchant!$A:$A,Merchant!$B:$B,$G$2),)</f>
        <v/>
      </c>
      <c r="D946" s="14" t="str">
        <f t="shared" si="2"/>
        <v/>
      </c>
      <c r="E946" s="14" t="str">
        <f t="shared" si="3"/>
        <v/>
      </c>
      <c r="F946" s="7" t="str">
        <f>IF($A946&lt;&gt;"",MAXIFS(Token!$C:$C,Token!$A:$A,$D946),)</f>
        <v/>
      </c>
    </row>
    <row r="947">
      <c r="A947" s="39" t="str">
        <f>IF(AND($L947*1&gt;=$G$3,$L947*1&lt;=$G$4,$I947*$J947&gt;0,OR($I947&lt;&gt;$I948,$L947-$L948&gt;25),IF(ABS($I947)&gt;10,$I947/POW(10,$J947),$J947/POW(10,$I947))*MAXIFS(Token!$C:$C,Token!$A:$A,$K947)&gt;0.01),$L947/86400+DATE(1970,1,1)+$G$6,)</f>
        <v/>
      </c>
      <c r="B947" s="27" t="str">
        <f t="shared" si="1"/>
        <v/>
      </c>
      <c r="C947" s="14" t="str">
        <f>IF($A947&lt;&gt;"",MINIFS(Merchant!$A:$A,Merchant!$B:$B,$G$2),)</f>
        <v/>
      </c>
      <c r="D947" s="14" t="str">
        <f t="shared" si="2"/>
        <v/>
      </c>
      <c r="E947" s="14" t="str">
        <f t="shared" si="3"/>
        <v/>
      </c>
      <c r="F947" s="7" t="str">
        <f>IF($A947&lt;&gt;"",MAXIFS(Token!$C:$C,Token!$A:$A,$D947),)</f>
        <v/>
      </c>
    </row>
    <row r="948">
      <c r="A948" s="39" t="str">
        <f>IF(AND($L948*1&gt;=$G$3,$L948*1&lt;=$G$4,$I948*$J948&gt;0,OR($I948&lt;&gt;$I949,$L948-$L949&gt;25),IF(ABS($I948)&gt;10,$I948/POW(10,$J948),$J948/POW(10,$I948))*MAXIFS(Token!$C:$C,Token!$A:$A,$K948)&gt;0.01),$L948/86400+DATE(1970,1,1)+$G$6,)</f>
        <v/>
      </c>
      <c r="B948" s="27" t="str">
        <f t="shared" si="1"/>
        <v/>
      </c>
      <c r="C948" s="14" t="str">
        <f>IF($A948&lt;&gt;"",MINIFS(Merchant!$A:$A,Merchant!$B:$B,$G$2),)</f>
        <v/>
      </c>
      <c r="D948" s="14" t="str">
        <f t="shared" si="2"/>
        <v/>
      </c>
      <c r="E948" s="14" t="str">
        <f t="shared" si="3"/>
        <v/>
      </c>
      <c r="F948" s="7" t="str">
        <f>IF($A948&lt;&gt;"",MAXIFS(Token!$C:$C,Token!$A:$A,$D948),)</f>
        <v/>
      </c>
    </row>
    <row r="949">
      <c r="A949" s="39" t="str">
        <f>IF(AND($L949*1&gt;=$G$3,$L949*1&lt;=$G$4,$I949*$J949&gt;0,OR($I949&lt;&gt;$I950,$L949-$L950&gt;25),IF(ABS($I949)&gt;10,$I949/POW(10,$J949),$J949/POW(10,$I949))*MAXIFS(Token!$C:$C,Token!$A:$A,$K949)&gt;0.01),$L949/86400+DATE(1970,1,1)+$G$6,)</f>
        <v/>
      </c>
      <c r="B949" s="27" t="str">
        <f t="shared" si="1"/>
        <v/>
      </c>
      <c r="C949" s="14" t="str">
        <f>IF($A949&lt;&gt;"",MINIFS(Merchant!$A:$A,Merchant!$B:$B,$G$2),)</f>
        <v/>
      </c>
      <c r="D949" s="14" t="str">
        <f t="shared" si="2"/>
        <v/>
      </c>
      <c r="E949" s="14" t="str">
        <f t="shared" si="3"/>
        <v/>
      </c>
      <c r="F949" s="7" t="str">
        <f>IF($A949&lt;&gt;"",MAXIFS(Token!$C:$C,Token!$A:$A,$D949),)</f>
        <v/>
      </c>
    </row>
    <row r="950">
      <c r="A950" s="39" t="str">
        <f>IF(AND($L950*1&gt;=$G$3,$L950*1&lt;=$G$4,$I950*$J950&gt;0,OR($I950&lt;&gt;$I951,$L950-$L951&gt;25),IF(ABS($I950)&gt;10,$I950/POW(10,$J950),$J950/POW(10,$I950))*MAXIFS(Token!$C:$C,Token!$A:$A,$K950)&gt;0.01),$L950/86400+DATE(1970,1,1)+$G$6,)</f>
        <v/>
      </c>
      <c r="B950" s="27" t="str">
        <f t="shared" si="1"/>
        <v/>
      </c>
      <c r="C950" s="14" t="str">
        <f>IF($A950&lt;&gt;"",MINIFS(Merchant!$A:$A,Merchant!$B:$B,$G$2),)</f>
        <v/>
      </c>
      <c r="D950" s="14" t="str">
        <f t="shared" si="2"/>
        <v/>
      </c>
      <c r="E950" s="14" t="str">
        <f t="shared" si="3"/>
        <v/>
      </c>
      <c r="F950" s="7" t="str">
        <f>IF($A950&lt;&gt;"",MAXIFS(Token!$C:$C,Token!$A:$A,$D950),)</f>
        <v/>
      </c>
    </row>
    <row r="951">
      <c r="A951" s="39" t="str">
        <f>IF(AND($L951*1&gt;=$G$3,$L951*1&lt;=$G$4,$I951*$J951&gt;0,OR($I951&lt;&gt;$I952,$L951-$L952&gt;25),IF(ABS($I951)&gt;10,$I951/POW(10,$J951),$J951/POW(10,$I951))*MAXIFS(Token!$C:$C,Token!$A:$A,$K951)&gt;0.01),$L951/86400+DATE(1970,1,1)+$G$6,)</f>
        <v/>
      </c>
      <c r="B951" s="27" t="str">
        <f t="shared" si="1"/>
        <v/>
      </c>
      <c r="C951" s="14" t="str">
        <f>IF($A951&lt;&gt;"",MINIFS(Merchant!$A:$A,Merchant!$B:$B,$G$2),)</f>
        <v/>
      </c>
      <c r="D951" s="14" t="str">
        <f t="shared" si="2"/>
        <v/>
      </c>
      <c r="E951" s="14" t="str">
        <f t="shared" si="3"/>
        <v/>
      </c>
      <c r="F951" s="7" t="str">
        <f>IF($A951&lt;&gt;"",MAXIFS(Token!$C:$C,Token!$A:$A,$D951),)</f>
        <v/>
      </c>
    </row>
    <row r="952">
      <c r="A952" s="39" t="str">
        <f>IF(AND($L952*1&gt;=$G$3,$L952*1&lt;=$G$4,$I952*$J952&gt;0,OR($I952&lt;&gt;$I953,$L952-$L953&gt;25),IF(ABS($I952)&gt;10,$I952/POW(10,$J952),$J952/POW(10,$I952))*MAXIFS(Token!$C:$C,Token!$A:$A,$K952)&gt;0.01),$L952/86400+DATE(1970,1,1)+$G$6,)</f>
        <v/>
      </c>
      <c r="B952" s="27" t="str">
        <f t="shared" si="1"/>
        <v/>
      </c>
      <c r="C952" s="14" t="str">
        <f>IF($A952&lt;&gt;"",MINIFS(Merchant!$A:$A,Merchant!$B:$B,$G$2),)</f>
        <v/>
      </c>
      <c r="D952" s="14" t="str">
        <f t="shared" si="2"/>
        <v/>
      </c>
      <c r="E952" s="14" t="str">
        <f t="shared" si="3"/>
        <v/>
      </c>
      <c r="F952" s="7" t="str">
        <f>IF($A952&lt;&gt;"",MAXIFS(Token!$C:$C,Token!$A:$A,$D952),)</f>
        <v/>
      </c>
    </row>
    <row r="953">
      <c r="A953" s="39" t="str">
        <f>IF(AND($L953*1&gt;=$G$3,$L953*1&lt;=$G$4,$I953*$J953&gt;0,OR($I953&lt;&gt;$I954,$L953-$L954&gt;25),IF(ABS($I953)&gt;10,$I953/POW(10,$J953),$J953/POW(10,$I953))*MAXIFS(Token!$C:$C,Token!$A:$A,$K953)&gt;0.01),$L953/86400+DATE(1970,1,1)+$G$6,)</f>
        <v/>
      </c>
      <c r="B953" s="27" t="str">
        <f t="shared" si="1"/>
        <v/>
      </c>
      <c r="C953" s="14" t="str">
        <f>IF($A953&lt;&gt;"",MINIFS(Merchant!$A:$A,Merchant!$B:$B,$G$2),)</f>
        <v/>
      </c>
      <c r="D953" s="14" t="str">
        <f t="shared" si="2"/>
        <v/>
      </c>
      <c r="E953" s="14" t="str">
        <f t="shared" si="3"/>
        <v/>
      </c>
      <c r="F953" s="7" t="str">
        <f>IF($A953&lt;&gt;"",MAXIFS(Token!$C:$C,Token!$A:$A,$D953),)</f>
        <v/>
      </c>
    </row>
    <row r="954">
      <c r="A954" s="39" t="str">
        <f>IF(AND($L954*1&gt;=$G$3,$L954*1&lt;=$G$4,$I954*$J954&gt;0,OR($I954&lt;&gt;$I955,$L954-$L955&gt;25),IF(ABS($I954)&gt;10,$I954/POW(10,$J954),$J954/POW(10,$I954))*MAXIFS(Token!$C:$C,Token!$A:$A,$K954)&gt;0.01),$L954/86400+DATE(1970,1,1)+$G$6,)</f>
        <v/>
      </c>
      <c r="B954" s="27" t="str">
        <f t="shared" si="1"/>
        <v/>
      </c>
      <c r="C954" s="14" t="str">
        <f>IF($A954&lt;&gt;"",MINIFS(Merchant!$A:$A,Merchant!$B:$B,$G$2),)</f>
        <v/>
      </c>
      <c r="D954" s="14" t="str">
        <f t="shared" si="2"/>
        <v/>
      </c>
      <c r="E954" s="14" t="str">
        <f t="shared" si="3"/>
        <v/>
      </c>
      <c r="F954" s="7" t="str">
        <f>IF($A954&lt;&gt;"",MAXIFS(Token!$C:$C,Token!$A:$A,$D954),)</f>
        <v/>
      </c>
    </row>
    <row r="955">
      <c r="A955" s="39" t="str">
        <f>IF(AND($L955*1&gt;=$G$3,$L955*1&lt;=$G$4,$I955*$J955&gt;0,OR($I955&lt;&gt;$I956,$L955-$L956&gt;25),IF(ABS($I955)&gt;10,$I955/POW(10,$J955),$J955/POW(10,$I955))*MAXIFS(Token!$C:$C,Token!$A:$A,$K955)&gt;0.01),$L955/86400+DATE(1970,1,1)+$G$6,)</f>
        <v/>
      </c>
      <c r="B955" s="27" t="str">
        <f t="shared" si="1"/>
        <v/>
      </c>
      <c r="C955" s="14" t="str">
        <f>IF($A955&lt;&gt;"",MINIFS(Merchant!$A:$A,Merchant!$B:$B,$G$2),)</f>
        <v/>
      </c>
      <c r="D955" s="14" t="str">
        <f t="shared" si="2"/>
        <v/>
      </c>
      <c r="E955" s="14" t="str">
        <f t="shared" si="3"/>
        <v/>
      </c>
      <c r="F955" s="7" t="str">
        <f>IF($A955&lt;&gt;"",MAXIFS(Token!$C:$C,Token!$A:$A,$D955),)</f>
        <v/>
      </c>
    </row>
    <row r="956">
      <c r="A956" s="39" t="str">
        <f>IF(AND($L956*1&gt;=$G$3,$L956*1&lt;=$G$4,$I956*$J956&gt;0,OR($I956&lt;&gt;$I957,$L956-$L957&gt;25),IF(ABS($I956)&gt;10,$I956/POW(10,$J956),$J956/POW(10,$I956))*MAXIFS(Token!$C:$C,Token!$A:$A,$K956)&gt;0.01),$L956/86400+DATE(1970,1,1)+$G$6,)</f>
        <v/>
      </c>
      <c r="B956" s="27" t="str">
        <f t="shared" si="1"/>
        <v/>
      </c>
      <c r="C956" s="14" t="str">
        <f>IF($A956&lt;&gt;"",MINIFS(Merchant!$A:$A,Merchant!$B:$B,$G$2),)</f>
        <v/>
      </c>
      <c r="D956" s="14" t="str">
        <f t="shared" si="2"/>
        <v/>
      </c>
      <c r="E956" s="14" t="str">
        <f t="shared" si="3"/>
        <v/>
      </c>
      <c r="F956" s="7" t="str">
        <f>IF($A956&lt;&gt;"",MAXIFS(Token!$C:$C,Token!$A:$A,$D956),)</f>
        <v/>
      </c>
    </row>
    <row r="957">
      <c r="A957" s="39" t="str">
        <f>IF(AND($L957*1&gt;=$G$3,$L957*1&lt;=$G$4,$I957*$J957&gt;0,OR($I957&lt;&gt;$I958,$L957-$L958&gt;25),IF(ABS($I957)&gt;10,$I957/POW(10,$J957),$J957/POW(10,$I957))*MAXIFS(Token!$C:$C,Token!$A:$A,$K957)&gt;0.01),$L957/86400+DATE(1970,1,1)+$G$6,)</f>
        <v/>
      </c>
      <c r="B957" s="27" t="str">
        <f t="shared" si="1"/>
        <v/>
      </c>
      <c r="C957" s="14" t="str">
        <f>IF($A957&lt;&gt;"",MINIFS(Merchant!$A:$A,Merchant!$B:$B,$G$2),)</f>
        <v/>
      </c>
      <c r="D957" s="14" t="str">
        <f t="shared" si="2"/>
        <v/>
      </c>
      <c r="E957" s="14" t="str">
        <f t="shared" si="3"/>
        <v/>
      </c>
      <c r="F957" s="7" t="str">
        <f>IF($A957&lt;&gt;"",MAXIFS(Token!$C:$C,Token!$A:$A,$D957),)</f>
        <v/>
      </c>
    </row>
    <row r="958">
      <c r="A958" s="39" t="str">
        <f>IF(AND($L958*1&gt;=$G$3,$L958*1&lt;=$G$4,$I958*$J958&gt;0,OR($I958&lt;&gt;$I959,$L958-$L959&gt;25),IF(ABS($I958)&gt;10,$I958/POW(10,$J958),$J958/POW(10,$I958))*MAXIFS(Token!$C:$C,Token!$A:$A,$K958)&gt;0.01),$L958/86400+DATE(1970,1,1)+$G$6,)</f>
        <v/>
      </c>
      <c r="B958" s="27" t="str">
        <f t="shared" si="1"/>
        <v/>
      </c>
      <c r="C958" s="14" t="str">
        <f>IF($A958&lt;&gt;"",MINIFS(Merchant!$A:$A,Merchant!$B:$B,$G$2),)</f>
        <v/>
      </c>
      <c r="D958" s="14" t="str">
        <f t="shared" si="2"/>
        <v/>
      </c>
      <c r="E958" s="14" t="str">
        <f t="shared" si="3"/>
        <v/>
      </c>
      <c r="F958" s="7" t="str">
        <f>IF($A958&lt;&gt;"",MAXIFS(Token!$C:$C,Token!$A:$A,$D958),)</f>
        <v/>
      </c>
    </row>
    <row r="959">
      <c r="A959" s="39" t="str">
        <f>IF(AND($L959*1&gt;=$G$3,$L959*1&lt;=$G$4,$I959*$J959&gt;0,OR($I959&lt;&gt;$I960,$L959-$L960&gt;25),IF(ABS($I959)&gt;10,$I959/POW(10,$J959),$J959/POW(10,$I959))*MAXIFS(Token!$C:$C,Token!$A:$A,$K959)&gt;0.01),$L959/86400+DATE(1970,1,1)+$G$6,)</f>
        <v/>
      </c>
      <c r="B959" s="27" t="str">
        <f t="shared" si="1"/>
        <v/>
      </c>
      <c r="C959" s="14" t="str">
        <f>IF($A959&lt;&gt;"",MINIFS(Merchant!$A:$A,Merchant!$B:$B,$G$2),)</f>
        <v/>
      </c>
      <c r="D959" s="14" t="str">
        <f t="shared" si="2"/>
        <v/>
      </c>
      <c r="E959" s="14" t="str">
        <f t="shared" si="3"/>
        <v/>
      </c>
      <c r="F959" s="7" t="str">
        <f>IF($A959&lt;&gt;"",MAXIFS(Token!$C:$C,Token!$A:$A,$D959),)</f>
        <v/>
      </c>
    </row>
    <row r="960">
      <c r="A960" s="39" t="str">
        <f>IF(AND($L960*1&gt;=$G$3,$L960*1&lt;=$G$4,$I960*$J960&gt;0,OR($I960&lt;&gt;$I961,$L960-$L961&gt;25),IF(ABS($I960)&gt;10,$I960/POW(10,$J960),$J960/POW(10,$I960))*MAXIFS(Token!$C:$C,Token!$A:$A,$K960)&gt;0.01),$L960/86400+DATE(1970,1,1)+$G$6,)</f>
        <v/>
      </c>
      <c r="B960" s="27" t="str">
        <f t="shared" si="1"/>
        <v/>
      </c>
      <c r="C960" s="14" t="str">
        <f>IF($A960&lt;&gt;"",MINIFS(Merchant!$A:$A,Merchant!$B:$B,$G$2),)</f>
        <v/>
      </c>
      <c r="D960" s="14" t="str">
        <f t="shared" si="2"/>
        <v/>
      </c>
      <c r="E960" s="14" t="str">
        <f t="shared" si="3"/>
        <v/>
      </c>
      <c r="F960" s="7" t="str">
        <f>IF($A960&lt;&gt;"",MAXIFS(Token!$C:$C,Token!$A:$A,$D960),)</f>
        <v/>
      </c>
    </row>
    <row r="961">
      <c r="A961" s="39" t="str">
        <f>IF(AND($L961*1&gt;=$G$3,$L961*1&lt;=$G$4,$I961*$J961&gt;0,OR($I961&lt;&gt;$I962,$L961-$L962&gt;25),IF(ABS($I961)&gt;10,$I961/POW(10,$J961),$J961/POW(10,$I961))*MAXIFS(Token!$C:$C,Token!$A:$A,$K961)&gt;0.01),$L961/86400+DATE(1970,1,1)+$G$6,)</f>
        <v/>
      </c>
      <c r="B961" s="27" t="str">
        <f t="shared" si="1"/>
        <v/>
      </c>
      <c r="C961" s="14" t="str">
        <f>IF($A961&lt;&gt;"",MINIFS(Merchant!$A:$A,Merchant!$B:$B,$G$2),)</f>
        <v/>
      </c>
      <c r="D961" s="14" t="str">
        <f t="shared" si="2"/>
        <v/>
      </c>
      <c r="E961" s="14" t="str">
        <f t="shared" si="3"/>
        <v/>
      </c>
      <c r="F961" s="7" t="str">
        <f>IF($A961&lt;&gt;"",MAXIFS(Token!$C:$C,Token!$A:$A,$D961),)</f>
        <v/>
      </c>
    </row>
    <row r="962">
      <c r="A962" s="39" t="str">
        <f>IF(AND($L962*1&gt;=$G$3,$L962*1&lt;=$G$4,$I962*$J962&gt;0,OR($I962&lt;&gt;$I963,$L962-$L963&gt;25),IF(ABS($I962)&gt;10,$I962/POW(10,$J962),$J962/POW(10,$I962))*MAXIFS(Token!$C:$C,Token!$A:$A,$K962)&gt;0.01),$L962/86400+DATE(1970,1,1)+$G$6,)</f>
        <v/>
      </c>
      <c r="B962" s="27" t="str">
        <f t="shared" si="1"/>
        <v/>
      </c>
      <c r="C962" s="14" t="str">
        <f>IF($A962&lt;&gt;"",MINIFS(Merchant!$A:$A,Merchant!$B:$B,$G$2),)</f>
        <v/>
      </c>
      <c r="D962" s="14" t="str">
        <f t="shared" si="2"/>
        <v/>
      </c>
      <c r="E962" s="14" t="str">
        <f t="shared" si="3"/>
        <v/>
      </c>
      <c r="F962" s="7" t="str">
        <f>IF($A962&lt;&gt;"",MAXIFS(Token!$C:$C,Token!$A:$A,$D962),)</f>
        <v/>
      </c>
    </row>
    <row r="963">
      <c r="A963" s="39" t="str">
        <f>IF(AND($L963*1&gt;=$G$3,$L963*1&lt;=$G$4,$I963*$J963&gt;0,OR($I963&lt;&gt;$I964,$L963-$L964&gt;25),IF(ABS($I963)&gt;10,$I963/POW(10,$J963),$J963/POW(10,$I963))*MAXIFS(Token!$C:$C,Token!$A:$A,$K963)&gt;0.01),$L963/86400+DATE(1970,1,1)+$G$6,)</f>
        <v/>
      </c>
      <c r="B963" s="27" t="str">
        <f t="shared" si="1"/>
        <v/>
      </c>
      <c r="C963" s="14" t="str">
        <f>IF($A963&lt;&gt;"",MINIFS(Merchant!$A:$A,Merchant!$B:$B,$G$2),)</f>
        <v/>
      </c>
      <c r="D963" s="14" t="str">
        <f t="shared" si="2"/>
        <v/>
      </c>
      <c r="E963" s="14" t="str">
        <f t="shared" si="3"/>
        <v/>
      </c>
      <c r="F963" s="7" t="str">
        <f>IF($A963&lt;&gt;"",MAXIFS(Token!$C:$C,Token!$A:$A,$D963),)</f>
        <v/>
      </c>
    </row>
    <row r="964">
      <c r="A964" s="39" t="str">
        <f>IF(AND($L964*1&gt;=$G$3,$L964*1&lt;=$G$4,$I964*$J964&gt;0,OR($I964&lt;&gt;$I965,$L964-$L965&gt;25),IF(ABS($I964)&gt;10,$I964/POW(10,$J964),$J964/POW(10,$I964))*MAXIFS(Token!$C:$C,Token!$A:$A,$K964)&gt;0.01),$L964/86400+DATE(1970,1,1)+$G$6,)</f>
        <v/>
      </c>
      <c r="B964" s="27" t="str">
        <f t="shared" si="1"/>
        <v/>
      </c>
      <c r="C964" s="14" t="str">
        <f>IF($A964&lt;&gt;"",MINIFS(Merchant!$A:$A,Merchant!$B:$B,$G$2),)</f>
        <v/>
      </c>
      <c r="D964" s="14" t="str">
        <f t="shared" si="2"/>
        <v/>
      </c>
      <c r="E964" s="14" t="str">
        <f t="shared" si="3"/>
        <v/>
      </c>
      <c r="F964" s="7" t="str">
        <f>IF($A964&lt;&gt;"",MAXIFS(Token!$C:$C,Token!$A:$A,$D964),)</f>
        <v/>
      </c>
    </row>
    <row r="965">
      <c r="A965" s="39" t="str">
        <f>IF(AND($L965*1&gt;=$G$3,$L965*1&lt;=$G$4,$I965*$J965&gt;0,OR($I965&lt;&gt;$I966,$L965-$L966&gt;25),IF(ABS($I965)&gt;10,$I965/POW(10,$J965),$J965/POW(10,$I965))*MAXIFS(Token!$C:$C,Token!$A:$A,$K965)&gt;0.01),$L965/86400+DATE(1970,1,1)+$G$6,)</f>
        <v/>
      </c>
      <c r="B965" s="27" t="str">
        <f t="shared" si="1"/>
        <v/>
      </c>
      <c r="C965" s="14" t="str">
        <f>IF($A965&lt;&gt;"",MINIFS(Merchant!$A:$A,Merchant!$B:$B,$G$2),)</f>
        <v/>
      </c>
      <c r="D965" s="14" t="str">
        <f t="shared" si="2"/>
        <v/>
      </c>
      <c r="E965" s="14" t="str">
        <f t="shared" si="3"/>
        <v/>
      </c>
      <c r="F965" s="7" t="str">
        <f>IF($A965&lt;&gt;"",MAXIFS(Token!$C:$C,Token!$A:$A,$D965),)</f>
        <v/>
      </c>
    </row>
    <row r="966">
      <c r="A966" s="39" t="str">
        <f>IF(AND($L966*1&gt;=$G$3,$L966*1&lt;=$G$4,$I966*$J966&gt;0,OR($I966&lt;&gt;$I967,$L966-$L967&gt;25),IF(ABS($I966)&gt;10,$I966/POW(10,$J966),$J966/POW(10,$I966))*MAXIFS(Token!$C:$C,Token!$A:$A,$K966)&gt;0.01),$L966/86400+DATE(1970,1,1)+$G$6,)</f>
        <v/>
      </c>
      <c r="B966" s="27" t="str">
        <f t="shared" si="1"/>
        <v/>
      </c>
      <c r="C966" s="14" t="str">
        <f>IF($A966&lt;&gt;"",MINIFS(Merchant!$A:$A,Merchant!$B:$B,$G$2),)</f>
        <v/>
      </c>
      <c r="D966" s="14" t="str">
        <f t="shared" si="2"/>
        <v/>
      </c>
      <c r="E966" s="14" t="str">
        <f t="shared" si="3"/>
        <v/>
      </c>
      <c r="F966" s="7" t="str">
        <f>IF($A966&lt;&gt;"",MAXIFS(Token!$C:$C,Token!$A:$A,$D966),)</f>
        <v/>
      </c>
    </row>
    <row r="967">
      <c r="A967" s="39" t="str">
        <f>IF(AND($L967*1&gt;=$G$3,$L967*1&lt;=$G$4,$I967*$J967&gt;0,OR($I967&lt;&gt;$I968,$L967-$L968&gt;25),IF(ABS($I967)&gt;10,$I967/POW(10,$J967),$J967/POW(10,$I967))*MAXIFS(Token!$C:$C,Token!$A:$A,$K967)&gt;0.01),$L967/86400+DATE(1970,1,1)+$G$6,)</f>
        <v/>
      </c>
      <c r="B967" s="27" t="str">
        <f t="shared" si="1"/>
        <v/>
      </c>
      <c r="C967" s="14" t="str">
        <f>IF($A967&lt;&gt;"",MINIFS(Merchant!$A:$A,Merchant!$B:$B,$G$2),)</f>
        <v/>
      </c>
      <c r="D967" s="14" t="str">
        <f t="shared" si="2"/>
        <v/>
      </c>
      <c r="E967" s="14" t="str">
        <f t="shared" si="3"/>
        <v/>
      </c>
      <c r="F967" s="7" t="str">
        <f>IF($A967&lt;&gt;"",MAXIFS(Token!$C:$C,Token!$A:$A,$D967),)</f>
        <v/>
      </c>
    </row>
    <row r="968">
      <c r="A968" s="39" t="str">
        <f>IF(AND($L968*1&gt;=$G$3,$L968*1&lt;=$G$4,$I968*$J968&gt;0,OR($I968&lt;&gt;$I969,$L968-$L969&gt;25),IF(ABS($I968)&gt;10,$I968/POW(10,$J968),$J968/POW(10,$I968))*MAXIFS(Token!$C:$C,Token!$A:$A,$K968)&gt;0.01),$L968/86400+DATE(1970,1,1)+$G$6,)</f>
        <v/>
      </c>
      <c r="B968" s="27" t="str">
        <f t="shared" si="1"/>
        <v/>
      </c>
      <c r="C968" s="14" t="str">
        <f>IF($A968&lt;&gt;"",MINIFS(Merchant!$A:$A,Merchant!$B:$B,$G$2),)</f>
        <v/>
      </c>
      <c r="D968" s="14" t="str">
        <f t="shared" si="2"/>
        <v/>
      </c>
      <c r="E968" s="14" t="str">
        <f t="shared" si="3"/>
        <v/>
      </c>
      <c r="F968" s="7" t="str">
        <f>IF($A968&lt;&gt;"",MAXIFS(Token!$C:$C,Token!$A:$A,$D968),)</f>
        <v/>
      </c>
    </row>
    <row r="969">
      <c r="A969" s="39" t="str">
        <f>IF(AND($L969*1&gt;=$G$3,$L969*1&lt;=$G$4,$I969*$J969&gt;0,OR($I969&lt;&gt;$I970,$L969-$L970&gt;25),IF(ABS($I969)&gt;10,$I969/POW(10,$J969),$J969/POW(10,$I969))*MAXIFS(Token!$C:$C,Token!$A:$A,$K969)&gt;0.01),$L969/86400+DATE(1970,1,1)+$G$6,)</f>
        <v/>
      </c>
      <c r="B969" s="27" t="str">
        <f t="shared" si="1"/>
        <v/>
      </c>
      <c r="C969" s="14" t="str">
        <f>IF($A969&lt;&gt;"",MINIFS(Merchant!$A:$A,Merchant!$B:$B,$G$2),)</f>
        <v/>
      </c>
      <c r="D969" s="14" t="str">
        <f t="shared" si="2"/>
        <v/>
      </c>
      <c r="E969" s="14" t="str">
        <f t="shared" si="3"/>
        <v/>
      </c>
      <c r="F969" s="7" t="str">
        <f>IF($A969&lt;&gt;"",MAXIFS(Token!$C:$C,Token!$A:$A,$D969),)</f>
        <v/>
      </c>
    </row>
    <row r="970">
      <c r="A970" s="39" t="str">
        <f>IF(AND($L970*1&gt;=$G$3,$L970*1&lt;=$G$4,$I970*$J970&gt;0,OR($I970&lt;&gt;$I971,$L970-$L971&gt;25),IF(ABS($I970)&gt;10,$I970/POW(10,$J970),$J970/POW(10,$I970))*MAXIFS(Token!$C:$C,Token!$A:$A,$K970)&gt;0.01),$L970/86400+DATE(1970,1,1)+$G$6,)</f>
        <v/>
      </c>
      <c r="B970" s="27" t="str">
        <f t="shared" si="1"/>
        <v/>
      </c>
      <c r="C970" s="14" t="str">
        <f>IF($A970&lt;&gt;"",MINIFS(Merchant!$A:$A,Merchant!$B:$B,$G$2),)</f>
        <v/>
      </c>
      <c r="D970" s="14" t="str">
        <f t="shared" si="2"/>
        <v/>
      </c>
      <c r="E970" s="14" t="str">
        <f t="shared" si="3"/>
        <v/>
      </c>
      <c r="F970" s="7" t="str">
        <f>IF($A970&lt;&gt;"",MAXIFS(Token!$C:$C,Token!$A:$A,$D970),)</f>
        <v/>
      </c>
    </row>
    <row r="971">
      <c r="A971" s="39" t="str">
        <f>IF(AND($L971*1&gt;=$G$3,$L971*1&lt;=$G$4,$I971*$J971&gt;0,OR($I971&lt;&gt;$I972,$L971-$L972&gt;25),IF(ABS($I971)&gt;10,$I971/POW(10,$J971),$J971/POW(10,$I971))*MAXIFS(Token!$C:$C,Token!$A:$A,$K971)&gt;0.01),$L971/86400+DATE(1970,1,1)+$G$6,)</f>
        <v/>
      </c>
      <c r="B971" s="27" t="str">
        <f t="shared" si="1"/>
        <v/>
      </c>
      <c r="C971" s="14" t="str">
        <f>IF($A971&lt;&gt;"",MINIFS(Merchant!$A:$A,Merchant!$B:$B,$G$2),)</f>
        <v/>
      </c>
      <c r="D971" s="14" t="str">
        <f t="shared" si="2"/>
        <v/>
      </c>
      <c r="E971" s="14" t="str">
        <f t="shared" si="3"/>
        <v/>
      </c>
      <c r="F971" s="7" t="str">
        <f>IF($A971&lt;&gt;"",MAXIFS(Token!$C:$C,Token!$A:$A,$D971),)</f>
        <v/>
      </c>
    </row>
    <row r="972">
      <c r="A972" s="39" t="str">
        <f>IF(AND($L972*1&gt;=$G$3,$L972*1&lt;=$G$4,$I972*$J972&gt;0,OR($I972&lt;&gt;$I973,$L972-$L973&gt;25),IF(ABS($I972)&gt;10,$I972/POW(10,$J972),$J972/POW(10,$I972))*MAXIFS(Token!$C:$C,Token!$A:$A,$K972)&gt;0.01),$L972/86400+DATE(1970,1,1)+$G$6,)</f>
        <v/>
      </c>
      <c r="B972" s="27" t="str">
        <f t="shared" si="1"/>
        <v/>
      </c>
      <c r="C972" s="14" t="str">
        <f>IF($A972&lt;&gt;"",MINIFS(Merchant!$A:$A,Merchant!$B:$B,$G$2),)</f>
        <v/>
      </c>
      <c r="D972" s="14" t="str">
        <f t="shared" si="2"/>
        <v/>
      </c>
      <c r="E972" s="14" t="str">
        <f t="shared" si="3"/>
        <v/>
      </c>
      <c r="F972" s="7" t="str">
        <f>IF($A972&lt;&gt;"",MAXIFS(Token!$C:$C,Token!$A:$A,$D972),)</f>
        <v/>
      </c>
    </row>
    <row r="973">
      <c r="A973" s="39" t="str">
        <f>IF(AND($L973*1&gt;=$G$3,$L973*1&lt;=$G$4,$I973*$J973&gt;0,OR($I973&lt;&gt;$I974,$L973-$L974&gt;25),IF(ABS($I973)&gt;10,$I973/POW(10,$J973),$J973/POW(10,$I973))*MAXIFS(Token!$C:$C,Token!$A:$A,$K973)&gt;0.01),$L973/86400+DATE(1970,1,1)+$G$6,)</f>
        <v/>
      </c>
      <c r="B973" s="27" t="str">
        <f t="shared" si="1"/>
        <v/>
      </c>
      <c r="C973" s="14" t="str">
        <f>IF($A973&lt;&gt;"",MINIFS(Merchant!$A:$A,Merchant!$B:$B,$G$2),)</f>
        <v/>
      </c>
      <c r="D973" s="14" t="str">
        <f t="shared" si="2"/>
        <v/>
      </c>
      <c r="E973" s="14" t="str">
        <f t="shared" si="3"/>
        <v/>
      </c>
      <c r="F973" s="7" t="str">
        <f>IF($A973&lt;&gt;"",MAXIFS(Token!$C:$C,Token!$A:$A,$D973),)</f>
        <v/>
      </c>
    </row>
    <row r="974">
      <c r="A974" s="39" t="str">
        <f>IF(AND($L974*1&gt;=$G$3,$L974*1&lt;=$G$4,$I974*$J974&gt;0,OR($I974&lt;&gt;$I975,$L974-$L975&gt;25),IF(ABS($I974)&gt;10,$I974/POW(10,$J974),$J974/POW(10,$I974))*MAXIFS(Token!$C:$C,Token!$A:$A,$K974)&gt;0.01),$L974/86400+DATE(1970,1,1)+$G$6,)</f>
        <v/>
      </c>
      <c r="B974" s="27" t="str">
        <f t="shared" si="1"/>
        <v/>
      </c>
      <c r="C974" s="14" t="str">
        <f>IF($A974&lt;&gt;"",MINIFS(Merchant!$A:$A,Merchant!$B:$B,$G$2),)</f>
        <v/>
      </c>
      <c r="D974" s="14" t="str">
        <f t="shared" si="2"/>
        <v/>
      </c>
      <c r="E974" s="14" t="str">
        <f t="shared" si="3"/>
        <v/>
      </c>
      <c r="F974" s="7" t="str">
        <f>IF($A974&lt;&gt;"",MAXIFS(Token!$C:$C,Token!$A:$A,$D974),)</f>
        <v/>
      </c>
    </row>
    <row r="975">
      <c r="A975" s="39" t="str">
        <f>IF(AND($L975*1&gt;=$G$3,$L975*1&lt;=$G$4,$I975*$J975&gt;0,OR($I975&lt;&gt;$I976,$L975-$L976&gt;25),IF(ABS($I975)&gt;10,$I975/POW(10,$J975),$J975/POW(10,$I975))*MAXIFS(Token!$C:$C,Token!$A:$A,$K975)&gt;0.01),$L975/86400+DATE(1970,1,1)+$G$6,)</f>
        <v/>
      </c>
      <c r="B975" s="27" t="str">
        <f t="shared" si="1"/>
        <v/>
      </c>
      <c r="C975" s="14" t="str">
        <f>IF($A975&lt;&gt;"",MINIFS(Merchant!$A:$A,Merchant!$B:$B,$G$2),)</f>
        <v/>
      </c>
      <c r="D975" s="14" t="str">
        <f t="shared" si="2"/>
        <v/>
      </c>
      <c r="E975" s="14" t="str">
        <f t="shared" si="3"/>
        <v/>
      </c>
      <c r="F975" s="7" t="str">
        <f>IF($A975&lt;&gt;"",MAXIFS(Token!$C:$C,Token!$A:$A,$D975),)</f>
        <v/>
      </c>
    </row>
    <row r="976">
      <c r="A976" s="39" t="str">
        <f>IF(AND($L976*1&gt;=$G$3,$L976*1&lt;=$G$4,$I976*$J976&gt;0,OR($I976&lt;&gt;$I977,$L976-$L977&gt;25),IF(ABS($I976)&gt;10,$I976/POW(10,$J976),$J976/POW(10,$I976))*MAXIFS(Token!$C:$C,Token!$A:$A,$K976)&gt;0.01),$L976/86400+DATE(1970,1,1)+$G$6,)</f>
        <v/>
      </c>
      <c r="B976" s="27" t="str">
        <f t="shared" si="1"/>
        <v/>
      </c>
      <c r="C976" s="14" t="str">
        <f>IF($A976&lt;&gt;"",MINIFS(Merchant!$A:$A,Merchant!$B:$B,$G$2),)</f>
        <v/>
      </c>
      <c r="D976" s="14" t="str">
        <f t="shared" si="2"/>
        <v/>
      </c>
      <c r="E976" s="14" t="str">
        <f t="shared" si="3"/>
        <v/>
      </c>
      <c r="F976" s="7" t="str">
        <f>IF($A976&lt;&gt;"",MAXIFS(Token!$C:$C,Token!$A:$A,$D976),)</f>
        <v/>
      </c>
    </row>
    <row r="977">
      <c r="A977" s="39" t="str">
        <f>IF(AND($L977*1&gt;=$G$3,$L977*1&lt;=$G$4,$I977*$J977&gt;0,OR($I977&lt;&gt;$I978,$L977-$L978&gt;25),IF(ABS($I977)&gt;10,$I977/POW(10,$J977),$J977/POW(10,$I977))*MAXIFS(Token!$C:$C,Token!$A:$A,$K977)&gt;0.01),$L977/86400+DATE(1970,1,1)+$G$6,)</f>
        <v/>
      </c>
      <c r="B977" s="27" t="str">
        <f t="shared" si="1"/>
        <v/>
      </c>
      <c r="C977" s="14" t="str">
        <f>IF($A977&lt;&gt;"",MINIFS(Merchant!$A:$A,Merchant!$B:$B,$G$2),)</f>
        <v/>
      </c>
      <c r="D977" s="14" t="str">
        <f t="shared" si="2"/>
        <v/>
      </c>
      <c r="E977" s="14" t="str">
        <f t="shared" si="3"/>
        <v/>
      </c>
      <c r="F977" s="7" t="str">
        <f>IF($A977&lt;&gt;"",MAXIFS(Token!$C:$C,Token!$A:$A,$D977),)</f>
        <v/>
      </c>
    </row>
    <row r="978">
      <c r="A978" s="39" t="str">
        <f>IF(AND($L978*1&gt;=$G$3,$L978*1&lt;=$G$4,$I978*$J978&gt;0,OR($I978&lt;&gt;$I979,$L978-$L979&gt;25),IF(ABS($I978)&gt;10,$I978/POW(10,$J978),$J978/POW(10,$I978))*MAXIFS(Token!$C:$C,Token!$A:$A,$K978)&gt;0.01),$L978/86400+DATE(1970,1,1)+$G$6,)</f>
        <v/>
      </c>
      <c r="B978" s="27" t="str">
        <f t="shared" si="1"/>
        <v/>
      </c>
      <c r="C978" s="14" t="str">
        <f>IF($A978&lt;&gt;"",MINIFS(Merchant!$A:$A,Merchant!$B:$B,$G$2),)</f>
        <v/>
      </c>
      <c r="D978" s="14" t="str">
        <f t="shared" si="2"/>
        <v/>
      </c>
      <c r="E978" s="14" t="str">
        <f t="shared" si="3"/>
        <v/>
      </c>
      <c r="F978" s="7" t="str">
        <f>IF($A978&lt;&gt;"",MAXIFS(Token!$C:$C,Token!$A:$A,$D978),)</f>
        <v/>
      </c>
    </row>
    <row r="979">
      <c r="A979" s="39" t="str">
        <f>IF(AND($L979*1&gt;=$G$3,$L979*1&lt;=$G$4,$I979*$J979&gt;0,OR($I979&lt;&gt;$I980,$L979-$L980&gt;25),IF(ABS($I979)&gt;10,$I979/POW(10,$J979),$J979/POW(10,$I979))*MAXIFS(Token!$C:$C,Token!$A:$A,$K979)&gt;0.01),$L979/86400+DATE(1970,1,1)+$G$6,)</f>
        <v/>
      </c>
      <c r="B979" s="27" t="str">
        <f t="shared" si="1"/>
        <v/>
      </c>
      <c r="C979" s="14" t="str">
        <f>IF($A979&lt;&gt;"",MINIFS(Merchant!$A:$A,Merchant!$B:$B,$G$2),)</f>
        <v/>
      </c>
      <c r="D979" s="14" t="str">
        <f t="shared" si="2"/>
        <v/>
      </c>
      <c r="E979" s="14" t="str">
        <f t="shared" si="3"/>
        <v/>
      </c>
      <c r="F979" s="7" t="str">
        <f>IF($A979&lt;&gt;"",MAXIFS(Token!$C:$C,Token!$A:$A,$D979),)</f>
        <v/>
      </c>
    </row>
    <row r="980">
      <c r="A980" s="39" t="str">
        <f>IF(AND($L980*1&gt;=$G$3,$L980*1&lt;=$G$4,$I980*$J980&gt;0,OR($I980&lt;&gt;$I981,$L980-$L981&gt;25),IF(ABS($I980)&gt;10,$I980/POW(10,$J980),$J980/POW(10,$I980))*MAXIFS(Token!$C:$C,Token!$A:$A,$K980)&gt;0.01),$L980/86400+DATE(1970,1,1)+$G$6,)</f>
        <v/>
      </c>
      <c r="B980" s="27" t="str">
        <f t="shared" si="1"/>
        <v/>
      </c>
      <c r="C980" s="14" t="str">
        <f>IF($A980&lt;&gt;"",MINIFS(Merchant!$A:$A,Merchant!$B:$B,$G$2),)</f>
        <v/>
      </c>
      <c r="D980" s="14" t="str">
        <f t="shared" si="2"/>
        <v/>
      </c>
      <c r="E980" s="14" t="str">
        <f t="shared" si="3"/>
        <v/>
      </c>
      <c r="F980" s="7" t="str">
        <f>IF($A980&lt;&gt;"",MAXIFS(Token!$C:$C,Token!$A:$A,$D980),)</f>
        <v/>
      </c>
    </row>
    <row r="981">
      <c r="A981" s="39" t="str">
        <f>IF(AND($L981*1&gt;=$G$3,$L981*1&lt;=$G$4,$I981*$J981&gt;0,OR($I981&lt;&gt;$I982,$L981-$L982&gt;25),IF(ABS($I981)&gt;10,$I981/POW(10,$J981),$J981/POW(10,$I981))*MAXIFS(Token!$C:$C,Token!$A:$A,$K981)&gt;0.01),$L981/86400+DATE(1970,1,1)+$G$6,)</f>
        <v/>
      </c>
      <c r="B981" s="27" t="str">
        <f t="shared" si="1"/>
        <v/>
      </c>
      <c r="C981" s="14" t="str">
        <f>IF($A981&lt;&gt;"",MINIFS(Merchant!$A:$A,Merchant!$B:$B,$G$2),)</f>
        <v/>
      </c>
      <c r="D981" s="14" t="str">
        <f t="shared" si="2"/>
        <v/>
      </c>
      <c r="E981" s="14" t="str">
        <f t="shared" si="3"/>
        <v/>
      </c>
      <c r="F981" s="7" t="str">
        <f>IF($A981&lt;&gt;"",MAXIFS(Token!$C:$C,Token!$A:$A,$D981),)</f>
        <v/>
      </c>
    </row>
    <row r="982">
      <c r="A982" s="39" t="str">
        <f>IF(AND($L982*1&gt;=$G$3,$L982*1&lt;=$G$4,$I982*$J982&gt;0,OR($I982&lt;&gt;$I983,$L982-$L983&gt;25),IF(ABS($I982)&gt;10,$I982/POW(10,$J982),$J982/POW(10,$I982))*MAXIFS(Token!$C:$C,Token!$A:$A,$K982)&gt;0.01),$L982/86400+DATE(1970,1,1)+$G$6,)</f>
        <v/>
      </c>
      <c r="B982" s="27" t="str">
        <f t="shared" si="1"/>
        <v/>
      </c>
      <c r="C982" s="14" t="str">
        <f>IF($A982&lt;&gt;"",MINIFS(Merchant!$A:$A,Merchant!$B:$B,$G$2),)</f>
        <v/>
      </c>
      <c r="D982" s="14" t="str">
        <f t="shared" si="2"/>
        <v/>
      </c>
      <c r="E982" s="14" t="str">
        <f t="shared" si="3"/>
        <v/>
      </c>
      <c r="F982" s="7" t="str">
        <f>IF($A982&lt;&gt;"",MAXIFS(Token!$C:$C,Token!$A:$A,$D982),)</f>
        <v/>
      </c>
    </row>
    <row r="983">
      <c r="A983" s="39" t="str">
        <f>IF(AND($L983*1&gt;=$G$3,$L983*1&lt;=$G$4,$I983*$J983&gt;0,OR($I983&lt;&gt;$I984,$L983-$L984&gt;25),IF(ABS($I983)&gt;10,$I983/POW(10,$J983),$J983/POW(10,$I983))*MAXIFS(Token!$C:$C,Token!$A:$A,$K983)&gt;0.01),$L983/86400+DATE(1970,1,1)+$G$6,)</f>
        <v/>
      </c>
      <c r="B983" s="27" t="str">
        <f t="shared" si="1"/>
        <v/>
      </c>
      <c r="C983" s="14" t="str">
        <f>IF($A983&lt;&gt;"",MINIFS(Merchant!$A:$A,Merchant!$B:$B,$G$2),)</f>
        <v/>
      </c>
      <c r="D983" s="14" t="str">
        <f t="shared" si="2"/>
        <v/>
      </c>
      <c r="E983" s="14" t="str">
        <f t="shared" si="3"/>
        <v/>
      </c>
      <c r="F983" s="7" t="str">
        <f>IF($A983&lt;&gt;"",MAXIFS(Token!$C:$C,Token!$A:$A,$D983),)</f>
        <v/>
      </c>
    </row>
    <row r="984">
      <c r="A984" s="39" t="str">
        <f>IF(AND($L984*1&gt;=$G$3,$L984*1&lt;=$G$4,$I984*$J984&gt;0,OR($I984&lt;&gt;$I985,$L984-$L985&gt;25),IF(ABS($I984)&gt;10,$I984/POW(10,$J984),$J984/POW(10,$I984))*MAXIFS(Token!$C:$C,Token!$A:$A,$K984)&gt;0.01),$L984/86400+DATE(1970,1,1)+$G$6,)</f>
        <v/>
      </c>
      <c r="B984" s="27" t="str">
        <f t="shared" si="1"/>
        <v/>
      </c>
      <c r="C984" s="14" t="str">
        <f>IF($A984&lt;&gt;"",MINIFS(Merchant!$A:$A,Merchant!$B:$B,$G$2),)</f>
        <v/>
      </c>
      <c r="D984" s="14" t="str">
        <f t="shared" si="2"/>
        <v/>
      </c>
      <c r="E984" s="14" t="str">
        <f t="shared" si="3"/>
        <v/>
      </c>
      <c r="F984" s="7" t="str">
        <f>IF($A984&lt;&gt;"",MAXIFS(Token!$C:$C,Token!$A:$A,$D984),)</f>
        <v/>
      </c>
    </row>
    <row r="985">
      <c r="A985" s="39" t="str">
        <f>IF(AND($L985*1&gt;=$G$3,$L985*1&lt;=$G$4,$I985*$J985&gt;0,OR($I985&lt;&gt;$I986,$L985-$L986&gt;25),IF(ABS($I985)&gt;10,$I985/POW(10,$J985),$J985/POW(10,$I985))*MAXIFS(Token!$C:$C,Token!$A:$A,$K985)&gt;0.01),$L985/86400+DATE(1970,1,1)+$G$6,)</f>
        <v/>
      </c>
      <c r="B985" s="27" t="str">
        <f t="shared" si="1"/>
        <v/>
      </c>
      <c r="C985" s="14" t="str">
        <f>IF($A985&lt;&gt;"",MINIFS(Merchant!$A:$A,Merchant!$B:$B,$G$2),)</f>
        <v/>
      </c>
      <c r="D985" s="14" t="str">
        <f t="shared" si="2"/>
        <v/>
      </c>
      <c r="E985" s="14" t="str">
        <f t="shared" si="3"/>
        <v/>
      </c>
      <c r="F985" s="7" t="str">
        <f>IF($A985&lt;&gt;"",MAXIFS(Token!$C:$C,Token!$A:$A,$D985),)</f>
        <v/>
      </c>
    </row>
    <row r="986">
      <c r="A986" s="39" t="str">
        <f>IF(AND($L986*1&gt;=$G$3,$L986*1&lt;=$G$4,$I986*$J986&gt;0,OR($I986&lt;&gt;$I987,$L986-$L987&gt;25),IF(ABS($I986)&gt;10,$I986/POW(10,$J986),$J986/POW(10,$I986))*MAXIFS(Token!$C:$C,Token!$A:$A,$K986)&gt;0.01),$L986/86400+DATE(1970,1,1)+$G$6,)</f>
        <v/>
      </c>
      <c r="B986" s="27" t="str">
        <f t="shared" si="1"/>
        <v/>
      </c>
      <c r="C986" s="14" t="str">
        <f>IF($A986&lt;&gt;"",MINIFS(Merchant!$A:$A,Merchant!$B:$B,$G$2),)</f>
        <v/>
      </c>
      <c r="D986" s="14" t="str">
        <f t="shared" si="2"/>
        <v/>
      </c>
      <c r="E986" s="14" t="str">
        <f t="shared" si="3"/>
        <v/>
      </c>
      <c r="F986" s="7" t="str">
        <f>IF($A986&lt;&gt;"",MAXIFS(Token!$C:$C,Token!$A:$A,$D986),)</f>
        <v/>
      </c>
    </row>
    <row r="987">
      <c r="A987" s="39" t="str">
        <f>IF(AND($L987*1&gt;=$G$3,$L987*1&lt;=$G$4,$I987*$J987&gt;0,OR($I987&lt;&gt;$I988,$L987-$L988&gt;25),IF(ABS($I987)&gt;10,$I987/POW(10,$J987),$J987/POW(10,$I987))*MAXIFS(Token!$C:$C,Token!$A:$A,$K987)&gt;0.01),$L987/86400+DATE(1970,1,1)+$G$6,)</f>
        <v/>
      </c>
      <c r="B987" s="27" t="str">
        <f t="shared" si="1"/>
        <v/>
      </c>
      <c r="C987" s="14" t="str">
        <f>IF($A987&lt;&gt;"",MINIFS(Merchant!$A:$A,Merchant!$B:$B,$G$2),)</f>
        <v/>
      </c>
      <c r="D987" s="14" t="str">
        <f t="shared" si="2"/>
        <v/>
      </c>
      <c r="E987" s="14" t="str">
        <f t="shared" si="3"/>
        <v/>
      </c>
      <c r="F987" s="7" t="str">
        <f>IF($A987&lt;&gt;"",MAXIFS(Token!$C:$C,Token!$A:$A,$D987),)</f>
        <v/>
      </c>
    </row>
    <row r="988">
      <c r="A988" s="39" t="str">
        <f>IF(AND($L988*1&gt;=$G$3,$L988*1&lt;=$G$4,$I988*$J988&gt;0,OR($I988&lt;&gt;$I989,$L988-$L989&gt;25),IF(ABS($I988)&gt;10,$I988/POW(10,$J988),$J988/POW(10,$I988))*MAXIFS(Token!$C:$C,Token!$A:$A,$K988)&gt;0.01),$L988/86400+DATE(1970,1,1)+$G$6,)</f>
        <v/>
      </c>
      <c r="B988" s="27" t="str">
        <f t="shared" si="1"/>
        <v/>
      </c>
      <c r="C988" s="14" t="str">
        <f>IF($A988&lt;&gt;"",MINIFS(Merchant!$A:$A,Merchant!$B:$B,$G$2),)</f>
        <v/>
      </c>
      <c r="D988" s="14" t="str">
        <f t="shared" si="2"/>
        <v/>
      </c>
      <c r="E988" s="14" t="str">
        <f t="shared" si="3"/>
        <v/>
      </c>
      <c r="F988" s="7" t="str">
        <f>IF($A988&lt;&gt;"",MAXIFS(Token!$C:$C,Token!$A:$A,$D988),)</f>
        <v/>
      </c>
    </row>
    <row r="989">
      <c r="A989" s="39" t="str">
        <f>IF(AND($L989*1&gt;=$G$3,$L989*1&lt;=$G$4,$I989*$J989&gt;0,OR($I989&lt;&gt;$I990,$L989-$L990&gt;25),IF(ABS($I989)&gt;10,$I989/POW(10,$J989),$J989/POW(10,$I989))*MAXIFS(Token!$C:$C,Token!$A:$A,$K989)&gt;0.01),$L989/86400+DATE(1970,1,1)+$G$6,)</f>
        <v/>
      </c>
      <c r="B989" s="27" t="str">
        <f t="shared" si="1"/>
        <v/>
      </c>
      <c r="C989" s="14" t="str">
        <f>IF($A989&lt;&gt;"",MINIFS(Merchant!$A:$A,Merchant!$B:$B,$G$2),)</f>
        <v/>
      </c>
      <c r="D989" s="14" t="str">
        <f t="shared" si="2"/>
        <v/>
      </c>
      <c r="E989" s="14" t="str">
        <f t="shared" si="3"/>
        <v/>
      </c>
      <c r="F989" s="7" t="str">
        <f>IF($A989&lt;&gt;"",MAXIFS(Token!$C:$C,Token!$A:$A,$D989),)</f>
        <v/>
      </c>
    </row>
    <row r="990">
      <c r="A990" s="39" t="str">
        <f>IF(AND($L990*1&gt;=$G$3,$L990*1&lt;=$G$4,$I990*$J990&gt;0,OR($I990&lt;&gt;$I991,$L990-$L991&gt;25),IF(ABS($I990)&gt;10,$I990/POW(10,$J990),$J990/POW(10,$I990))*MAXIFS(Token!$C:$C,Token!$A:$A,$K990)&gt;0.01),$L990/86400+DATE(1970,1,1)+$G$6,)</f>
        <v/>
      </c>
      <c r="B990" s="27" t="str">
        <f t="shared" si="1"/>
        <v/>
      </c>
      <c r="C990" s="14" t="str">
        <f>IF($A990&lt;&gt;"",MINIFS(Merchant!$A:$A,Merchant!$B:$B,$G$2),)</f>
        <v/>
      </c>
      <c r="D990" s="14" t="str">
        <f t="shared" si="2"/>
        <v/>
      </c>
      <c r="E990" s="14" t="str">
        <f t="shared" si="3"/>
        <v/>
      </c>
      <c r="F990" s="7" t="str">
        <f>IF($A990&lt;&gt;"",MAXIFS(Token!$C:$C,Token!$A:$A,$D990),)</f>
        <v/>
      </c>
    </row>
    <row r="991">
      <c r="A991" s="39" t="str">
        <f>IF(AND($L991*1&gt;=$G$3,$L991*1&lt;=$G$4,$I991*$J991&gt;0,OR($I991&lt;&gt;$I992,$L991-$L992&gt;25),IF(ABS($I991)&gt;10,$I991/POW(10,$J991),$J991/POW(10,$I991))*MAXIFS(Token!$C:$C,Token!$A:$A,$K991)&gt;0.01),$L991/86400+DATE(1970,1,1)+$G$6,)</f>
        <v/>
      </c>
      <c r="B991" s="27" t="str">
        <f t="shared" si="1"/>
        <v/>
      </c>
      <c r="C991" s="14" t="str">
        <f>IF($A991&lt;&gt;"",MINIFS(Merchant!$A:$A,Merchant!$B:$B,$G$2),)</f>
        <v/>
      </c>
      <c r="D991" s="14" t="str">
        <f t="shared" si="2"/>
        <v/>
      </c>
      <c r="E991" s="14" t="str">
        <f t="shared" si="3"/>
        <v/>
      </c>
      <c r="F991" s="7" t="str">
        <f>IF($A991&lt;&gt;"",MAXIFS(Token!$C:$C,Token!$A:$A,$D991),)</f>
        <v/>
      </c>
    </row>
    <row r="992">
      <c r="A992" s="39" t="str">
        <f>IF(AND($L992*1&gt;=$G$3,$L992*1&lt;=$G$4,$I992*$J992&gt;0,OR($I992&lt;&gt;$I993,$L992-$L993&gt;25),IF(ABS($I992)&gt;10,$I992/POW(10,$J992),$J992/POW(10,$I992))*MAXIFS(Token!$C:$C,Token!$A:$A,$K992)&gt;0.01),$L992/86400+DATE(1970,1,1)+$G$6,)</f>
        <v/>
      </c>
      <c r="B992" s="27" t="str">
        <f t="shared" si="1"/>
        <v/>
      </c>
      <c r="C992" s="14" t="str">
        <f>IF($A992&lt;&gt;"",MINIFS(Merchant!$A:$A,Merchant!$B:$B,$G$2),)</f>
        <v/>
      </c>
      <c r="D992" s="14" t="str">
        <f t="shared" si="2"/>
        <v/>
      </c>
      <c r="E992" s="14" t="str">
        <f t="shared" si="3"/>
        <v/>
      </c>
      <c r="F992" s="7" t="str">
        <f>IF($A992&lt;&gt;"",MAXIFS(Token!$C:$C,Token!$A:$A,$D992),)</f>
        <v/>
      </c>
    </row>
    <row r="993">
      <c r="A993" s="39" t="str">
        <f>IF(AND($L993*1&gt;=$G$3,$L993*1&lt;=$G$4,$I993*$J993&gt;0,OR($I993&lt;&gt;$I994,$L993-$L994&gt;25),IF(ABS($I993)&gt;10,$I993/POW(10,$J993),$J993/POW(10,$I993))*MAXIFS(Token!$C:$C,Token!$A:$A,$K993)&gt;0.01),$L993/86400+DATE(1970,1,1)+$G$6,)</f>
        <v/>
      </c>
      <c r="B993" s="27" t="str">
        <f t="shared" si="1"/>
        <v/>
      </c>
      <c r="C993" s="14" t="str">
        <f>IF($A993&lt;&gt;"",MINIFS(Merchant!$A:$A,Merchant!$B:$B,$G$2),)</f>
        <v/>
      </c>
      <c r="D993" s="14" t="str">
        <f t="shared" si="2"/>
        <v/>
      </c>
      <c r="E993" s="14" t="str">
        <f t="shared" si="3"/>
        <v/>
      </c>
      <c r="F993" s="7" t="str">
        <f>IF($A993&lt;&gt;"",MAXIFS(Token!$C:$C,Token!$A:$A,$D993),)</f>
        <v/>
      </c>
    </row>
    <row r="994">
      <c r="A994" s="39" t="str">
        <f>IF(AND($L994*1&gt;=$G$3,$L994*1&lt;=$G$4,$I994*$J994&gt;0,OR($I994&lt;&gt;$I995,$L994-$L995&gt;25),IF(ABS($I994)&gt;10,$I994/POW(10,$J994),$J994/POW(10,$I994))*MAXIFS(Token!$C:$C,Token!$A:$A,$K994)&gt;0.01),$L994/86400+DATE(1970,1,1)+$G$6,)</f>
        <v/>
      </c>
      <c r="B994" s="27" t="str">
        <f t="shared" si="1"/>
        <v/>
      </c>
      <c r="C994" s="14" t="str">
        <f>IF($A994&lt;&gt;"",MINIFS(Merchant!$A:$A,Merchant!$B:$B,$G$2),)</f>
        <v/>
      </c>
      <c r="D994" s="14" t="str">
        <f t="shared" si="2"/>
        <v/>
      </c>
      <c r="E994" s="14" t="str">
        <f t="shared" si="3"/>
        <v/>
      </c>
      <c r="F994" s="7" t="str">
        <f>IF($A994&lt;&gt;"",MAXIFS(Token!$C:$C,Token!$A:$A,$D994),)</f>
        <v/>
      </c>
    </row>
    <row r="995">
      <c r="A995" s="39" t="str">
        <f>IF(AND($L995*1&gt;=$G$3,$L995*1&lt;=$G$4,$I995*$J995&gt;0,OR($I995&lt;&gt;$I996,$L995-$L996&gt;25),IF(ABS($I995)&gt;10,$I995/POW(10,$J995),$J995/POW(10,$I995))*MAXIFS(Token!$C:$C,Token!$A:$A,$K995)&gt;0.01),$L995/86400+DATE(1970,1,1)+$G$6,)</f>
        <v/>
      </c>
      <c r="B995" s="27" t="str">
        <f t="shared" si="1"/>
        <v/>
      </c>
      <c r="C995" s="14" t="str">
        <f>IF($A995&lt;&gt;"",MINIFS(Merchant!$A:$A,Merchant!$B:$B,$G$2),)</f>
        <v/>
      </c>
      <c r="D995" s="14" t="str">
        <f t="shared" si="2"/>
        <v/>
      </c>
      <c r="E995" s="14" t="str">
        <f t="shared" si="3"/>
        <v/>
      </c>
      <c r="F995" s="7" t="str">
        <f>IF($A995&lt;&gt;"",MAXIFS(Token!$C:$C,Token!$A:$A,$D995),)</f>
        <v/>
      </c>
    </row>
    <row r="996">
      <c r="A996" s="39" t="str">
        <f>IF(AND($L996*1&gt;=$G$3,$L996*1&lt;=$G$4,$I996*$J996&gt;0,OR($I996&lt;&gt;$I997,$L996-$L997&gt;25),IF(ABS($I996)&gt;10,$I996/POW(10,$J996),$J996/POW(10,$I996))*MAXIFS(Token!$C:$C,Token!$A:$A,$K996)&gt;0.01),$L996/86400+DATE(1970,1,1)+$G$6,)</f>
        <v/>
      </c>
      <c r="B996" s="27" t="str">
        <f t="shared" si="1"/>
        <v/>
      </c>
      <c r="C996" s="14" t="str">
        <f>IF($A996&lt;&gt;"",MINIFS(Merchant!$A:$A,Merchant!$B:$B,$G$2),)</f>
        <v/>
      </c>
      <c r="D996" s="14" t="str">
        <f t="shared" si="2"/>
        <v/>
      </c>
      <c r="E996" s="14" t="str">
        <f t="shared" si="3"/>
        <v/>
      </c>
      <c r="F996" s="7" t="str">
        <f>IF($A996&lt;&gt;"",MAXIFS(Token!$C:$C,Token!$A:$A,$D996),)</f>
        <v/>
      </c>
    </row>
    <row r="997">
      <c r="A997" s="39" t="str">
        <f>IF(AND($L997*1&gt;=$G$3,$L997*1&lt;=$G$4,$I997*$J997&gt;0,OR($I997&lt;&gt;$I998,$L997-$L998&gt;25),IF(ABS($I997)&gt;10,$I997/POW(10,$J997),$J997/POW(10,$I997))*MAXIFS(Token!$C:$C,Token!$A:$A,$K997)&gt;0.01),$L997/86400+DATE(1970,1,1)+$G$6,)</f>
        <v/>
      </c>
      <c r="B997" s="27" t="str">
        <f t="shared" si="1"/>
        <v/>
      </c>
      <c r="C997" s="14" t="str">
        <f>IF($A997&lt;&gt;"",MINIFS(Merchant!$A:$A,Merchant!$B:$B,$G$2),)</f>
        <v/>
      </c>
      <c r="D997" s="14" t="str">
        <f t="shared" si="2"/>
        <v/>
      </c>
      <c r="E997" s="14" t="str">
        <f t="shared" si="3"/>
        <v/>
      </c>
      <c r="F997" s="7" t="str">
        <f>IF($A997&lt;&gt;"",MAXIFS(Token!$C:$C,Token!$A:$A,$D997),)</f>
        <v/>
      </c>
    </row>
    <row r="998">
      <c r="A998" s="39" t="str">
        <f>IF(AND($L998*1&gt;=$G$3,$L998*1&lt;=$G$4,$I998*$J998&gt;0,OR($I998&lt;&gt;$I999,$L998-$L999&gt;25),IF(ABS($I998)&gt;10,$I998/POW(10,$J998),$J998/POW(10,$I998))*MAXIFS(Token!$C:$C,Token!$A:$A,$K998)&gt;0.01),$L998/86400+DATE(1970,1,1)+$G$6,)</f>
        <v/>
      </c>
      <c r="B998" s="27" t="str">
        <f t="shared" si="1"/>
        <v/>
      </c>
      <c r="C998" s="14" t="str">
        <f>IF($A998&lt;&gt;"",MINIFS(Merchant!$A:$A,Merchant!$B:$B,$G$2),)</f>
        <v/>
      </c>
      <c r="D998" s="14" t="str">
        <f t="shared" si="2"/>
        <v/>
      </c>
      <c r="E998" s="14" t="str">
        <f t="shared" si="3"/>
        <v/>
      </c>
      <c r="F998" s="7" t="str">
        <f>IF($A998&lt;&gt;"",MAXIFS(Token!$C:$C,Token!$A:$A,$D998),)</f>
        <v/>
      </c>
    </row>
    <row r="999">
      <c r="A999" s="39" t="str">
        <f>IF(AND($L999*1&gt;=$G$3,$L999*1&lt;=$G$4,$I999*$J999&gt;0,OR($I999&lt;&gt;$I1000,$L999-$L1000&gt;25),IF(ABS($I999)&gt;10,$I999/POW(10,$J999),$J999/POW(10,$I999))*MAXIFS(Token!$C:$C,Token!$A:$A,$K999)&gt;0.01),$L999/86400+DATE(1970,1,1)+$G$6,)</f>
        <v/>
      </c>
      <c r="B999" s="27" t="str">
        <f t="shared" si="1"/>
        <v/>
      </c>
      <c r="C999" s="14" t="str">
        <f>IF($A999&lt;&gt;"",MINIFS(Merchant!$A:$A,Merchant!$B:$B,$G$2),)</f>
        <v/>
      </c>
      <c r="D999" s="14" t="str">
        <f t="shared" si="2"/>
        <v/>
      </c>
      <c r="E999" s="14" t="str">
        <f t="shared" si="3"/>
        <v/>
      </c>
      <c r="F999" s="7" t="str">
        <f>IF($A999&lt;&gt;"",MAXIFS(Token!$C:$C,Token!$A:$A,$D999),)</f>
        <v/>
      </c>
    </row>
    <row r="1000">
      <c r="A1000" s="39" t="str">
        <f>IF(AND($L1000*1&gt;=$G$3,$L1000*1&lt;=$G$4,$I1000*$J1000&gt;0,OR($I1000&lt;&gt;$I1001,$L1000-$L1001&gt;25),IF(ABS($I1000)&gt;10,$I1000/POW(10,$J1000),$J1000/POW(10,$I1000))*MAXIFS(Token!$C:$C,Token!$A:$A,$K1000)&gt;0.01),$L1000/86400+DATE(1970,1,1)+$G$6,)</f>
        <v/>
      </c>
      <c r="B1000" s="27" t="str">
        <f t="shared" si="1"/>
        <v/>
      </c>
      <c r="C1000" s="14" t="str">
        <f>IF($A1000&lt;&gt;"",MINIFS(Merchant!$A:$A,Merchant!$B:$B,$G$2),)</f>
        <v/>
      </c>
      <c r="D1000" s="14" t="str">
        <f t="shared" si="2"/>
        <v/>
      </c>
      <c r="E1000" s="14" t="str">
        <f t="shared" si="3"/>
        <v/>
      </c>
      <c r="F1000" s="7" t="str">
        <f>IF($A1000&lt;&gt;"",MAXIFS(Token!$C:$C,Token!$A:$A,$D1000),)</f>
        <v/>
      </c>
    </row>
  </sheetData>
  <drawing r:id="rId2"/>
  <legacyDrawing r:id="rId3"/>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75"/>
    <col customWidth="1" min="7" max="7" width="12.63"/>
  </cols>
  <sheetData>
    <row r="1">
      <c r="A1" s="1" t="s">
        <v>4</v>
      </c>
      <c r="B1" s="1" t="s">
        <v>5</v>
      </c>
      <c r="C1" s="1" t="s">
        <v>6</v>
      </c>
      <c r="D1" s="1" t="s">
        <v>7</v>
      </c>
      <c r="E1" s="1" t="s">
        <v>8</v>
      </c>
      <c r="F1" s="11" t="s">
        <v>9</v>
      </c>
      <c r="G1" s="14">
        <v>5.0</v>
      </c>
      <c r="H1" s="14" t="s">
        <v>105</v>
      </c>
      <c r="I1" s="6" t="s">
        <v>106</v>
      </c>
      <c r="J1" s="6" t="s">
        <v>107</v>
      </c>
      <c r="K1" s="6" t="s">
        <v>108</v>
      </c>
      <c r="L1" s="6" t="s">
        <v>109</v>
      </c>
    </row>
    <row r="2">
      <c r="A2" s="39" t="str">
        <f>IF(AND($L2*1&gt;=$G$3,$L2*1&lt;=$G$4,$I2*$J2&gt;0,OR($I2&lt;&gt;$I3,$L2-$L3&gt;25),IF(ABS($I2)&gt;10,$I2/POW(10,$J2),$J2/POW(10,$I2))*MAXIFS(Token!$C:$C,Token!$A:$A,$K2)&gt;0.01),$L2/86400+DATE(1970,1,1)+$G$6,)</f>
        <v/>
      </c>
      <c r="B2" s="27" t="str">
        <f t="shared" ref="B2:B1000" si="1">IF($A2&lt;&gt;"",$E2*$F2,)</f>
        <v/>
      </c>
      <c r="C2" s="14" t="str">
        <f>IF($A2&lt;&gt;"",MINIFS(Merchant!$A:$A,Merchant!$B:$B,$G$2),)</f>
        <v/>
      </c>
      <c r="D2" s="14" t="str">
        <f t="shared" ref="D2:D1000" si="2">IF($A2&lt;&gt;"",$K2,)</f>
        <v/>
      </c>
      <c r="E2" s="14" t="str">
        <f t="shared" ref="E2:E1000" si="3">IF($A2&lt;&gt;"",IF(ABS($I2)&gt;10,$I2/POW(10,$J2),$J2/POW(10,$I2)),)</f>
        <v/>
      </c>
      <c r="F2" s="7" t="str">
        <f>IF($A2&lt;&gt;"",MAXIFS(Token!$C:$C,Token!$A:$A,$D2),)</f>
        <v/>
      </c>
      <c r="G2" s="14" t="str">
        <f>VLOOKUP($G1,Merchant!$A:$B,2)</f>
        <v>FZ2XhTrvYqcytTzRUT54GyYjtNXF2L3cQZ9qEaTKe8Hg</v>
      </c>
      <c r="H2" s="6" t="str">
        <f>IFERROR(__xludf.DUMMYFUNCTION("IF(AND($G$11,$G$1&gt;1,INDEX(I:I,ROW()-1)&lt;&gt;""""),ImportJSON(""https://public-api.solscan.io/account/splTransfers?account=""&amp;$G$2&amp;IF($G$5,""&amp;fromTime=""&amp;TO_TEXT($G$3)&amp;""&amp;toTime=""&amp;TO_TEXT($G$4),)&amp;""&amp;offset=""&amp;ROW()-2&amp;""&amp;limit=50""&amp;$G$7,TEXTJOIN("","",1,$H$1:$"&amp;"L$1),""noHeaders""),)"),"12")</f>
        <v>12</v>
      </c>
      <c r="I2" s="6" t="str">
        <f>IFERROR(__xludf.DUMMYFUNCTION("""COMPUTED_VALUE"""),"-96520000000")</f>
        <v>-96520000000</v>
      </c>
      <c r="J2" s="6" t="str">
        <f>IFERROR(__xludf.DUMMYFUNCTION("""COMPUTED_VALUE"""),"9")</f>
        <v>9</v>
      </c>
      <c r="K2" s="6" t="str">
        <f>IFERROR(__xludf.DUMMYFUNCTION("""COMPUTED_VALUE"""),"€")</f>
        <v>€</v>
      </c>
      <c r="L2" s="6" t="str">
        <f>IFERROR(__xludf.DUMMYFUNCTION("""COMPUTED_VALUE"""),"1672490697")</f>
        <v>1672490697</v>
      </c>
    </row>
    <row r="3">
      <c r="A3" s="39">
        <f>IF(AND($L3*1&gt;=$G$3,$L3*1&lt;=$G$4,$I3*$J3&gt;0,OR($I3&lt;&gt;$I4,$L3-$L4&gt;25),IF(ABS($I3)&gt;10,$I3/POW(10,$J3),$J3/POW(10,$I3))*MAXIFS(Token!$C:$C,Token!$A:$A,$K3)&gt;0.01),$L3/86400+DATE(1970,1,1)+$G$6,)</f>
        <v>44916.70284</v>
      </c>
      <c r="B3" s="27">
        <f t="shared" si="1"/>
        <v>96.52</v>
      </c>
      <c r="C3" s="14">
        <f>IF($A3&lt;&gt;"",MINIFS(Merchant!$A:$A,Merchant!$B:$B,$G$2),)</f>
        <v>5</v>
      </c>
      <c r="D3" s="14" t="str">
        <f t="shared" si="2"/>
        <v>€</v>
      </c>
      <c r="E3" s="14">
        <f t="shared" si="3"/>
        <v>96.52</v>
      </c>
      <c r="F3" s="7">
        <f>IF($A3&lt;&gt;"",MAXIFS(Token!$C:$C,Token!$A:$A,$D3),)</f>
        <v>1</v>
      </c>
      <c r="G3" s="6">
        <f>IFERROR((VLOOKUP($G$1,Merchant!$A:$M,10)-DATE(1970,1,1)-IF($G$6&lt;&gt;"",$G$6,0))*86400,0)</f>
        <v>-2157472224</v>
      </c>
      <c r="H3" s="6" t="str">
        <f>IFERROR(__xludf.DUMMYFUNCTION("""COMPUTED_VALUE"""),"12")</f>
        <v>12</v>
      </c>
      <c r="I3" s="6" t="str">
        <f>IFERROR(__xludf.DUMMYFUNCTION("""COMPUTED_VALUE"""),"96520000000")</f>
        <v>96520000000</v>
      </c>
      <c r="J3" s="6" t="str">
        <f>IFERROR(__xludf.DUMMYFUNCTION("""COMPUTED_VALUE"""),"9")</f>
        <v>9</v>
      </c>
      <c r="K3" s="6" t="str">
        <f>IFERROR(__xludf.DUMMYFUNCTION("""COMPUTED_VALUE"""),"€")</f>
        <v>€</v>
      </c>
      <c r="L3" s="6" t="str">
        <f>IFERROR(__xludf.DUMMYFUNCTION("""COMPUTED_VALUE"""),"1671634325")</f>
        <v>1671634325</v>
      </c>
    </row>
    <row r="4">
      <c r="A4" s="39" t="str">
        <f>IF(AND($L4*1&gt;=$G$3,$L4*1&lt;=$G$4,$I4*$J4&gt;0,OR($I4&lt;&gt;$I5,$L4-$L5&gt;25),IF(ABS($I4)&gt;10,$I4/POW(10,$J4),$J4/POW(10,$I4))*MAXIFS(Token!$C:$C,Token!$A:$A,$K4)&gt;0.01),$L4/86400+DATE(1970,1,1)+$G$6,)</f>
        <v/>
      </c>
      <c r="B4" s="27" t="str">
        <f t="shared" si="1"/>
        <v/>
      </c>
      <c r="C4" s="14" t="str">
        <f>IF($A4&lt;&gt;"",MINIFS(Merchant!$A:$A,Merchant!$B:$B,$G$2),)</f>
        <v/>
      </c>
      <c r="D4" s="14" t="str">
        <f t="shared" si="2"/>
        <v/>
      </c>
      <c r="E4" s="14" t="str">
        <f t="shared" si="3"/>
        <v/>
      </c>
      <c r="F4" s="7" t="str">
        <f>IF($A4&lt;&gt;"",MAXIFS(Token!$C:$C,Token!$A:$A,$D4),)</f>
        <v/>
      </c>
      <c r="G4" s="6">
        <f>IFERROR((MAX(VLOOKUP($G$1,Merchant!$A:$M,10),VLOOKUP($G$1,Merchant!$A:$M,11))-DATE(1970,1,1)-IF($G$6&lt;&gt;"",$G$6,0))*86400,0)</f>
        <v>1672599970</v>
      </c>
      <c r="H4" s="6" t="str">
        <f>IFERROR(__xludf.DUMMYFUNCTION("""COMPUTED_VALUE"""),"12")</f>
        <v>12</v>
      </c>
      <c r="I4" s="6" t="str">
        <f>IFERROR(__xludf.DUMMYFUNCTION("""COMPUTED_VALUE"""),"-185750000000")</f>
        <v>-185750000000</v>
      </c>
      <c r="J4" s="6" t="str">
        <f>IFERROR(__xludf.DUMMYFUNCTION("""COMPUTED_VALUE"""),"9")</f>
        <v>9</v>
      </c>
      <c r="K4" s="6" t="str">
        <f>IFERROR(__xludf.DUMMYFUNCTION("""COMPUTED_VALUE"""),"€")</f>
        <v>€</v>
      </c>
      <c r="L4" s="6" t="str">
        <f>IFERROR(__xludf.DUMMYFUNCTION("""COMPUTED_VALUE"""),"1671399906")</f>
        <v>1671399906</v>
      </c>
    </row>
    <row r="5">
      <c r="A5" s="39">
        <f>IF(AND($L5*1&gt;=$G$3,$L5*1&lt;=$G$4,$I5*$J5&gt;0,OR($I5&lt;&gt;$I6,$L5-$L6&gt;25),IF(ABS($I5)&gt;10,$I5/POW(10,$J5),$J5/POW(10,$I5))*MAXIFS(Token!$C:$C,Token!$A:$A,$K5)&gt;0.01),$L5/86400+DATE(1970,1,1)+$G$6,)</f>
        <v>44908.92059</v>
      </c>
      <c r="B5" s="27">
        <f t="shared" si="1"/>
        <v>185.75</v>
      </c>
      <c r="C5" s="14">
        <f>IF($A5&lt;&gt;"",MINIFS(Merchant!$A:$A,Merchant!$B:$B,$G$2),)</f>
        <v>5</v>
      </c>
      <c r="D5" s="14" t="str">
        <f t="shared" si="2"/>
        <v>€</v>
      </c>
      <c r="E5" s="14">
        <f t="shared" si="3"/>
        <v>185.75</v>
      </c>
      <c r="F5" s="7">
        <f>IF($A5&lt;&gt;"",MAXIFS(Token!$C:$C,Token!$A:$A,$D5),)</f>
        <v>1</v>
      </c>
      <c r="G5" s="40" t="b">
        <f>FALSE</f>
        <v>0</v>
      </c>
      <c r="H5" s="6" t="str">
        <f>IFERROR(__xludf.DUMMYFUNCTION("""COMPUTED_VALUE"""),"12")</f>
        <v>12</v>
      </c>
      <c r="I5" s="6" t="str">
        <f>IFERROR(__xludf.DUMMYFUNCTION("""COMPUTED_VALUE"""),"185750000000")</f>
        <v>185750000000</v>
      </c>
      <c r="J5" s="6" t="str">
        <f>IFERROR(__xludf.DUMMYFUNCTION("""COMPUTED_VALUE"""),"9")</f>
        <v>9</v>
      </c>
      <c r="K5" s="6" t="str">
        <f>IFERROR(__xludf.DUMMYFUNCTION("""COMPUTED_VALUE"""),"€")</f>
        <v>€</v>
      </c>
      <c r="L5" s="6" t="str">
        <f>IFERROR(__xludf.DUMMYFUNCTION("""COMPUTED_VALUE"""),"1670961939")</f>
        <v>1670961939</v>
      </c>
    </row>
    <row r="6">
      <c r="A6" s="39" t="str">
        <f>IF(AND($L6*1&gt;=$G$3,$L6*1&lt;=$G$4,$I6*$J6&gt;0,OR($I6&lt;&gt;$I7,$L6-$L7&gt;25),IF(ABS($I6)&gt;10,$I6/POW(10,$J6),$J6/POW(10,$I6))*MAXIFS(Token!$C:$C,Token!$A:$A,$K6)&gt;0.01),$L6/86400+DATE(1970,1,1)+$G$6,)</f>
        <v/>
      </c>
      <c r="B6" s="27" t="str">
        <f t="shared" si="1"/>
        <v/>
      </c>
      <c r="C6" s="14" t="str">
        <f>IF($A6&lt;&gt;"",MINIFS(Merchant!$A:$A,Merchant!$B:$B,$G$2),)</f>
        <v/>
      </c>
      <c r="D6" s="14" t="str">
        <f t="shared" si="2"/>
        <v/>
      </c>
      <c r="E6" s="14" t="str">
        <f t="shared" si="3"/>
        <v/>
      </c>
      <c r="F6" s="7" t="str">
        <f>IF($A6&lt;&gt;"",MAXIFS(Token!$C:$C,Token!$A:$A,$D6),)</f>
        <v/>
      </c>
      <c r="G6" s="41">
        <f>TIME(2,0,0)</f>
        <v>0.08333333333</v>
      </c>
      <c r="H6" s="6" t="str">
        <f>IFERROR(__xludf.DUMMYFUNCTION("""COMPUTED_VALUE"""),"12")</f>
        <v>12</v>
      </c>
      <c r="I6" s="6" t="str">
        <f>IFERROR(__xludf.DUMMYFUNCTION("""COMPUTED_VALUE"""),"-161020000000")</f>
        <v>-161020000000</v>
      </c>
      <c r="J6" s="6" t="str">
        <f>IFERROR(__xludf.DUMMYFUNCTION("""COMPUTED_VALUE"""),"9")</f>
        <v>9</v>
      </c>
      <c r="K6" s="6" t="str">
        <f>IFERROR(__xludf.DUMMYFUNCTION("""COMPUTED_VALUE"""),"€")</f>
        <v>€</v>
      </c>
      <c r="L6" s="6" t="str">
        <f>IFERROR(__xludf.DUMMYFUNCTION("""COMPUTED_VALUE"""),"1669580127")</f>
        <v>1669580127</v>
      </c>
    </row>
    <row r="7">
      <c r="A7" s="39">
        <f>IF(AND($L7*1&gt;=$G$3,$L7*1&lt;=$G$4,$I7*$J7&gt;0,OR($I7&lt;&gt;$I8,$L7-$L8&gt;25),IF(ABS($I7)&gt;10,$I7/POW(10,$J7),$J7/POW(10,$I7))*MAXIFS(Token!$C:$C,Token!$A:$A,$K7)&gt;0.01),$L7/86400+DATE(1970,1,1)+$G$6,)</f>
        <v>44889.50722</v>
      </c>
      <c r="B7" s="27">
        <f t="shared" si="1"/>
        <v>161.02</v>
      </c>
      <c r="C7" s="14">
        <f>IF($A7&lt;&gt;"",MINIFS(Merchant!$A:$A,Merchant!$B:$B,$G$2),)</f>
        <v>5</v>
      </c>
      <c r="D7" s="14" t="str">
        <f t="shared" si="2"/>
        <v>€</v>
      </c>
      <c r="E7" s="14">
        <f t="shared" si="3"/>
        <v>161.02</v>
      </c>
      <c r="F7" s="7">
        <f>IF($A7&lt;&gt;"",MAXIFS(Token!$C:$C,Token!$A:$A,$D7),)</f>
        <v>1</v>
      </c>
      <c r="G7" s="14" t="s">
        <v>103</v>
      </c>
      <c r="H7" s="6" t="str">
        <f>IFERROR(__xludf.DUMMYFUNCTION("""COMPUTED_VALUE"""),"12")</f>
        <v>12</v>
      </c>
      <c r="I7" s="6" t="str">
        <f>IFERROR(__xludf.DUMMYFUNCTION("""COMPUTED_VALUE"""),"161020000000")</f>
        <v>161020000000</v>
      </c>
      <c r="J7" s="6" t="str">
        <f>IFERROR(__xludf.DUMMYFUNCTION("""COMPUTED_VALUE"""),"9")</f>
        <v>9</v>
      </c>
      <c r="K7" s="6" t="str">
        <f>IFERROR(__xludf.DUMMYFUNCTION("""COMPUTED_VALUE"""),"€")</f>
        <v>€</v>
      </c>
      <c r="L7" s="6" t="str">
        <f>IFERROR(__xludf.DUMMYFUNCTION("""COMPUTED_VALUE"""),"1669284624")</f>
        <v>1669284624</v>
      </c>
    </row>
    <row r="8">
      <c r="A8" s="39" t="str">
        <f>IF(AND($L8*1&gt;=$G$3,$L8*1&lt;=$G$4,$I8*$J8&gt;0,OR($I8&lt;&gt;$I9,$L8-$L9&gt;25),IF(ABS($I8)&gt;10,$I8/POW(10,$J8),$J8/POW(10,$I8))*MAXIFS(Token!$C:$C,Token!$A:$A,$K8)&gt;0.01),$L8/86400+DATE(1970,1,1)+$G$6,)</f>
        <v/>
      </c>
      <c r="B8" s="27" t="str">
        <f t="shared" si="1"/>
        <v/>
      </c>
      <c r="C8" s="14" t="str">
        <f>IF($A8&lt;&gt;"",MINIFS(Merchant!$A:$A,Merchant!$B:$B,$G$2),)</f>
        <v/>
      </c>
      <c r="D8" s="14" t="str">
        <f t="shared" si="2"/>
        <v/>
      </c>
      <c r="E8" s="14" t="str">
        <f t="shared" si="3"/>
        <v/>
      </c>
      <c r="F8" s="7" t="str">
        <f>IF($A8&lt;&gt;"",MAXIFS(Token!$C:$C,Token!$A:$A,$D8),)</f>
        <v/>
      </c>
      <c r="G8" s="6" t="b">
        <f>COUNTIF(OFFSET($A:$A,1,0),"&lt;&gt;")&lt;&gt;COUNTIF(Transactions!$C:$C,$G$1)</f>
        <v>1</v>
      </c>
      <c r="H8" s="6" t="str">
        <f>IFERROR(__xludf.DUMMYFUNCTION("""COMPUTED_VALUE"""),"12")</f>
        <v>12</v>
      </c>
      <c r="I8" s="6" t="str">
        <f>IFERROR(__xludf.DUMMYFUNCTION("""COMPUTED_VALUE"""),"0")</f>
        <v>0</v>
      </c>
      <c r="J8" s="6" t="str">
        <f>IFERROR(__xludf.DUMMYFUNCTION("""COMPUTED_VALUE"""),"9")</f>
        <v>9</v>
      </c>
      <c r="K8" s="6" t="str">
        <f>IFERROR(__xludf.DUMMYFUNCTION("""COMPUTED_VALUE"""),"€")</f>
        <v>€</v>
      </c>
      <c r="L8" s="6" t="str">
        <f>IFERROR(__xludf.DUMMYFUNCTION("""COMPUTED_VALUE"""),"1668652162")</f>
        <v>1668652162</v>
      </c>
    </row>
    <row r="9">
      <c r="A9" s="39" t="str">
        <f>IF(AND($L9*1&gt;=$G$3,$L9*1&lt;=$G$4,$I9*$J9&gt;0,OR($I9&lt;&gt;$I10,$L9-$L10&gt;25),IF(ABS($I9)&gt;10,$I9/POW(10,$J9),$J9/POW(10,$I9))*MAXIFS(Token!$C:$C,Token!$A:$A,$K9)&gt;0.01),$L9/86400+DATE(1970,1,1)+$G$6,)</f>
        <v/>
      </c>
      <c r="B9" s="27" t="str">
        <f t="shared" si="1"/>
        <v/>
      </c>
      <c r="C9" s="14" t="str">
        <f>IF($A9&lt;&gt;"",MINIFS(Merchant!$A:$A,Merchant!$B:$B,$G$2),)</f>
        <v/>
      </c>
      <c r="D9" s="14" t="str">
        <f t="shared" si="2"/>
        <v/>
      </c>
      <c r="E9" s="14" t="str">
        <f t="shared" si="3"/>
        <v/>
      </c>
      <c r="F9" s="7" t="str">
        <f>IF($A9&lt;&gt;"",MAXIFS(Token!$C:$C,Token!$A:$A,$D9),)</f>
        <v/>
      </c>
      <c r="G9" s="42">
        <f>TODAY()+TIME(7,0,0)</f>
        <v>44933.29167</v>
      </c>
      <c r="H9" s="6" t="str">
        <f>IFERROR(__xludf.DUMMYFUNCTION("""COMPUTED_VALUE"""),"12")</f>
        <v>12</v>
      </c>
      <c r="I9" s="6" t="str">
        <f>IFERROR(__xludf.DUMMYFUNCTION("""COMPUTED_VALUE"""),"-15507000000")</f>
        <v>-15507000000</v>
      </c>
      <c r="J9" s="6" t="str">
        <f>IFERROR(__xludf.DUMMYFUNCTION("""COMPUTED_VALUE"""),"8")</f>
        <v>8</v>
      </c>
      <c r="K9" s="6" t="str">
        <f>IFERROR(__xludf.DUMMYFUNCTION("""COMPUTED_VALUE"""),"agEUR")</f>
        <v>agEUR</v>
      </c>
      <c r="L9" s="6" t="str">
        <f>IFERROR(__xludf.DUMMYFUNCTION("""COMPUTED_VALUE"""),"1665347604")</f>
        <v>1665347604</v>
      </c>
    </row>
    <row r="10">
      <c r="A10" s="39" t="str">
        <f>IF(AND($L10*1&gt;=$G$3,$L10*1&lt;=$G$4,$I10*$J10&gt;0,OR($I10&lt;&gt;$I11,$L10-$L11&gt;25),IF(ABS($I10)&gt;10,$I10/POW(10,$J10),$J10/POW(10,$I10))*MAXIFS(Token!$C:$C,Token!$A:$A,$K10)&gt;0.01),$L10/86400+DATE(1970,1,1)+$G$6,)</f>
        <v/>
      </c>
      <c r="B10" s="27" t="str">
        <f t="shared" si="1"/>
        <v/>
      </c>
      <c r="C10" s="14" t="str">
        <f>IF($A10&lt;&gt;"",MINIFS(Merchant!$A:$A,Merchant!$B:$B,$G$2),)</f>
        <v/>
      </c>
      <c r="D10" s="14" t="str">
        <f t="shared" si="2"/>
        <v/>
      </c>
      <c r="E10" s="14" t="str">
        <f t="shared" si="3"/>
        <v/>
      </c>
      <c r="F10" s="7" t="str">
        <f>IF($A10&lt;&gt;"",MAXIFS(Token!$C:$C,Token!$A:$A,$D10),)</f>
        <v/>
      </c>
      <c r="G10" s="42">
        <f>TODAY()+TIME(22,0,0)</f>
        <v>44933.91667</v>
      </c>
      <c r="H10" s="6" t="str">
        <f>IFERROR(__xludf.DUMMYFUNCTION("""COMPUTED_VALUE"""),"12")</f>
        <v>12</v>
      </c>
      <c r="I10" s="6" t="str">
        <f>IFERROR(__xludf.DUMMYFUNCTION("""COMPUTED_VALUE"""),"1000000")</f>
        <v>1000000</v>
      </c>
      <c r="J10" s="6" t="str">
        <f>IFERROR(__xludf.DUMMYFUNCTION("""COMPUTED_VALUE"""),"8")</f>
        <v>8</v>
      </c>
      <c r="K10" s="6" t="str">
        <f>IFERROR(__xludf.DUMMYFUNCTION("""COMPUTED_VALUE"""),"agEUR")</f>
        <v>agEUR</v>
      </c>
      <c r="L10" s="6" t="str">
        <f>IFERROR(__xludf.DUMMYFUNCTION("""COMPUTED_VALUE"""),"1665158722")</f>
        <v>1665158722</v>
      </c>
    </row>
    <row r="11">
      <c r="A11" s="39" t="str">
        <f>IF(AND($L11*1&gt;=$G$3,$L11*1&lt;=$G$4,$I11*$J11&gt;0,OR($I11&lt;&gt;$I12,$L11-$L12&gt;25),IF(ABS($I11)&gt;10,$I11/POW(10,$J11),$J11/POW(10,$I11))*MAXIFS(Token!$C:$C,Token!$A:$A,$K11)&gt;0.01),$L11/86400+DATE(1970,1,1)+$G$6,)</f>
        <v/>
      </c>
      <c r="B11" s="27" t="str">
        <f t="shared" si="1"/>
        <v/>
      </c>
      <c r="C11" s="14" t="str">
        <f>IF($A11&lt;&gt;"",MINIFS(Merchant!$A:$A,Merchant!$B:$B,$G$2),)</f>
        <v/>
      </c>
      <c r="D11" s="14" t="str">
        <f t="shared" si="2"/>
        <v/>
      </c>
      <c r="E11" s="14" t="str">
        <f t="shared" si="3"/>
        <v/>
      </c>
      <c r="F11" s="7" t="str">
        <f>IF($A11&lt;&gt;"",MAXIFS(Token!$C:$C,Token!$A:$A,$D11),)</f>
        <v/>
      </c>
      <c r="G11" s="6" t="b">
        <f>OR(TRUE,AND(NOW()&gt;$G$9,NOW()&lt;=$G$10))</f>
        <v>1</v>
      </c>
      <c r="H11" s="6" t="str">
        <f>IFERROR(__xludf.DUMMYFUNCTION("""COMPUTED_VALUE"""),"12")</f>
        <v>12</v>
      </c>
      <c r="I11" s="6" t="str">
        <f>IFERROR(__xludf.DUMMYFUNCTION("""COMPUTED_VALUE"""),"15505000000")</f>
        <v>15505000000</v>
      </c>
      <c r="J11" s="6" t="str">
        <f>IFERROR(__xludf.DUMMYFUNCTION("""COMPUTED_VALUE"""),"8")</f>
        <v>8</v>
      </c>
      <c r="K11" s="6" t="str">
        <f>IFERROR(__xludf.DUMMYFUNCTION("""COMPUTED_VALUE"""),"agEUR")</f>
        <v>agEUR</v>
      </c>
      <c r="L11" s="6" t="str">
        <f>IFERROR(__xludf.DUMMYFUNCTION("""COMPUTED_VALUE"""),"1665135735")</f>
        <v>1665135735</v>
      </c>
    </row>
    <row r="12">
      <c r="A12" s="39" t="str">
        <f>IF(AND($L12*1&gt;=$G$3,$L12*1&lt;=$G$4,$I12*$J12&gt;0,OR($I12&lt;&gt;$I13,$L12-$L13&gt;25),IF(ABS($I12)&gt;10,$I12/POW(10,$J12),$J12/POW(10,$I12))*MAXIFS(Token!$C:$C,Token!$A:$A,$K12)&gt;0.01),$L12/86400+DATE(1970,1,1)+$G$6,)</f>
        <v/>
      </c>
      <c r="B12" s="27" t="str">
        <f t="shared" si="1"/>
        <v/>
      </c>
      <c r="C12" s="14" t="str">
        <f>IF($A12&lt;&gt;"",MINIFS(Merchant!$A:$A,Merchant!$B:$B,$G$2),)</f>
        <v/>
      </c>
      <c r="D12" s="14" t="str">
        <f t="shared" si="2"/>
        <v/>
      </c>
      <c r="E12" s="14" t="str">
        <f t="shared" si="3"/>
        <v/>
      </c>
      <c r="F12" s="7" t="str">
        <f>IF($A12&lt;&gt;"",MAXIFS(Token!$C:$C,Token!$A:$A,$D12),)</f>
        <v/>
      </c>
      <c r="H12" s="6" t="str">
        <f>IFERROR(__xludf.DUMMYFUNCTION("""COMPUTED_VALUE"""),"12")</f>
        <v>12</v>
      </c>
      <c r="I12" s="6" t="str">
        <f>IFERROR(__xludf.DUMMYFUNCTION("""COMPUTED_VALUE"""),"1000000")</f>
        <v>1000000</v>
      </c>
      <c r="J12" s="6" t="str">
        <f>IFERROR(__xludf.DUMMYFUNCTION("""COMPUTED_VALUE"""),"8")</f>
        <v>8</v>
      </c>
      <c r="K12" s="6" t="str">
        <f>IFERROR(__xludf.DUMMYFUNCTION("""COMPUTED_VALUE"""),"agEUR")</f>
        <v>agEUR</v>
      </c>
      <c r="L12" s="6" t="str">
        <f>IFERROR(__xludf.DUMMYFUNCTION("""COMPUTED_VALUE"""),"1665101331")</f>
        <v>1665101331</v>
      </c>
    </row>
    <row r="13">
      <c r="A13" s="39" t="str">
        <f>IF(AND($L13*1&gt;=$G$3,$L13*1&lt;=$G$4,$I13*$J13&gt;0,OR($I13&lt;&gt;$I14,$L13-$L14&gt;25),IF(ABS($I13)&gt;10,$I13/POW(10,$J13),$J13/POW(10,$I13))*MAXIFS(Token!$C:$C,Token!$A:$A,$K13)&gt;0.01),$L13/86400+DATE(1970,1,1)+$G$6,)</f>
        <v/>
      </c>
      <c r="B13" s="27" t="str">
        <f t="shared" si="1"/>
        <v/>
      </c>
      <c r="C13" s="14" t="str">
        <f>IF($A13&lt;&gt;"",MINIFS(Merchant!$A:$A,Merchant!$B:$B,$G$2),)</f>
        <v/>
      </c>
      <c r="D13" s="14" t="str">
        <f t="shared" si="2"/>
        <v/>
      </c>
      <c r="E13" s="14" t="str">
        <f t="shared" si="3"/>
        <v/>
      </c>
      <c r="F13" s="7" t="str">
        <f>IF($A13&lt;&gt;"",MAXIFS(Token!$C:$C,Token!$A:$A,$D13),)</f>
        <v/>
      </c>
      <c r="H13" s="6" t="str">
        <f>IFERROR(__xludf.DUMMYFUNCTION("""COMPUTED_VALUE"""),"12")</f>
        <v>12</v>
      </c>
      <c r="I13" s="6" t="str">
        <f>IFERROR(__xludf.DUMMYFUNCTION("""COMPUTED_VALUE"""),"0")</f>
        <v>0</v>
      </c>
      <c r="J13" s="6" t="str">
        <f>IFERROR(__xludf.DUMMYFUNCTION("""COMPUTED_VALUE"""),"8")</f>
        <v>8</v>
      </c>
      <c r="K13" s="6" t="str">
        <f>IFERROR(__xludf.DUMMYFUNCTION("""COMPUTED_VALUE"""),"agEUR")</f>
        <v>agEUR</v>
      </c>
      <c r="L13" s="6" t="str">
        <f>IFERROR(__xludf.DUMMYFUNCTION("""COMPUTED_VALUE"""),"1665101249")</f>
        <v>1665101249</v>
      </c>
    </row>
    <row r="14">
      <c r="A14" s="39" t="str">
        <f>IF(AND($L14*1&gt;=$G$3,$L14*1&lt;=$G$4,$I14*$J14&gt;0,OR($I14&lt;&gt;$I15,$L14-$L15&gt;25),IF(ABS($I14)&gt;10,$I14/POW(10,$J14),$J14/POW(10,$I14))*MAXIFS(Token!$C:$C,Token!$A:$A,$K14)&gt;0.01),$L14/86400+DATE(1970,1,1)+$G$6,)</f>
        <v/>
      </c>
      <c r="B14" s="27" t="str">
        <f t="shared" si="1"/>
        <v/>
      </c>
      <c r="C14" s="14" t="str">
        <f>IF($A14&lt;&gt;"",MINIFS(Merchant!$A:$A,Merchant!$B:$B,$G$2),)</f>
        <v/>
      </c>
      <c r="D14" s="14" t="str">
        <f t="shared" si="2"/>
        <v/>
      </c>
      <c r="E14" s="14" t="str">
        <f t="shared" si="3"/>
        <v/>
      </c>
      <c r="F14" s="7" t="str">
        <f>IF($A14&lt;&gt;"",MAXIFS(Token!$C:$C,Token!$A:$A,$D14),)</f>
        <v/>
      </c>
    </row>
    <row r="15">
      <c r="A15" s="39" t="str">
        <f>IF(AND($L15*1&gt;=$G$3,$L15*1&lt;=$G$4,$I15*$J15&gt;0,OR($I15&lt;&gt;$I16,$L15-$L16&gt;25),IF(ABS($I15)&gt;10,$I15/POW(10,$J15),$J15/POW(10,$I15))*MAXIFS(Token!$C:$C,Token!$A:$A,$K15)&gt;0.01),$L15/86400+DATE(1970,1,1)+$G$6,)</f>
        <v/>
      </c>
      <c r="B15" s="27" t="str">
        <f t="shared" si="1"/>
        <v/>
      </c>
      <c r="C15" s="14" t="str">
        <f>IF($A15&lt;&gt;"",MINIFS(Merchant!$A:$A,Merchant!$B:$B,$G$2),)</f>
        <v/>
      </c>
      <c r="D15" s="14" t="str">
        <f t="shared" si="2"/>
        <v/>
      </c>
      <c r="E15" s="14" t="str">
        <f t="shared" si="3"/>
        <v/>
      </c>
      <c r="F15" s="7" t="str">
        <f>IF($A15&lt;&gt;"",MAXIFS(Token!$C:$C,Token!$A:$A,$D15),)</f>
        <v/>
      </c>
      <c r="G15" s="39"/>
    </row>
    <row r="16">
      <c r="A16" s="39" t="str">
        <f>IF(AND($L16*1&gt;=$G$3,$L16*1&lt;=$G$4,$I16*$J16&gt;0,OR($I16&lt;&gt;$I17,$L16-$L17&gt;25),IF(ABS($I16)&gt;10,$I16/POW(10,$J16),$J16/POW(10,$I16))*MAXIFS(Token!$C:$C,Token!$A:$A,$K16)&gt;0.01),$L16/86400+DATE(1970,1,1)+$G$6,)</f>
        <v/>
      </c>
      <c r="B16" s="27" t="str">
        <f t="shared" si="1"/>
        <v/>
      </c>
      <c r="C16" s="14" t="str">
        <f>IF($A16&lt;&gt;"",MINIFS(Merchant!$A:$A,Merchant!$B:$B,$G$2),)</f>
        <v/>
      </c>
      <c r="D16" s="14" t="str">
        <f t="shared" si="2"/>
        <v/>
      </c>
      <c r="E16" s="14" t="str">
        <f t="shared" si="3"/>
        <v/>
      </c>
      <c r="F16" s="7" t="str">
        <f>IF($A16&lt;&gt;"",MAXIFS(Token!$C:$C,Token!$A:$A,$D16),)</f>
        <v/>
      </c>
    </row>
    <row r="17">
      <c r="A17" s="39" t="str">
        <f>IF(AND($L17*1&gt;=$G$3,$L17*1&lt;=$G$4,$I17*$J17&gt;0,OR($I17&lt;&gt;$I18,$L17-$L18&gt;25),IF(ABS($I17)&gt;10,$I17/POW(10,$J17),$J17/POW(10,$I17))*MAXIFS(Token!$C:$C,Token!$A:$A,$K17)&gt;0.01),$L17/86400+DATE(1970,1,1)+$G$6,)</f>
        <v/>
      </c>
      <c r="B17" s="27" t="str">
        <f t="shared" si="1"/>
        <v/>
      </c>
      <c r="C17" s="14" t="str">
        <f>IF($A17&lt;&gt;"",MINIFS(Merchant!$A:$A,Merchant!$B:$B,$G$2),)</f>
        <v/>
      </c>
      <c r="D17" s="14" t="str">
        <f t="shared" si="2"/>
        <v/>
      </c>
      <c r="E17" s="14" t="str">
        <f t="shared" si="3"/>
        <v/>
      </c>
      <c r="F17" s="7" t="str">
        <f>IF($A17&lt;&gt;"",MAXIFS(Token!$C:$C,Token!$A:$A,$D17),)</f>
        <v/>
      </c>
    </row>
    <row r="18">
      <c r="A18" s="39" t="str">
        <f>IF(AND($L18*1&gt;=$G$3,$L18*1&lt;=$G$4,$I18*$J18&gt;0,OR($I18&lt;&gt;$I19,$L18-$L19&gt;25),IF(ABS($I18)&gt;10,$I18/POW(10,$J18),$J18/POW(10,$I18))*MAXIFS(Token!$C:$C,Token!$A:$A,$K18)&gt;0.01),$L18/86400+DATE(1970,1,1)+$G$6,)</f>
        <v/>
      </c>
      <c r="B18" s="27" t="str">
        <f t="shared" si="1"/>
        <v/>
      </c>
      <c r="C18" s="14" t="str">
        <f>IF($A18&lt;&gt;"",MINIFS(Merchant!$A:$A,Merchant!$B:$B,$G$2),)</f>
        <v/>
      </c>
      <c r="D18" s="14" t="str">
        <f t="shared" si="2"/>
        <v/>
      </c>
      <c r="E18" s="14" t="str">
        <f t="shared" si="3"/>
        <v/>
      </c>
      <c r="F18" s="7" t="str">
        <f>IF($A18&lt;&gt;"",MAXIFS(Token!$C:$C,Token!$A:$A,$D18),)</f>
        <v/>
      </c>
    </row>
    <row r="19">
      <c r="A19" s="39" t="str">
        <f>IF(AND($L19*1&gt;=$G$3,$L19*1&lt;=$G$4,$I19*$J19&gt;0,OR($I19&lt;&gt;$I20,$L19-$L20&gt;25),IF(ABS($I19)&gt;10,$I19/POW(10,$J19),$J19/POW(10,$I19))*MAXIFS(Token!$C:$C,Token!$A:$A,$K19)&gt;0.01),$L19/86400+DATE(1970,1,1)+$G$6,)</f>
        <v/>
      </c>
      <c r="B19" s="27" t="str">
        <f t="shared" si="1"/>
        <v/>
      </c>
      <c r="C19" s="14" t="str">
        <f>IF($A19&lt;&gt;"",MINIFS(Merchant!$A:$A,Merchant!$B:$B,$G$2),)</f>
        <v/>
      </c>
      <c r="D19" s="14" t="str">
        <f t="shared" si="2"/>
        <v/>
      </c>
      <c r="E19" s="14" t="str">
        <f t="shared" si="3"/>
        <v/>
      </c>
      <c r="F19" s="7" t="str">
        <f>IF($A19&lt;&gt;"",MAXIFS(Token!$C:$C,Token!$A:$A,$D19),)</f>
        <v/>
      </c>
    </row>
    <row r="20">
      <c r="A20" s="39" t="str">
        <f>IF(AND($L20*1&gt;=$G$3,$L20*1&lt;=$G$4,$I20*$J20&gt;0,OR($I20&lt;&gt;$I21,$L20-$L21&gt;25),IF(ABS($I20)&gt;10,$I20/POW(10,$J20),$J20/POW(10,$I20))*MAXIFS(Token!$C:$C,Token!$A:$A,$K20)&gt;0.01),$L20/86400+DATE(1970,1,1)+$G$6,)</f>
        <v/>
      </c>
      <c r="B20" s="27" t="str">
        <f t="shared" si="1"/>
        <v/>
      </c>
      <c r="C20" s="14" t="str">
        <f>IF($A20&lt;&gt;"",MINIFS(Merchant!$A:$A,Merchant!$B:$B,$G$2),)</f>
        <v/>
      </c>
      <c r="D20" s="14" t="str">
        <f t="shared" si="2"/>
        <v/>
      </c>
      <c r="E20" s="14" t="str">
        <f t="shared" si="3"/>
        <v/>
      </c>
      <c r="F20" s="7" t="str">
        <f>IF($A20&lt;&gt;"",MAXIFS(Token!$C:$C,Token!$A:$A,$D20),)</f>
        <v/>
      </c>
    </row>
    <row r="21">
      <c r="A21" s="39" t="str">
        <f>IF(AND($L21*1&gt;=$G$3,$L21*1&lt;=$G$4,$I21*$J21&gt;0,OR($I21&lt;&gt;$I22,$L21-$L22&gt;25),IF(ABS($I21)&gt;10,$I21/POW(10,$J21),$J21/POW(10,$I21))*MAXIFS(Token!$C:$C,Token!$A:$A,$K21)&gt;0.01),$L21/86400+DATE(1970,1,1)+$G$6,)</f>
        <v/>
      </c>
      <c r="B21" s="27" t="str">
        <f t="shared" si="1"/>
        <v/>
      </c>
      <c r="C21" s="14" t="str">
        <f>IF($A21&lt;&gt;"",MINIFS(Merchant!$A:$A,Merchant!$B:$B,$G$2),)</f>
        <v/>
      </c>
      <c r="D21" s="14" t="str">
        <f t="shared" si="2"/>
        <v/>
      </c>
      <c r="E21" s="14" t="str">
        <f t="shared" si="3"/>
        <v/>
      </c>
      <c r="F21" s="7" t="str">
        <f>IF($A21&lt;&gt;"",MAXIFS(Token!$C:$C,Token!$A:$A,$D21),)</f>
        <v/>
      </c>
    </row>
    <row r="22">
      <c r="A22" s="39" t="str">
        <f>IF(AND($L22*1&gt;=$G$3,$L22*1&lt;=$G$4,$I22*$J22&gt;0,OR($I22&lt;&gt;$I23,$L22-$L23&gt;25),IF(ABS($I22)&gt;10,$I22/POW(10,$J22),$J22/POW(10,$I22))*MAXIFS(Token!$C:$C,Token!$A:$A,$K22)&gt;0.01),$L22/86400+DATE(1970,1,1)+$G$6,)</f>
        <v/>
      </c>
      <c r="B22" s="27" t="str">
        <f t="shared" si="1"/>
        <v/>
      </c>
      <c r="C22" s="14" t="str">
        <f>IF($A22&lt;&gt;"",MINIFS(Merchant!$A:$A,Merchant!$B:$B,$G$2),)</f>
        <v/>
      </c>
      <c r="D22" s="14" t="str">
        <f t="shared" si="2"/>
        <v/>
      </c>
      <c r="E22" s="14" t="str">
        <f t="shared" si="3"/>
        <v/>
      </c>
      <c r="F22" s="7" t="str">
        <f>IF($A22&lt;&gt;"",MAXIFS(Token!$C:$C,Token!$A:$A,$D22),)</f>
        <v/>
      </c>
    </row>
    <row r="23">
      <c r="A23" s="39" t="str">
        <f>IF(AND($L23*1&gt;=$G$3,$L23*1&lt;=$G$4,$I23*$J23&gt;0,OR($I23&lt;&gt;$I24,$L23-$L24&gt;25),IF(ABS($I23)&gt;10,$I23/POW(10,$J23),$J23/POW(10,$I23))*MAXIFS(Token!$C:$C,Token!$A:$A,$K23)&gt;0.01),$L23/86400+DATE(1970,1,1)+$G$6,)</f>
        <v/>
      </c>
      <c r="B23" s="27" t="str">
        <f t="shared" si="1"/>
        <v/>
      </c>
      <c r="C23" s="14" t="str">
        <f>IF($A23&lt;&gt;"",MINIFS(Merchant!$A:$A,Merchant!$B:$B,$G$2),)</f>
        <v/>
      </c>
      <c r="D23" s="14" t="str">
        <f t="shared" si="2"/>
        <v/>
      </c>
      <c r="E23" s="14" t="str">
        <f t="shared" si="3"/>
        <v/>
      </c>
      <c r="F23" s="7" t="str">
        <f>IF($A23&lt;&gt;"",MAXIFS(Token!$C:$C,Token!$A:$A,$D23),)</f>
        <v/>
      </c>
    </row>
    <row r="24">
      <c r="A24" s="39" t="str">
        <f>IF(AND($L24*1&gt;=$G$3,$L24*1&lt;=$G$4,$I24*$J24&gt;0,OR($I24&lt;&gt;$I25,$L24-$L25&gt;25),IF(ABS($I24)&gt;10,$I24/POW(10,$J24),$J24/POW(10,$I24))*MAXIFS(Token!$C:$C,Token!$A:$A,$K24)&gt;0.01),$L24/86400+DATE(1970,1,1)+$G$6,)</f>
        <v/>
      </c>
      <c r="B24" s="27" t="str">
        <f t="shared" si="1"/>
        <v/>
      </c>
      <c r="C24" s="14" t="str">
        <f>IF($A24&lt;&gt;"",MINIFS(Merchant!$A:$A,Merchant!$B:$B,$G$2),)</f>
        <v/>
      </c>
      <c r="D24" s="14" t="str">
        <f t="shared" si="2"/>
        <v/>
      </c>
      <c r="E24" s="14" t="str">
        <f t="shared" si="3"/>
        <v/>
      </c>
      <c r="F24" s="7" t="str">
        <f>IF($A24&lt;&gt;"",MAXIFS(Token!$C:$C,Token!$A:$A,$D24),)</f>
        <v/>
      </c>
    </row>
    <row r="25">
      <c r="A25" s="39" t="str">
        <f>IF(AND($L25*1&gt;=$G$3,$L25*1&lt;=$G$4,$I25*$J25&gt;0,OR($I25&lt;&gt;$I26,$L25-$L26&gt;25),IF(ABS($I25)&gt;10,$I25/POW(10,$J25),$J25/POW(10,$I25))*MAXIFS(Token!$C:$C,Token!$A:$A,$K25)&gt;0.01),$L25/86400+DATE(1970,1,1)+$G$6,)</f>
        <v/>
      </c>
      <c r="B25" s="27" t="str">
        <f t="shared" si="1"/>
        <v/>
      </c>
      <c r="C25" s="14" t="str">
        <f>IF($A25&lt;&gt;"",MINIFS(Merchant!$A:$A,Merchant!$B:$B,$G$2),)</f>
        <v/>
      </c>
      <c r="D25" s="14" t="str">
        <f t="shared" si="2"/>
        <v/>
      </c>
      <c r="E25" s="14" t="str">
        <f t="shared" si="3"/>
        <v/>
      </c>
      <c r="F25" s="7" t="str">
        <f>IF($A25&lt;&gt;"",MAXIFS(Token!$C:$C,Token!$A:$A,$D25),)</f>
        <v/>
      </c>
    </row>
    <row r="26">
      <c r="A26" s="39" t="str">
        <f>IF(AND($L26*1&gt;=$G$3,$L26*1&lt;=$G$4,$I26*$J26&gt;0,OR($I26&lt;&gt;$I27,$L26-$L27&gt;25),IF(ABS($I26)&gt;10,$I26/POW(10,$J26),$J26/POW(10,$I26))*MAXIFS(Token!$C:$C,Token!$A:$A,$K26)&gt;0.01),$L26/86400+DATE(1970,1,1)+$G$6,)</f>
        <v/>
      </c>
      <c r="B26" s="27" t="str">
        <f t="shared" si="1"/>
        <v/>
      </c>
      <c r="C26" s="14" t="str">
        <f>IF($A26&lt;&gt;"",MINIFS(Merchant!$A:$A,Merchant!$B:$B,$G$2),)</f>
        <v/>
      </c>
      <c r="D26" s="14" t="str">
        <f t="shared" si="2"/>
        <v/>
      </c>
      <c r="E26" s="14" t="str">
        <f t="shared" si="3"/>
        <v/>
      </c>
      <c r="F26" s="7" t="str">
        <f>IF($A26&lt;&gt;"",MAXIFS(Token!$C:$C,Token!$A:$A,$D26),)</f>
        <v/>
      </c>
    </row>
    <row r="27">
      <c r="A27" s="39" t="str">
        <f>IF(AND($L27*1&gt;=$G$3,$L27*1&lt;=$G$4,$I27*$J27&gt;0,OR($I27&lt;&gt;$I28,$L27-$L28&gt;25),IF(ABS($I27)&gt;10,$I27/POW(10,$J27),$J27/POW(10,$I27))*MAXIFS(Token!$C:$C,Token!$A:$A,$K27)&gt;0.01),$L27/86400+DATE(1970,1,1)+$G$6,)</f>
        <v/>
      </c>
      <c r="B27" s="27" t="str">
        <f t="shared" si="1"/>
        <v/>
      </c>
      <c r="C27" s="14" t="str">
        <f>IF($A27&lt;&gt;"",MINIFS(Merchant!$A:$A,Merchant!$B:$B,$G$2),)</f>
        <v/>
      </c>
      <c r="D27" s="14" t="str">
        <f t="shared" si="2"/>
        <v/>
      </c>
      <c r="E27" s="14" t="str">
        <f t="shared" si="3"/>
        <v/>
      </c>
      <c r="F27" s="7" t="str">
        <f>IF($A27&lt;&gt;"",MAXIFS(Token!$C:$C,Token!$A:$A,$D27),)</f>
        <v/>
      </c>
    </row>
    <row r="28">
      <c r="A28" s="39" t="str">
        <f>IF(AND($L28*1&gt;=$G$3,$L28*1&lt;=$G$4,$I28*$J28&gt;0,OR($I28&lt;&gt;$I29,$L28-$L29&gt;25),IF(ABS($I28)&gt;10,$I28/POW(10,$J28),$J28/POW(10,$I28))*MAXIFS(Token!$C:$C,Token!$A:$A,$K28)&gt;0.01),$L28/86400+DATE(1970,1,1)+$G$6,)</f>
        <v/>
      </c>
      <c r="B28" s="27" t="str">
        <f t="shared" si="1"/>
        <v/>
      </c>
      <c r="C28" s="14" t="str">
        <f>IF($A28&lt;&gt;"",MINIFS(Merchant!$A:$A,Merchant!$B:$B,$G$2),)</f>
        <v/>
      </c>
      <c r="D28" s="14" t="str">
        <f t="shared" si="2"/>
        <v/>
      </c>
      <c r="E28" s="14" t="str">
        <f t="shared" si="3"/>
        <v/>
      </c>
      <c r="F28" s="7" t="str">
        <f>IF($A28&lt;&gt;"",MAXIFS(Token!$C:$C,Token!$A:$A,$D28),)</f>
        <v/>
      </c>
    </row>
    <row r="29">
      <c r="A29" s="39" t="str">
        <f>IF(AND($L29*1&gt;=$G$3,$L29*1&lt;=$G$4,$I29*$J29&gt;0,OR($I29&lt;&gt;$I30,$L29-$L30&gt;25),IF(ABS($I29)&gt;10,$I29/POW(10,$J29),$J29/POW(10,$I29))*MAXIFS(Token!$C:$C,Token!$A:$A,$K29)&gt;0.01),$L29/86400+DATE(1970,1,1)+$G$6,)</f>
        <v/>
      </c>
      <c r="B29" s="27" t="str">
        <f t="shared" si="1"/>
        <v/>
      </c>
      <c r="C29" s="14" t="str">
        <f>IF($A29&lt;&gt;"",MINIFS(Merchant!$A:$A,Merchant!$B:$B,$G$2),)</f>
        <v/>
      </c>
      <c r="D29" s="14" t="str">
        <f t="shared" si="2"/>
        <v/>
      </c>
      <c r="E29" s="14" t="str">
        <f t="shared" si="3"/>
        <v/>
      </c>
      <c r="F29" s="7" t="str">
        <f>IF($A29&lt;&gt;"",MAXIFS(Token!$C:$C,Token!$A:$A,$D29),)</f>
        <v/>
      </c>
    </row>
    <row r="30">
      <c r="A30" s="39" t="str">
        <f>IF(AND($L30*1&gt;=$G$3,$L30*1&lt;=$G$4,$I30*$J30&gt;0,OR($I30&lt;&gt;$I31,$L30-$L31&gt;25),IF(ABS($I30)&gt;10,$I30/POW(10,$J30),$J30/POW(10,$I30))*MAXIFS(Token!$C:$C,Token!$A:$A,$K30)&gt;0.01),$L30/86400+DATE(1970,1,1)+$G$6,)</f>
        <v/>
      </c>
      <c r="B30" s="27" t="str">
        <f t="shared" si="1"/>
        <v/>
      </c>
      <c r="C30" s="14" t="str">
        <f>IF($A30&lt;&gt;"",MINIFS(Merchant!$A:$A,Merchant!$B:$B,$G$2),)</f>
        <v/>
      </c>
      <c r="D30" s="14" t="str">
        <f t="shared" si="2"/>
        <v/>
      </c>
      <c r="E30" s="14" t="str">
        <f t="shared" si="3"/>
        <v/>
      </c>
      <c r="F30" s="7" t="str">
        <f>IF($A30&lt;&gt;"",MAXIFS(Token!$C:$C,Token!$A:$A,$D30),)</f>
        <v/>
      </c>
    </row>
    <row r="31">
      <c r="A31" s="39" t="str">
        <f>IF(AND($L31*1&gt;=$G$3,$L31*1&lt;=$G$4,$I31*$J31&gt;0,OR($I31&lt;&gt;$I32,$L31-$L32&gt;25),IF(ABS($I31)&gt;10,$I31/POW(10,$J31),$J31/POW(10,$I31))*MAXIFS(Token!$C:$C,Token!$A:$A,$K31)&gt;0.01),$L31/86400+DATE(1970,1,1)+$G$6,)</f>
        <v/>
      </c>
      <c r="B31" s="27" t="str">
        <f t="shared" si="1"/>
        <v/>
      </c>
      <c r="C31" s="14" t="str">
        <f>IF($A31&lt;&gt;"",MINIFS(Merchant!$A:$A,Merchant!$B:$B,$G$2),)</f>
        <v/>
      </c>
      <c r="D31" s="14" t="str">
        <f t="shared" si="2"/>
        <v/>
      </c>
      <c r="E31" s="14" t="str">
        <f t="shared" si="3"/>
        <v/>
      </c>
      <c r="F31" s="7" t="str">
        <f>IF($A31&lt;&gt;"",MAXIFS(Token!$C:$C,Token!$A:$A,$D31),)</f>
        <v/>
      </c>
    </row>
    <row r="32">
      <c r="A32" s="39" t="str">
        <f>IF(AND($L32*1&gt;=$G$3,$L32*1&lt;=$G$4,$I32*$J32&gt;0,OR($I32&lt;&gt;$I33,$L32-$L33&gt;25),IF(ABS($I32)&gt;10,$I32/POW(10,$J32),$J32/POW(10,$I32))*MAXIFS(Token!$C:$C,Token!$A:$A,$K32)&gt;0.01),$L32/86400+DATE(1970,1,1)+$G$6,)</f>
        <v/>
      </c>
      <c r="B32" s="27" t="str">
        <f t="shared" si="1"/>
        <v/>
      </c>
      <c r="C32" s="14" t="str">
        <f>IF($A32&lt;&gt;"",MINIFS(Merchant!$A:$A,Merchant!$B:$B,$G$2),)</f>
        <v/>
      </c>
      <c r="D32" s="14" t="str">
        <f t="shared" si="2"/>
        <v/>
      </c>
      <c r="E32" s="14" t="str">
        <f t="shared" si="3"/>
        <v/>
      </c>
      <c r="F32" s="7" t="str">
        <f>IF($A32&lt;&gt;"",MAXIFS(Token!$C:$C,Token!$A:$A,$D32),)</f>
        <v/>
      </c>
    </row>
    <row r="33">
      <c r="A33" s="39" t="str">
        <f>IF(AND($L33*1&gt;=$G$3,$L33*1&lt;=$G$4,$I33*$J33&gt;0,OR($I33&lt;&gt;$I34,$L33-$L34&gt;25),IF(ABS($I33)&gt;10,$I33/POW(10,$J33),$J33/POW(10,$I33))*MAXIFS(Token!$C:$C,Token!$A:$A,$K33)&gt;0.01),$L33/86400+DATE(1970,1,1)+$G$6,)</f>
        <v/>
      </c>
      <c r="B33" s="27" t="str">
        <f t="shared" si="1"/>
        <v/>
      </c>
      <c r="C33" s="14" t="str">
        <f>IF($A33&lt;&gt;"",MINIFS(Merchant!$A:$A,Merchant!$B:$B,$G$2),)</f>
        <v/>
      </c>
      <c r="D33" s="14" t="str">
        <f t="shared" si="2"/>
        <v/>
      </c>
      <c r="E33" s="14" t="str">
        <f t="shared" si="3"/>
        <v/>
      </c>
      <c r="F33" s="7" t="str">
        <f>IF($A33&lt;&gt;"",MAXIFS(Token!$C:$C,Token!$A:$A,$D33),)</f>
        <v/>
      </c>
    </row>
    <row r="34">
      <c r="A34" s="39" t="str">
        <f>IF(AND($L34*1&gt;=$G$3,$L34*1&lt;=$G$4,$I34*$J34&gt;0,OR($I34&lt;&gt;$I35,$L34-$L35&gt;25),IF(ABS($I34)&gt;10,$I34/POW(10,$J34),$J34/POW(10,$I34))*MAXIFS(Token!$C:$C,Token!$A:$A,$K34)&gt;0.01),$L34/86400+DATE(1970,1,1)+$G$6,)</f>
        <v/>
      </c>
      <c r="B34" s="27" t="str">
        <f t="shared" si="1"/>
        <v/>
      </c>
      <c r="C34" s="14" t="str">
        <f>IF($A34&lt;&gt;"",MINIFS(Merchant!$A:$A,Merchant!$B:$B,$G$2),)</f>
        <v/>
      </c>
      <c r="D34" s="14" t="str">
        <f t="shared" si="2"/>
        <v/>
      </c>
      <c r="E34" s="14" t="str">
        <f t="shared" si="3"/>
        <v/>
      </c>
      <c r="F34" s="7" t="str">
        <f>IF($A34&lt;&gt;"",MAXIFS(Token!$C:$C,Token!$A:$A,$D34),)</f>
        <v/>
      </c>
    </row>
    <row r="35">
      <c r="A35" s="39" t="str">
        <f>IF(AND($L35*1&gt;=$G$3,$L35*1&lt;=$G$4,$I35*$J35&gt;0,OR($I35&lt;&gt;$I36,$L35-$L36&gt;25),IF(ABS($I35)&gt;10,$I35/POW(10,$J35),$J35/POW(10,$I35))*MAXIFS(Token!$C:$C,Token!$A:$A,$K35)&gt;0.01),$L35/86400+DATE(1970,1,1)+$G$6,)</f>
        <v/>
      </c>
      <c r="B35" s="27" t="str">
        <f t="shared" si="1"/>
        <v/>
      </c>
      <c r="C35" s="14" t="str">
        <f>IF($A35&lt;&gt;"",MINIFS(Merchant!$A:$A,Merchant!$B:$B,$G$2),)</f>
        <v/>
      </c>
      <c r="D35" s="14" t="str">
        <f t="shared" si="2"/>
        <v/>
      </c>
      <c r="E35" s="14" t="str">
        <f t="shared" si="3"/>
        <v/>
      </c>
      <c r="F35" s="7" t="str">
        <f>IF($A35&lt;&gt;"",MAXIFS(Token!$C:$C,Token!$A:$A,$D35),)</f>
        <v/>
      </c>
    </row>
    <row r="36">
      <c r="A36" s="39" t="str">
        <f>IF(AND($L36*1&gt;=$G$3,$L36*1&lt;=$G$4,$I36*$J36&gt;0,OR($I36&lt;&gt;$I37,$L36-$L37&gt;25),IF(ABS($I36)&gt;10,$I36/POW(10,$J36),$J36/POW(10,$I36))*MAXIFS(Token!$C:$C,Token!$A:$A,$K36)&gt;0.01),$L36/86400+DATE(1970,1,1)+$G$6,)</f>
        <v/>
      </c>
      <c r="B36" s="27" t="str">
        <f t="shared" si="1"/>
        <v/>
      </c>
      <c r="C36" s="14" t="str">
        <f>IF($A36&lt;&gt;"",MINIFS(Merchant!$A:$A,Merchant!$B:$B,$G$2),)</f>
        <v/>
      </c>
      <c r="D36" s="14" t="str">
        <f t="shared" si="2"/>
        <v/>
      </c>
      <c r="E36" s="14" t="str">
        <f t="shared" si="3"/>
        <v/>
      </c>
      <c r="F36" s="7" t="str">
        <f>IF($A36&lt;&gt;"",MAXIFS(Token!$C:$C,Token!$A:$A,$D36),)</f>
        <v/>
      </c>
    </row>
    <row r="37">
      <c r="A37" s="39" t="str">
        <f>IF(AND($L37*1&gt;=$G$3,$L37*1&lt;=$G$4,$I37*$J37&gt;0,OR($I37&lt;&gt;$I38,$L37-$L38&gt;25),IF(ABS($I37)&gt;10,$I37/POW(10,$J37),$J37/POW(10,$I37))*MAXIFS(Token!$C:$C,Token!$A:$A,$K37)&gt;0.01),$L37/86400+DATE(1970,1,1)+$G$6,)</f>
        <v/>
      </c>
      <c r="B37" s="27" t="str">
        <f t="shared" si="1"/>
        <v/>
      </c>
      <c r="C37" s="14" t="str">
        <f>IF($A37&lt;&gt;"",MINIFS(Merchant!$A:$A,Merchant!$B:$B,$G$2),)</f>
        <v/>
      </c>
      <c r="D37" s="14" t="str">
        <f t="shared" si="2"/>
        <v/>
      </c>
      <c r="E37" s="14" t="str">
        <f t="shared" si="3"/>
        <v/>
      </c>
      <c r="F37" s="7" t="str">
        <f>IF($A37&lt;&gt;"",MAXIFS(Token!$C:$C,Token!$A:$A,$D37),)</f>
        <v/>
      </c>
    </row>
    <row r="38">
      <c r="A38" s="39" t="str">
        <f>IF(AND($L38*1&gt;=$G$3,$L38*1&lt;=$G$4,$I38*$J38&gt;0,OR($I38&lt;&gt;$I39,$L38-$L39&gt;25),IF(ABS($I38)&gt;10,$I38/POW(10,$J38),$J38/POW(10,$I38))*MAXIFS(Token!$C:$C,Token!$A:$A,$K38)&gt;0.01),$L38/86400+DATE(1970,1,1)+$G$6,)</f>
        <v/>
      </c>
      <c r="B38" s="27" t="str">
        <f t="shared" si="1"/>
        <v/>
      </c>
      <c r="C38" s="14" t="str">
        <f>IF($A38&lt;&gt;"",MINIFS(Merchant!$A:$A,Merchant!$B:$B,$G$2),)</f>
        <v/>
      </c>
      <c r="D38" s="14" t="str">
        <f t="shared" si="2"/>
        <v/>
      </c>
      <c r="E38" s="14" t="str">
        <f t="shared" si="3"/>
        <v/>
      </c>
      <c r="F38" s="7" t="str">
        <f>IF($A38&lt;&gt;"",MAXIFS(Token!$C:$C,Token!$A:$A,$D38),)</f>
        <v/>
      </c>
    </row>
    <row r="39">
      <c r="A39" s="39" t="str">
        <f>IF(AND($L39*1&gt;=$G$3,$L39*1&lt;=$G$4,$I39*$J39&gt;0,OR($I39&lt;&gt;$I40,$L39-$L40&gt;25),IF(ABS($I39)&gt;10,$I39/POW(10,$J39),$J39/POW(10,$I39))*MAXIFS(Token!$C:$C,Token!$A:$A,$K39)&gt;0.01),$L39/86400+DATE(1970,1,1)+$G$6,)</f>
        <v/>
      </c>
      <c r="B39" s="27" t="str">
        <f t="shared" si="1"/>
        <v/>
      </c>
      <c r="C39" s="14" t="str">
        <f>IF($A39&lt;&gt;"",MINIFS(Merchant!$A:$A,Merchant!$B:$B,$G$2),)</f>
        <v/>
      </c>
      <c r="D39" s="14" t="str">
        <f t="shared" si="2"/>
        <v/>
      </c>
      <c r="E39" s="14" t="str">
        <f t="shared" si="3"/>
        <v/>
      </c>
      <c r="F39" s="7" t="str">
        <f>IF($A39&lt;&gt;"",MAXIFS(Token!$C:$C,Token!$A:$A,$D39),)</f>
        <v/>
      </c>
    </row>
    <row r="40">
      <c r="A40" s="39" t="str">
        <f>IF(AND($L40*1&gt;=$G$3,$L40*1&lt;=$G$4,$I40*$J40&gt;0,OR($I40&lt;&gt;$I41,$L40-$L41&gt;25),IF(ABS($I40)&gt;10,$I40/POW(10,$J40),$J40/POW(10,$I40))*MAXIFS(Token!$C:$C,Token!$A:$A,$K40)&gt;0.01),$L40/86400+DATE(1970,1,1)+$G$6,)</f>
        <v/>
      </c>
      <c r="B40" s="27" t="str">
        <f t="shared" si="1"/>
        <v/>
      </c>
      <c r="C40" s="14" t="str">
        <f>IF($A40&lt;&gt;"",MINIFS(Merchant!$A:$A,Merchant!$B:$B,$G$2),)</f>
        <v/>
      </c>
      <c r="D40" s="14" t="str">
        <f t="shared" si="2"/>
        <v/>
      </c>
      <c r="E40" s="14" t="str">
        <f t="shared" si="3"/>
        <v/>
      </c>
      <c r="F40" s="7" t="str">
        <f>IF($A40&lt;&gt;"",MAXIFS(Token!$C:$C,Token!$A:$A,$D40),)</f>
        <v/>
      </c>
    </row>
    <row r="41">
      <c r="A41" s="39" t="str">
        <f>IF(AND($L41*1&gt;=$G$3,$L41*1&lt;=$G$4,$I41*$J41&gt;0,OR($I41&lt;&gt;$I42,$L41-$L42&gt;25),IF(ABS($I41)&gt;10,$I41/POW(10,$J41),$J41/POW(10,$I41))*MAXIFS(Token!$C:$C,Token!$A:$A,$K41)&gt;0.01),$L41/86400+DATE(1970,1,1)+$G$6,)</f>
        <v/>
      </c>
      <c r="B41" s="27" t="str">
        <f t="shared" si="1"/>
        <v/>
      </c>
      <c r="C41" s="14" t="str">
        <f>IF($A41&lt;&gt;"",MINIFS(Merchant!$A:$A,Merchant!$B:$B,$G$2),)</f>
        <v/>
      </c>
      <c r="D41" s="14" t="str">
        <f t="shared" si="2"/>
        <v/>
      </c>
      <c r="E41" s="14" t="str">
        <f t="shared" si="3"/>
        <v/>
      </c>
      <c r="F41" s="7" t="str">
        <f>IF($A41&lt;&gt;"",MAXIFS(Token!$C:$C,Token!$A:$A,$D41),)</f>
        <v/>
      </c>
    </row>
    <row r="42">
      <c r="A42" s="39" t="str">
        <f>IF(AND($L42*1&gt;=$G$3,$L42*1&lt;=$G$4,$I42*$J42&gt;0,OR($I42&lt;&gt;$I43,$L42-$L43&gt;25),IF(ABS($I42)&gt;10,$I42/POW(10,$J42),$J42/POW(10,$I42))*MAXIFS(Token!$C:$C,Token!$A:$A,$K42)&gt;0.01),$L42/86400+DATE(1970,1,1)+$G$6,)</f>
        <v/>
      </c>
      <c r="B42" s="27" t="str">
        <f t="shared" si="1"/>
        <v/>
      </c>
      <c r="C42" s="14" t="str">
        <f>IF($A42&lt;&gt;"",MINIFS(Merchant!$A:$A,Merchant!$B:$B,$G$2),)</f>
        <v/>
      </c>
      <c r="D42" s="14" t="str">
        <f t="shared" si="2"/>
        <v/>
      </c>
      <c r="E42" s="14" t="str">
        <f t="shared" si="3"/>
        <v/>
      </c>
      <c r="F42" s="7" t="str">
        <f>IF($A42&lt;&gt;"",MAXIFS(Token!$C:$C,Token!$A:$A,$D42),)</f>
        <v/>
      </c>
    </row>
    <row r="43">
      <c r="A43" s="39" t="str">
        <f>IF(AND($L43*1&gt;=$G$3,$L43*1&lt;=$G$4,$I43*$J43&gt;0,OR($I43&lt;&gt;$I44,$L43-$L44&gt;25),IF(ABS($I43)&gt;10,$I43/POW(10,$J43),$J43/POW(10,$I43))*MAXIFS(Token!$C:$C,Token!$A:$A,$K43)&gt;0.01),$L43/86400+DATE(1970,1,1)+$G$6,)</f>
        <v/>
      </c>
      <c r="B43" s="27" t="str">
        <f t="shared" si="1"/>
        <v/>
      </c>
      <c r="C43" s="14" t="str">
        <f>IF($A43&lt;&gt;"",MINIFS(Merchant!$A:$A,Merchant!$B:$B,$G$2),)</f>
        <v/>
      </c>
      <c r="D43" s="14" t="str">
        <f t="shared" si="2"/>
        <v/>
      </c>
      <c r="E43" s="14" t="str">
        <f t="shared" si="3"/>
        <v/>
      </c>
      <c r="F43" s="7" t="str">
        <f>IF($A43&lt;&gt;"",MAXIFS(Token!$C:$C,Token!$A:$A,$D43),)</f>
        <v/>
      </c>
    </row>
    <row r="44">
      <c r="A44" s="39" t="str">
        <f>IF(AND($L44*1&gt;=$G$3,$L44*1&lt;=$G$4,$I44*$J44&gt;0,OR($I44&lt;&gt;$I45,$L44-$L45&gt;25),IF(ABS($I44)&gt;10,$I44/POW(10,$J44),$J44/POW(10,$I44))*MAXIFS(Token!$C:$C,Token!$A:$A,$K44)&gt;0.01),$L44/86400+DATE(1970,1,1)+$G$6,)</f>
        <v/>
      </c>
      <c r="B44" s="27" t="str">
        <f t="shared" si="1"/>
        <v/>
      </c>
      <c r="C44" s="14" t="str">
        <f>IF($A44&lt;&gt;"",MINIFS(Merchant!$A:$A,Merchant!$B:$B,$G$2),)</f>
        <v/>
      </c>
      <c r="D44" s="14" t="str">
        <f t="shared" si="2"/>
        <v/>
      </c>
      <c r="E44" s="14" t="str">
        <f t="shared" si="3"/>
        <v/>
      </c>
      <c r="F44" s="7" t="str">
        <f>IF($A44&lt;&gt;"",MAXIFS(Token!$C:$C,Token!$A:$A,$D44),)</f>
        <v/>
      </c>
    </row>
    <row r="45">
      <c r="A45" s="39" t="str">
        <f>IF(AND($L45*1&gt;=$G$3,$L45*1&lt;=$G$4,$I45*$J45&gt;0,OR($I45&lt;&gt;$I46,$L45-$L46&gt;25),IF(ABS($I45)&gt;10,$I45/POW(10,$J45),$J45/POW(10,$I45))*MAXIFS(Token!$C:$C,Token!$A:$A,$K45)&gt;0.01),$L45/86400+DATE(1970,1,1)+$G$6,)</f>
        <v/>
      </c>
      <c r="B45" s="27" t="str">
        <f t="shared" si="1"/>
        <v/>
      </c>
      <c r="C45" s="14" t="str">
        <f>IF($A45&lt;&gt;"",MINIFS(Merchant!$A:$A,Merchant!$B:$B,$G$2),)</f>
        <v/>
      </c>
      <c r="D45" s="14" t="str">
        <f t="shared" si="2"/>
        <v/>
      </c>
      <c r="E45" s="14" t="str">
        <f t="shared" si="3"/>
        <v/>
      </c>
      <c r="F45" s="7" t="str">
        <f>IF($A45&lt;&gt;"",MAXIFS(Token!$C:$C,Token!$A:$A,$D45),)</f>
        <v/>
      </c>
    </row>
    <row r="46">
      <c r="A46" s="39" t="str">
        <f>IF(AND($L46*1&gt;=$G$3,$L46*1&lt;=$G$4,$I46*$J46&gt;0,OR($I46&lt;&gt;$I47,$L46-$L47&gt;25),IF(ABS($I46)&gt;10,$I46/POW(10,$J46),$J46/POW(10,$I46))*MAXIFS(Token!$C:$C,Token!$A:$A,$K46)&gt;0.01),$L46/86400+DATE(1970,1,1)+$G$6,)</f>
        <v/>
      </c>
      <c r="B46" s="27" t="str">
        <f t="shared" si="1"/>
        <v/>
      </c>
      <c r="C46" s="14" t="str">
        <f>IF($A46&lt;&gt;"",MINIFS(Merchant!$A:$A,Merchant!$B:$B,$G$2),)</f>
        <v/>
      </c>
      <c r="D46" s="14" t="str">
        <f t="shared" si="2"/>
        <v/>
      </c>
      <c r="E46" s="14" t="str">
        <f t="shared" si="3"/>
        <v/>
      </c>
      <c r="F46" s="7" t="str">
        <f>IF($A46&lt;&gt;"",MAXIFS(Token!$C:$C,Token!$A:$A,$D46),)</f>
        <v/>
      </c>
    </row>
    <row r="47">
      <c r="A47" s="39" t="str">
        <f>IF(AND($L47*1&gt;=$G$3,$L47*1&lt;=$G$4,$I47*$J47&gt;0,OR($I47&lt;&gt;$I48,$L47-$L48&gt;25),IF(ABS($I47)&gt;10,$I47/POW(10,$J47),$J47/POW(10,$I47))*MAXIFS(Token!$C:$C,Token!$A:$A,$K47)&gt;0.01),$L47/86400+DATE(1970,1,1)+$G$6,)</f>
        <v/>
      </c>
      <c r="B47" s="27" t="str">
        <f t="shared" si="1"/>
        <v/>
      </c>
      <c r="C47" s="14" t="str">
        <f>IF($A47&lt;&gt;"",MINIFS(Merchant!$A:$A,Merchant!$B:$B,$G$2),)</f>
        <v/>
      </c>
      <c r="D47" s="14" t="str">
        <f t="shared" si="2"/>
        <v/>
      </c>
      <c r="E47" s="14" t="str">
        <f t="shared" si="3"/>
        <v/>
      </c>
      <c r="F47" s="7" t="str">
        <f>IF($A47&lt;&gt;"",MAXIFS(Token!$C:$C,Token!$A:$A,$D47),)</f>
        <v/>
      </c>
    </row>
    <row r="48">
      <c r="A48" s="39" t="str">
        <f>IF(AND($L48*1&gt;=$G$3,$L48*1&lt;=$G$4,$I48*$J48&gt;0,OR($I48&lt;&gt;$I49,$L48-$L49&gt;25),IF(ABS($I48)&gt;10,$I48/POW(10,$J48),$J48/POW(10,$I48))*MAXIFS(Token!$C:$C,Token!$A:$A,$K48)&gt;0.01),$L48/86400+DATE(1970,1,1)+$G$6,)</f>
        <v/>
      </c>
      <c r="B48" s="27" t="str">
        <f t="shared" si="1"/>
        <v/>
      </c>
      <c r="C48" s="14" t="str">
        <f>IF($A48&lt;&gt;"",MINIFS(Merchant!$A:$A,Merchant!$B:$B,$G$2),)</f>
        <v/>
      </c>
      <c r="D48" s="14" t="str">
        <f t="shared" si="2"/>
        <v/>
      </c>
      <c r="E48" s="14" t="str">
        <f t="shared" si="3"/>
        <v/>
      </c>
      <c r="F48" s="7" t="str">
        <f>IF($A48&lt;&gt;"",MAXIFS(Token!$C:$C,Token!$A:$A,$D48),)</f>
        <v/>
      </c>
    </row>
    <row r="49">
      <c r="A49" s="39" t="str">
        <f>IF(AND($L49*1&gt;=$G$3,$L49*1&lt;=$G$4,$I49*$J49&gt;0,OR($I49&lt;&gt;$I50,$L49-$L50&gt;25),IF(ABS($I49)&gt;10,$I49/POW(10,$J49),$J49/POW(10,$I49))*MAXIFS(Token!$C:$C,Token!$A:$A,$K49)&gt;0.01),$L49/86400+DATE(1970,1,1)+$G$6,)</f>
        <v/>
      </c>
      <c r="B49" s="27" t="str">
        <f t="shared" si="1"/>
        <v/>
      </c>
      <c r="C49" s="14" t="str">
        <f>IF($A49&lt;&gt;"",MINIFS(Merchant!$A:$A,Merchant!$B:$B,$G$2),)</f>
        <v/>
      </c>
      <c r="D49" s="14" t="str">
        <f t="shared" si="2"/>
        <v/>
      </c>
      <c r="E49" s="14" t="str">
        <f t="shared" si="3"/>
        <v/>
      </c>
      <c r="F49" s="7" t="str">
        <f>IF($A49&lt;&gt;"",MAXIFS(Token!$C:$C,Token!$A:$A,$D49),)</f>
        <v/>
      </c>
    </row>
    <row r="50">
      <c r="A50" s="39" t="str">
        <f>IF(AND($L50*1&gt;=$G$3,$L50*1&lt;=$G$4,$I50*$J50&gt;0,OR($I50&lt;&gt;$I51,$L50-$L51&gt;25),IF(ABS($I50)&gt;10,$I50/POW(10,$J50),$J50/POW(10,$I50))*MAXIFS(Token!$C:$C,Token!$A:$A,$K50)&gt;0.01),$L50/86400+DATE(1970,1,1)+$G$6,)</f>
        <v/>
      </c>
      <c r="B50" s="27" t="str">
        <f t="shared" si="1"/>
        <v/>
      </c>
      <c r="C50" s="14" t="str">
        <f>IF($A50&lt;&gt;"",MINIFS(Merchant!$A:$A,Merchant!$B:$B,$G$2),)</f>
        <v/>
      </c>
      <c r="D50" s="14" t="str">
        <f t="shared" si="2"/>
        <v/>
      </c>
      <c r="E50" s="14" t="str">
        <f t="shared" si="3"/>
        <v/>
      </c>
      <c r="F50" s="7" t="str">
        <f>IF($A50&lt;&gt;"",MAXIFS(Token!$C:$C,Token!$A:$A,$D50),)</f>
        <v/>
      </c>
    </row>
    <row r="51">
      <c r="A51" s="39" t="str">
        <f>IF(AND($L51*1&gt;=$G$3,$L51*1&lt;=$G$4,$I51*$J51&gt;0,OR($I51&lt;&gt;$I52,$L51-$L52&gt;25),IF(ABS($I51)&gt;10,$I51/POW(10,$J51),$J51/POW(10,$I51))*MAXIFS(Token!$C:$C,Token!$A:$A,$K51)&gt;0.01),$L51/86400+DATE(1970,1,1)+$G$6,)</f>
        <v/>
      </c>
      <c r="B51" s="27" t="str">
        <f t="shared" si="1"/>
        <v/>
      </c>
      <c r="C51" s="14" t="str">
        <f>IF($A51&lt;&gt;"",MINIFS(Merchant!$A:$A,Merchant!$B:$B,$G$2),)</f>
        <v/>
      </c>
      <c r="D51" s="14" t="str">
        <f t="shared" si="2"/>
        <v/>
      </c>
      <c r="E51" s="14" t="str">
        <f t="shared" si="3"/>
        <v/>
      </c>
      <c r="F51" s="7" t="str">
        <f>IF($A51&lt;&gt;"",MAXIFS(Token!$C:$C,Token!$A:$A,$D51),)</f>
        <v/>
      </c>
    </row>
    <row r="52">
      <c r="A52" s="39" t="str">
        <f>IF(AND($L52*1&gt;=$G$3,$L52*1&lt;=$G$4,$I52*$J52&gt;0,OR($I52&lt;&gt;$I53,$L52-$L53&gt;25),IF(ABS($I52)&gt;10,$I52/POW(10,$J52),$J52/POW(10,$I52))*MAXIFS(Token!$C:$C,Token!$A:$A,$K52)&gt;0.01),$L52/86400+DATE(1970,1,1)+$G$6,)</f>
        <v/>
      </c>
      <c r="B52" s="27" t="str">
        <f t="shared" si="1"/>
        <v/>
      </c>
      <c r="C52" s="14" t="str">
        <f>IF($A52&lt;&gt;"",MINIFS(Merchant!$A:$A,Merchant!$B:$B,$G$2),)</f>
        <v/>
      </c>
      <c r="D52" s="14" t="str">
        <f t="shared" si="2"/>
        <v/>
      </c>
      <c r="E52" s="14" t="str">
        <f t="shared" si="3"/>
        <v/>
      </c>
      <c r="F52" s="7" t="str">
        <f>IF($A52&lt;&gt;"",MAXIFS(Token!$C:$C,Token!$A:$A,$D52),)</f>
        <v/>
      </c>
      <c r="H52" s="6" t="str">
        <f>IFERROR(__xludf.DUMMYFUNCTION("IF(AND($G$11,INDEX(L:L,ROW()-1)*1&gt;$G$3),ImportJSON(""https://public-api.solscan.io/account/splTransfers?account=""&amp;$G$2&amp;IF($G$5,""&amp;fromTime=""&amp;TO_TEXT($G$3)&amp;""&amp;toTime=""&amp;TO_TEXT($G$4),)&amp;""&amp;offset=""&amp;ROW()-2&amp;""&amp;limit=50""&amp;$G$7,TEXTJOIN("","",1,$H$1:$L$1),"&amp;"""noHeaders""),)"),"12")</f>
        <v>12</v>
      </c>
    </row>
    <row r="53">
      <c r="A53" s="39" t="str">
        <f>IF(AND($L53*1&gt;=$G$3,$L53*1&lt;=$G$4,$I53*$J53&gt;0,OR($I53&lt;&gt;$I54,$L53-$L54&gt;25),IF(ABS($I53)&gt;10,$I53/POW(10,$J53),$J53/POW(10,$I53))*MAXIFS(Token!$C:$C,Token!$A:$A,$K53)&gt;0.01),$L53/86400+DATE(1970,1,1)+$G$6,)</f>
        <v/>
      </c>
      <c r="B53" s="27" t="str">
        <f t="shared" si="1"/>
        <v/>
      </c>
      <c r="C53" s="14" t="str">
        <f>IF($A53&lt;&gt;"",MINIFS(Merchant!$A:$A,Merchant!$B:$B,$G$2),)</f>
        <v/>
      </c>
      <c r="D53" s="14" t="str">
        <f t="shared" si="2"/>
        <v/>
      </c>
      <c r="E53" s="14" t="str">
        <f t="shared" si="3"/>
        <v/>
      </c>
      <c r="F53" s="7" t="str">
        <f>IF($A53&lt;&gt;"",MAXIFS(Token!$C:$C,Token!$A:$A,$D53),)</f>
        <v/>
      </c>
    </row>
    <row r="54">
      <c r="A54" s="39" t="str">
        <f>IF(AND($L54*1&gt;=$G$3,$L54*1&lt;=$G$4,$I54*$J54&gt;0,OR($I54&lt;&gt;$I55,$L54-$L55&gt;25),IF(ABS($I54)&gt;10,$I54/POW(10,$J54),$J54/POW(10,$I54))*MAXIFS(Token!$C:$C,Token!$A:$A,$K54)&gt;0.01),$L54/86400+DATE(1970,1,1)+$G$6,)</f>
        <v/>
      </c>
      <c r="B54" s="27" t="str">
        <f t="shared" si="1"/>
        <v/>
      </c>
      <c r="C54" s="14" t="str">
        <f>IF($A54&lt;&gt;"",MINIFS(Merchant!$A:$A,Merchant!$B:$B,$G$2),)</f>
        <v/>
      </c>
      <c r="D54" s="14" t="str">
        <f t="shared" si="2"/>
        <v/>
      </c>
      <c r="E54" s="14" t="str">
        <f t="shared" si="3"/>
        <v/>
      </c>
      <c r="F54" s="7" t="str">
        <f>IF($A54&lt;&gt;"",MAXIFS(Token!$C:$C,Token!$A:$A,$D54),)</f>
        <v/>
      </c>
    </row>
    <row r="55">
      <c r="A55" s="39" t="str">
        <f>IF(AND($L55*1&gt;=$G$3,$L55*1&lt;=$G$4,$I55*$J55&gt;0,OR($I55&lt;&gt;$I56,$L55-$L56&gt;25),IF(ABS($I55)&gt;10,$I55/POW(10,$J55),$J55/POW(10,$I55))*MAXIFS(Token!$C:$C,Token!$A:$A,$K55)&gt;0.01),$L55/86400+DATE(1970,1,1)+$G$6,)</f>
        <v/>
      </c>
      <c r="B55" s="27" t="str">
        <f t="shared" si="1"/>
        <v/>
      </c>
      <c r="C55" s="14" t="str">
        <f>IF($A55&lt;&gt;"",MINIFS(Merchant!$A:$A,Merchant!$B:$B,$G$2),)</f>
        <v/>
      </c>
      <c r="D55" s="14" t="str">
        <f t="shared" si="2"/>
        <v/>
      </c>
      <c r="E55" s="14" t="str">
        <f t="shared" si="3"/>
        <v/>
      </c>
      <c r="F55" s="7" t="str">
        <f>IF($A55&lt;&gt;"",MAXIFS(Token!$C:$C,Token!$A:$A,$D55),)</f>
        <v/>
      </c>
    </row>
    <row r="56">
      <c r="A56" s="39" t="str">
        <f>IF(AND($L56*1&gt;=$G$3,$L56*1&lt;=$G$4,$I56*$J56&gt;0,OR($I56&lt;&gt;$I57,$L56-$L57&gt;25),IF(ABS($I56)&gt;10,$I56/POW(10,$J56),$J56/POW(10,$I56))*MAXIFS(Token!$C:$C,Token!$A:$A,$K56)&gt;0.01),$L56/86400+DATE(1970,1,1)+$G$6,)</f>
        <v/>
      </c>
      <c r="B56" s="27" t="str">
        <f t="shared" si="1"/>
        <v/>
      </c>
      <c r="C56" s="14" t="str">
        <f>IF($A56&lt;&gt;"",MINIFS(Merchant!$A:$A,Merchant!$B:$B,$G$2),)</f>
        <v/>
      </c>
      <c r="D56" s="14" t="str">
        <f t="shared" si="2"/>
        <v/>
      </c>
      <c r="E56" s="14" t="str">
        <f t="shared" si="3"/>
        <v/>
      </c>
      <c r="F56" s="7" t="str">
        <f>IF($A56&lt;&gt;"",MAXIFS(Token!$C:$C,Token!$A:$A,$D56),)</f>
        <v/>
      </c>
    </row>
    <row r="57">
      <c r="A57" s="39" t="str">
        <f>IF(AND($L57*1&gt;=$G$3,$L57*1&lt;=$G$4,$I57*$J57&gt;0,OR($I57&lt;&gt;$I58,$L57-$L58&gt;25),IF(ABS($I57)&gt;10,$I57/POW(10,$J57),$J57/POW(10,$I57))*MAXIFS(Token!$C:$C,Token!$A:$A,$K57)&gt;0.01),$L57/86400+DATE(1970,1,1)+$G$6,)</f>
        <v/>
      </c>
      <c r="B57" s="27" t="str">
        <f t="shared" si="1"/>
        <v/>
      </c>
      <c r="C57" s="14" t="str">
        <f>IF($A57&lt;&gt;"",MINIFS(Merchant!$A:$A,Merchant!$B:$B,$G$2),)</f>
        <v/>
      </c>
      <c r="D57" s="14" t="str">
        <f t="shared" si="2"/>
        <v/>
      </c>
      <c r="E57" s="14" t="str">
        <f t="shared" si="3"/>
        <v/>
      </c>
      <c r="F57" s="7" t="str">
        <f>IF($A57&lt;&gt;"",MAXIFS(Token!$C:$C,Token!$A:$A,$D57),)</f>
        <v/>
      </c>
    </row>
    <row r="58">
      <c r="A58" s="39" t="str">
        <f>IF(AND($L58*1&gt;=$G$3,$L58*1&lt;=$G$4,$I58*$J58&gt;0,OR($I58&lt;&gt;$I59,$L58-$L59&gt;25),IF(ABS($I58)&gt;10,$I58/POW(10,$J58),$J58/POW(10,$I58))*MAXIFS(Token!$C:$C,Token!$A:$A,$K58)&gt;0.01),$L58/86400+DATE(1970,1,1)+$G$6,)</f>
        <v/>
      </c>
      <c r="B58" s="27" t="str">
        <f t="shared" si="1"/>
        <v/>
      </c>
      <c r="C58" s="14" t="str">
        <f>IF($A58&lt;&gt;"",MINIFS(Merchant!$A:$A,Merchant!$B:$B,$G$2),)</f>
        <v/>
      </c>
      <c r="D58" s="14" t="str">
        <f t="shared" si="2"/>
        <v/>
      </c>
      <c r="E58" s="14" t="str">
        <f t="shared" si="3"/>
        <v/>
      </c>
      <c r="F58" s="7" t="str">
        <f>IF($A58&lt;&gt;"",MAXIFS(Token!$C:$C,Token!$A:$A,$D58),)</f>
        <v/>
      </c>
    </row>
    <row r="59">
      <c r="A59" s="39" t="str">
        <f>IF(AND($L59*1&gt;=$G$3,$L59*1&lt;=$G$4,$I59*$J59&gt;0,OR($I59&lt;&gt;$I60,$L59-$L60&gt;25),IF(ABS($I59)&gt;10,$I59/POW(10,$J59),$J59/POW(10,$I59))*MAXIFS(Token!$C:$C,Token!$A:$A,$K59)&gt;0.01),$L59/86400+DATE(1970,1,1)+$G$6,)</f>
        <v/>
      </c>
      <c r="B59" s="27" t="str">
        <f t="shared" si="1"/>
        <v/>
      </c>
      <c r="C59" s="14" t="str">
        <f>IF($A59&lt;&gt;"",MINIFS(Merchant!$A:$A,Merchant!$B:$B,$G$2),)</f>
        <v/>
      </c>
      <c r="D59" s="14" t="str">
        <f t="shared" si="2"/>
        <v/>
      </c>
      <c r="E59" s="14" t="str">
        <f t="shared" si="3"/>
        <v/>
      </c>
      <c r="F59" s="7" t="str">
        <f>IF($A59&lt;&gt;"",MAXIFS(Token!$C:$C,Token!$A:$A,$D59),)</f>
        <v/>
      </c>
    </row>
    <row r="60">
      <c r="A60" s="39" t="str">
        <f>IF(AND($L60*1&gt;=$G$3,$L60*1&lt;=$G$4,$I60*$J60&gt;0,OR($I60&lt;&gt;$I61,$L60-$L61&gt;25),IF(ABS($I60)&gt;10,$I60/POW(10,$J60),$J60/POW(10,$I60))*MAXIFS(Token!$C:$C,Token!$A:$A,$K60)&gt;0.01),$L60/86400+DATE(1970,1,1)+$G$6,)</f>
        <v/>
      </c>
      <c r="B60" s="27" t="str">
        <f t="shared" si="1"/>
        <v/>
      </c>
      <c r="C60" s="14" t="str">
        <f>IF($A60&lt;&gt;"",MINIFS(Merchant!$A:$A,Merchant!$B:$B,$G$2),)</f>
        <v/>
      </c>
      <c r="D60" s="14" t="str">
        <f t="shared" si="2"/>
        <v/>
      </c>
      <c r="E60" s="14" t="str">
        <f t="shared" si="3"/>
        <v/>
      </c>
      <c r="F60" s="7" t="str">
        <f>IF($A60&lt;&gt;"",MAXIFS(Token!$C:$C,Token!$A:$A,$D60),)</f>
        <v/>
      </c>
    </row>
    <row r="61">
      <c r="A61" s="39" t="str">
        <f>IF(AND($L61*1&gt;=$G$3,$L61*1&lt;=$G$4,$I61*$J61&gt;0,OR($I61&lt;&gt;$I62,$L61-$L62&gt;25),IF(ABS($I61)&gt;10,$I61/POW(10,$J61),$J61/POW(10,$I61))*MAXIFS(Token!$C:$C,Token!$A:$A,$K61)&gt;0.01),$L61/86400+DATE(1970,1,1)+$G$6,)</f>
        <v/>
      </c>
      <c r="B61" s="27" t="str">
        <f t="shared" si="1"/>
        <v/>
      </c>
      <c r="C61" s="14" t="str">
        <f>IF($A61&lt;&gt;"",MINIFS(Merchant!$A:$A,Merchant!$B:$B,$G$2),)</f>
        <v/>
      </c>
      <c r="D61" s="14" t="str">
        <f t="shared" si="2"/>
        <v/>
      </c>
      <c r="E61" s="14" t="str">
        <f t="shared" si="3"/>
        <v/>
      </c>
      <c r="F61" s="7" t="str">
        <f>IF($A61&lt;&gt;"",MAXIFS(Token!$C:$C,Token!$A:$A,$D61),)</f>
        <v/>
      </c>
    </row>
    <row r="62">
      <c r="A62" s="39" t="str">
        <f>IF(AND($L62*1&gt;=$G$3,$L62*1&lt;=$G$4,$I62*$J62&gt;0,OR($I62&lt;&gt;$I63,$L62-$L63&gt;25),IF(ABS($I62)&gt;10,$I62/POW(10,$J62),$J62/POW(10,$I62))*MAXIFS(Token!$C:$C,Token!$A:$A,$K62)&gt;0.01),$L62/86400+DATE(1970,1,1)+$G$6,)</f>
        <v/>
      </c>
      <c r="B62" s="27" t="str">
        <f t="shared" si="1"/>
        <v/>
      </c>
      <c r="C62" s="14" t="str">
        <f>IF($A62&lt;&gt;"",MINIFS(Merchant!$A:$A,Merchant!$B:$B,$G$2),)</f>
        <v/>
      </c>
      <c r="D62" s="14" t="str">
        <f t="shared" si="2"/>
        <v/>
      </c>
      <c r="E62" s="14" t="str">
        <f t="shared" si="3"/>
        <v/>
      </c>
      <c r="F62" s="7" t="str">
        <f>IF($A62&lt;&gt;"",MAXIFS(Token!$C:$C,Token!$A:$A,$D62),)</f>
        <v/>
      </c>
    </row>
    <row r="63">
      <c r="A63" s="39" t="str">
        <f>IF(AND($L63*1&gt;=$G$3,$L63*1&lt;=$G$4,$I63*$J63&gt;0,OR($I63&lt;&gt;$I64,$L63-$L64&gt;25),IF(ABS($I63)&gt;10,$I63/POW(10,$J63),$J63/POW(10,$I63))*MAXIFS(Token!$C:$C,Token!$A:$A,$K63)&gt;0.01),$L63/86400+DATE(1970,1,1)+$G$6,)</f>
        <v/>
      </c>
      <c r="B63" s="27" t="str">
        <f t="shared" si="1"/>
        <v/>
      </c>
      <c r="C63" s="14" t="str">
        <f>IF($A63&lt;&gt;"",MINIFS(Merchant!$A:$A,Merchant!$B:$B,$G$2),)</f>
        <v/>
      </c>
      <c r="D63" s="14" t="str">
        <f t="shared" si="2"/>
        <v/>
      </c>
      <c r="E63" s="14" t="str">
        <f t="shared" si="3"/>
        <v/>
      </c>
      <c r="F63" s="7" t="str">
        <f>IF($A63&lt;&gt;"",MAXIFS(Token!$C:$C,Token!$A:$A,$D63),)</f>
        <v/>
      </c>
    </row>
    <row r="64">
      <c r="A64" s="39" t="str">
        <f>IF(AND($L64*1&gt;=$G$3,$L64*1&lt;=$G$4,$I64*$J64&gt;0,OR($I64&lt;&gt;$I65,$L64-$L65&gt;25),IF(ABS($I64)&gt;10,$I64/POW(10,$J64),$J64/POW(10,$I64))*MAXIFS(Token!$C:$C,Token!$A:$A,$K64)&gt;0.01),$L64/86400+DATE(1970,1,1)+$G$6,)</f>
        <v/>
      </c>
      <c r="B64" s="27" t="str">
        <f t="shared" si="1"/>
        <v/>
      </c>
      <c r="C64" s="14" t="str">
        <f>IF($A64&lt;&gt;"",MINIFS(Merchant!$A:$A,Merchant!$B:$B,$G$2),)</f>
        <v/>
      </c>
      <c r="D64" s="14" t="str">
        <f t="shared" si="2"/>
        <v/>
      </c>
      <c r="E64" s="14" t="str">
        <f t="shared" si="3"/>
        <v/>
      </c>
      <c r="F64" s="7" t="str">
        <f>IF($A64&lt;&gt;"",MAXIFS(Token!$C:$C,Token!$A:$A,$D64),)</f>
        <v/>
      </c>
    </row>
    <row r="65">
      <c r="A65" s="39" t="str">
        <f>IF(AND($L65*1&gt;=$G$3,$L65*1&lt;=$G$4,$I65*$J65&gt;0,OR($I65&lt;&gt;$I66,$L65-$L66&gt;25),IF(ABS($I65)&gt;10,$I65/POW(10,$J65),$J65/POW(10,$I65))*MAXIFS(Token!$C:$C,Token!$A:$A,$K65)&gt;0.01),$L65/86400+DATE(1970,1,1)+$G$6,)</f>
        <v/>
      </c>
      <c r="B65" s="27" t="str">
        <f t="shared" si="1"/>
        <v/>
      </c>
      <c r="C65" s="14" t="str">
        <f>IF($A65&lt;&gt;"",MINIFS(Merchant!$A:$A,Merchant!$B:$B,$G$2),)</f>
        <v/>
      </c>
      <c r="D65" s="14" t="str">
        <f t="shared" si="2"/>
        <v/>
      </c>
      <c r="E65" s="14" t="str">
        <f t="shared" si="3"/>
        <v/>
      </c>
      <c r="F65" s="7" t="str">
        <f>IF($A65&lt;&gt;"",MAXIFS(Token!$C:$C,Token!$A:$A,$D65),)</f>
        <v/>
      </c>
    </row>
    <row r="66">
      <c r="A66" s="39" t="str">
        <f>IF(AND($L66*1&gt;=$G$3,$L66*1&lt;=$G$4,$I66*$J66&gt;0,OR($I66&lt;&gt;$I67,$L66-$L67&gt;25),IF(ABS($I66)&gt;10,$I66/POW(10,$J66),$J66/POW(10,$I66))*MAXIFS(Token!$C:$C,Token!$A:$A,$K66)&gt;0.01),$L66/86400+DATE(1970,1,1)+$G$6,)</f>
        <v/>
      </c>
      <c r="B66" s="27" t="str">
        <f t="shared" si="1"/>
        <v/>
      </c>
      <c r="C66" s="14" t="str">
        <f>IF($A66&lt;&gt;"",MINIFS(Merchant!$A:$A,Merchant!$B:$B,$G$2),)</f>
        <v/>
      </c>
      <c r="D66" s="14" t="str">
        <f t="shared" si="2"/>
        <v/>
      </c>
      <c r="E66" s="14" t="str">
        <f t="shared" si="3"/>
        <v/>
      </c>
      <c r="F66" s="7" t="str">
        <f>IF($A66&lt;&gt;"",MAXIFS(Token!$C:$C,Token!$A:$A,$D66),)</f>
        <v/>
      </c>
    </row>
    <row r="67">
      <c r="A67" s="39" t="str">
        <f>IF(AND($L67*1&gt;=$G$3,$L67*1&lt;=$G$4,$I67*$J67&gt;0,OR($I67&lt;&gt;$I68,$L67-$L68&gt;25),IF(ABS($I67)&gt;10,$I67/POW(10,$J67),$J67/POW(10,$I67))*MAXIFS(Token!$C:$C,Token!$A:$A,$K67)&gt;0.01),$L67/86400+DATE(1970,1,1)+$G$6,)</f>
        <v/>
      </c>
      <c r="B67" s="27" t="str">
        <f t="shared" si="1"/>
        <v/>
      </c>
      <c r="C67" s="14" t="str">
        <f>IF($A67&lt;&gt;"",MINIFS(Merchant!$A:$A,Merchant!$B:$B,$G$2),)</f>
        <v/>
      </c>
      <c r="D67" s="14" t="str">
        <f t="shared" si="2"/>
        <v/>
      </c>
      <c r="E67" s="14" t="str">
        <f t="shared" si="3"/>
        <v/>
      </c>
      <c r="F67" s="7" t="str">
        <f>IF($A67&lt;&gt;"",MAXIFS(Token!$C:$C,Token!$A:$A,$D67),)</f>
        <v/>
      </c>
    </row>
    <row r="68">
      <c r="A68" s="39" t="str">
        <f>IF(AND($L68*1&gt;=$G$3,$L68*1&lt;=$G$4,$I68*$J68&gt;0,OR($I68&lt;&gt;$I69,$L68-$L69&gt;25),IF(ABS($I68)&gt;10,$I68/POW(10,$J68),$J68/POW(10,$I68))*MAXIFS(Token!$C:$C,Token!$A:$A,$K68)&gt;0.01),$L68/86400+DATE(1970,1,1)+$G$6,)</f>
        <v/>
      </c>
      <c r="B68" s="27" t="str">
        <f t="shared" si="1"/>
        <v/>
      </c>
      <c r="C68" s="14" t="str">
        <f>IF($A68&lt;&gt;"",MINIFS(Merchant!$A:$A,Merchant!$B:$B,$G$2),)</f>
        <v/>
      </c>
      <c r="D68" s="14" t="str">
        <f t="shared" si="2"/>
        <v/>
      </c>
      <c r="E68" s="14" t="str">
        <f t="shared" si="3"/>
        <v/>
      </c>
      <c r="F68" s="7" t="str">
        <f>IF($A68&lt;&gt;"",MAXIFS(Token!$C:$C,Token!$A:$A,$D68),)</f>
        <v/>
      </c>
    </row>
    <row r="69">
      <c r="A69" s="39" t="str">
        <f>IF(AND($L69*1&gt;=$G$3,$L69*1&lt;=$G$4,$I69*$J69&gt;0,OR($I69&lt;&gt;$I70,$L69-$L70&gt;25),IF(ABS($I69)&gt;10,$I69/POW(10,$J69),$J69/POW(10,$I69))*MAXIFS(Token!$C:$C,Token!$A:$A,$K69)&gt;0.01),$L69/86400+DATE(1970,1,1)+$G$6,)</f>
        <v/>
      </c>
      <c r="B69" s="27" t="str">
        <f t="shared" si="1"/>
        <v/>
      </c>
      <c r="C69" s="14" t="str">
        <f>IF($A69&lt;&gt;"",MINIFS(Merchant!$A:$A,Merchant!$B:$B,$G$2),)</f>
        <v/>
      </c>
      <c r="D69" s="14" t="str">
        <f t="shared" si="2"/>
        <v/>
      </c>
      <c r="E69" s="14" t="str">
        <f t="shared" si="3"/>
        <v/>
      </c>
      <c r="F69" s="7" t="str">
        <f>IF($A69&lt;&gt;"",MAXIFS(Token!$C:$C,Token!$A:$A,$D69),)</f>
        <v/>
      </c>
    </row>
    <row r="70">
      <c r="A70" s="39" t="str">
        <f>IF(AND($L70*1&gt;=$G$3,$L70*1&lt;=$G$4,$I70*$J70&gt;0,OR($I70&lt;&gt;$I71,$L70-$L71&gt;25),IF(ABS($I70)&gt;10,$I70/POW(10,$J70),$J70/POW(10,$I70))*MAXIFS(Token!$C:$C,Token!$A:$A,$K70)&gt;0.01),$L70/86400+DATE(1970,1,1)+$G$6,)</f>
        <v/>
      </c>
      <c r="B70" s="27" t="str">
        <f t="shared" si="1"/>
        <v/>
      </c>
      <c r="C70" s="14" t="str">
        <f>IF($A70&lt;&gt;"",MINIFS(Merchant!$A:$A,Merchant!$B:$B,$G$2),)</f>
        <v/>
      </c>
      <c r="D70" s="14" t="str">
        <f t="shared" si="2"/>
        <v/>
      </c>
      <c r="E70" s="14" t="str">
        <f t="shared" si="3"/>
        <v/>
      </c>
      <c r="F70" s="7" t="str">
        <f>IF($A70&lt;&gt;"",MAXIFS(Token!$C:$C,Token!$A:$A,$D70),)</f>
        <v/>
      </c>
    </row>
    <row r="71">
      <c r="A71" s="39" t="str">
        <f>IF(AND($L71*1&gt;=$G$3,$L71*1&lt;=$G$4,$I71*$J71&gt;0,OR($I71&lt;&gt;$I72,$L71-$L72&gt;25),IF(ABS($I71)&gt;10,$I71/POW(10,$J71),$J71/POW(10,$I71))*MAXIFS(Token!$C:$C,Token!$A:$A,$K71)&gt;0.01),$L71/86400+DATE(1970,1,1)+$G$6,)</f>
        <v/>
      </c>
      <c r="B71" s="27" t="str">
        <f t="shared" si="1"/>
        <v/>
      </c>
      <c r="C71" s="14" t="str">
        <f>IF($A71&lt;&gt;"",MINIFS(Merchant!$A:$A,Merchant!$B:$B,$G$2),)</f>
        <v/>
      </c>
      <c r="D71" s="14" t="str">
        <f t="shared" si="2"/>
        <v/>
      </c>
      <c r="E71" s="14" t="str">
        <f t="shared" si="3"/>
        <v/>
      </c>
      <c r="F71" s="7" t="str">
        <f>IF($A71&lt;&gt;"",MAXIFS(Token!$C:$C,Token!$A:$A,$D71),)</f>
        <v/>
      </c>
    </row>
    <row r="72">
      <c r="A72" s="39" t="str">
        <f>IF(AND($L72*1&gt;=$G$3,$L72*1&lt;=$G$4,$I72*$J72&gt;0,OR($I72&lt;&gt;$I73,$L72-$L73&gt;25),IF(ABS($I72)&gt;10,$I72/POW(10,$J72),$J72/POW(10,$I72))*MAXIFS(Token!$C:$C,Token!$A:$A,$K72)&gt;0.01),$L72/86400+DATE(1970,1,1)+$G$6,)</f>
        <v/>
      </c>
      <c r="B72" s="27" t="str">
        <f t="shared" si="1"/>
        <v/>
      </c>
      <c r="C72" s="14" t="str">
        <f>IF($A72&lt;&gt;"",MINIFS(Merchant!$A:$A,Merchant!$B:$B,$G$2),)</f>
        <v/>
      </c>
      <c r="D72" s="14" t="str">
        <f t="shared" si="2"/>
        <v/>
      </c>
      <c r="E72" s="14" t="str">
        <f t="shared" si="3"/>
        <v/>
      </c>
      <c r="F72" s="7" t="str">
        <f>IF($A72&lt;&gt;"",MAXIFS(Token!$C:$C,Token!$A:$A,$D72),)</f>
        <v/>
      </c>
    </row>
    <row r="73">
      <c r="A73" s="39" t="str">
        <f>IF(AND($L73*1&gt;=$G$3,$L73*1&lt;=$G$4,$I73*$J73&gt;0,OR($I73&lt;&gt;$I74,$L73-$L74&gt;25),IF(ABS($I73)&gt;10,$I73/POW(10,$J73),$J73/POW(10,$I73))*MAXIFS(Token!$C:$C,Token!$A:$A,$K73)&gt;0.01),$L73/86400+DATE(1970,1,1)+$G$6,)</f>
        <v/>
      </c>
      <c r="B73" s="27" t="str">
        <f t="shared" si="1"/>
        <v/>
      </c>
      <c r="C73" s="14" t="str">
        <f>IF($A73&lt;&gt;"",MINIFS(Merchant!$A:$A,Merchant!$B:$B,$G$2),)</f>
        <v/>
      </c>
      <c r="D73" s="14" t="str">
        <f t="shared" si="2"/>
        <v/>
      </c>
      <c r="E73" s="14" t="str">
        <f t="shared" si="3"/>
        <v/>
      </c>
      <c r="F73" s="7" t="str">
        <f>IF($A73&lt;&gt;"",MAXIFS(Token!$C:$C,Token!$A:$A,$D73),)</f>
        <v/>
      </c>
    </row>
    <row r="74">
      <c r="A74" s="39" t="str">
        <f>IF(AND($L74*1&gt;=$G$3,$L74*1&lt;=$G$4,$I74*$J74&gt;0,OR($I74&lt;&gt;$I75,$L74-$L75&gt;25),IF(ABS($I74)&gt;10,$I74/POW(10,$J74),$J74/POW(10,$I74))*MAXIFS(Token!$C:$C,Token!$A:$A,$K74)&gt;0.01),$L74/86400+DATE(1970,1,1)+$G$6,)</f>
        <v/>
      </c>
      <c r="B74" s="27" t="str">
        <f t="shared" si="1"/>
        <v/>
      </c>
      <c r="C74" s="14" t="str">
        <f>IF($A74&lt;&gt;"",MINIFS(Merchant!$A:$A,Merchant!$B:$B,$G$2),)</f>
        <v/>
      </c>
      <c r="D74" s="14" t="str">
        <f t="shared" si="2"/>
        <v/>
      </c>
      <c r="E74" s="14" t="str">
        <f t="shared" si="3"/>
        <v/>
      </c>
      <c r="F74" s="7" t="str">
        <f>IF($A74&lt;&gt;"",MAXIFS(Token!$C:$C,Token!$A:$A,$D74),)</f>
        <v/>
      </c>
    </row>
    <row r="75">
      <c r="A75" s="39" t="str">
        <f>IF(AND($L75*1&gt;=$G$3,$L75*1&lt;=$G$4,$I75*$J75&gt;0,OR($I75&lt;&gt;$I76,$L75-$L76&gt;25),IF(ABS($I75)&gt;10,$I75/POW(10,$J75),$J75/POW(10,$I75))*MAXIFS(Token!$C:$C,Token!$A:$A,$K75)&gt;0.01),$L75/86400+DATE(1970,1,1)+$G$6,)</f>
        <v/>
      </c>
      <c r="B75" s="27" t="str">
        <f t="shared" si="1"/>
        <v/>
      </c>
      <c r="C75" s="14" t="str">
        <f>IF($A75&lt;&gt;"",MINIFS(Merchant!$A:$A,Merchant!$B:$B,$G$2),)</f>
        <v/>
      </c>
      <c r="D75" s="14" t="str">
        <f t="shared" si="2"/>
        <v/>
      </c>
      <c r="E75" s="14" t="str">
        <f t="shared" si="3"/>
        <v/>
      </c>
      <c r="F75" s="7" t="str">
        <f>IF($A75&lt;&gt;"",MAXIFS(Token!$C:$C,Token!$A:$A,$D75),)</f>
        <v/>
      </c>
    </row>
    <row r="76">
      <c r="A76" s="39" t="str">
        <f>IF(AND($L76*1&gt;=$G$3,$L76*1&lt;=$G$4,$I76*$J76&gt;0,OR($I76&lt;&gt;$I77,$L76-$L77&gt;25),IF(ABS($I76)&gt;10,$I76/POW(10,$J76),$J76/POW(10,$I76))*MAXIFS(Token!$C:$C,Token!$A:$A,$K76)&gt;0.01),$L76/86400+DATE(1970,1,1)+$G$6,)</f>
        <v/>
      </c>
      <c r="B76" s="27" t="str">
        <f t="shared" si="1"/>
        <v/>
      </c>
      <c r="C76" s="14" t="str">
        <f>IF($A76&lt;&gt;"",MINIFS(Merchant!$A:$A,Merchant!$B:$B,$G$2),)</f>
        <v/>
      </c>
      <c r="D76" s="14" t="str">
        <f t="shared" si="2"/>
        <v/>
      </c>
      <c r="E76" s="14" t="str">
        <f t="shared" si="3"/>
        <v/>
      </c>
      <c r="F76" s="7" t="str">
        <f>IF($A76&lt;&gt;"",MAXIFS(Token!$C:$C,Token!$A:$A,$D76),)</f>
        <v/>
      </c>
    </row>
    <row r="77">
      <c r="A77" s="39" t="str">
        <f>IF(AND($L77*1&gt;=$G$3,$L77*1&lt;=$G$4,$I77*$J77&gt;0,OR($I77&lt;&gt;$I78,$L77-$L78&gt;25),IF(ABS($I77)&gt;10,$I77/POW(10,$J77),$J77/POW(10,$I77))*MAXIFS(Token!$C:$C,Token!$A:$A,$K77)&gt;0.01),$L77/86400+DATE(1970,1,1)+$G$6,)</f>
        <v/>
      </c>
      <c r="B77" s="27" t="str">
        <f t="shared" si="1"/>
        <v/>
      </c>
      <c r="C77" s="14" t="str">
        <f>IF($A77&lt;&gt;"",MINIFS(Merchant!$A:$A,Merchant!$B:$B,$G$2),)</f>
        <v/>
      </c>
      <c r="D77" s="14" t="str">
        <f t="shared" si="2"/>
        <v/>
      </c>
      <c r="E77" s="14" t="str">
        <f t="shared" si="3"/>
        <v/>
      </c>
      <c r="F77" s="7" t="str">
        <f>IF($A77&lt;&gt;"",MAXIFS(Token!$C:$C,Token!$A:$A,$D77),)</f>
        <v/>
      </c>
    </row>
    <row r="78">
      <c r="A78" s="39" t="str">
        <f>IF(AND($L78*1&gt;=$G$3,$L78*1&lt;=$G$4,$I78*$J78&gt;0,OR($I78&lt;&gt;$I79,$L78-$L79&gt;25),IF(ABS($I78)&gt;10,$I78/POW(10,$J78),$J78/POW(10,$I78))*MAXIFS(Token!$C:$C,Token!$A:$A,$K78)&gt;0.01),$L78/86400+DATE(1970,1,1)+$G$6,)</f>
        <v/>
      </c>
      <c r="B78" s="27" t="str">
        <f t="shared" si="1"/>
        <v/>
      </c>
      <c r="C78" s="14" t="str">
        <f>IF($A78&lt;&gt;"",MINIFS(Merchant!$A:$A,Merchant!$B:$B,$G$2),)</f>
        <v/>
      </c>
      <c r="D78" s="14" t="str">
        <f t="shared" si="2"/>
        <v/>
      </c>
      <c r="E78" s="14" t="str">
        <f t="shared" si="3"/>
        <v/>
      </c>
      <c r="F78" s="7" t="str">
        <f>IF($A78&lt;&gt;"",MAXIFS(Token!$C:$C,Token!$A:$A,$D78),)</f>
        <v/>
      </c>
    </row>
    <row r="79">
      <c r="A79" s="39" t="str">
        <f>IF(AND($L79*1&gt;=$G$3,$L79*1&lt;=$G$4,$I79*$J79&gt;0,OR($I79&lt;&gt;$I80,$L79-$L80&gt;25),IF(ABS($I79)&gt;10,$I79/POW(10,$J79),$J79/POW(10,$I79))*MAXIFS(Token!$C:$C,Token!$A:$A,$K79)&gt;0.01),$L79/86400+DATE(1970,1,1)+$G$6,)</f>
        <v/>
      </c>
      <c r="B79" s="27" t="str">
        <f t="shared" si="1"/>
        <v/>
      </c>
      <c r="C79" s="14" t="str">
        <f>IF($A79&lt;&gt;"",MINIFS(Merchant!$A:$A,Merchant!$B:$B,$G$2),)</f>
        <v/>
      </c>
      <c r="D79" s="14" t="str">
        <f t="shared" si="2"/>
        <v/>
      </c>
      <c r="E79" s="14" t="str">
        <f t="shared" si="3"/>
        <v/>
      </c>
      <c r="F79" s="7" t="str">
        <f>IF($A79&lt;&gt;"",MAXIFS(Token!$C:$C,Token!$A:$A,$D79),)</f>
        <v/>
      </c>
    </row>
    <row r="80">
      <c r="A80" s="39" t="str">
        <f>IF(AND($L80*1&gt;=$G$3,$L80*1&lt;=$G$4,$I80*$J80&gt;0,OR($I80&lt;&gt;$I81,$L80-$L81&gt;25),IF(ABS($I80)&gt;10,$I80/POW(10,$J80),$J80/POW(10,$I80))*MAXIFS(Token!$C:$C,Token!$A:$A,$K80)&gt;0.01),$L80/86400+DATE(1970,1,1)+$G$6,)</f>
        <v/>
      </c>
      <c r="B80" s="27" t="str">
        <f t="shared" si="1"/>
        <v/>
      </c>
      <c r="C80" s="14" t="str">
        <f>IF($A80&lt;&gt;"",MINIFS(Merchant!$A:$A,Merchant!$B:$B,$G$2),)</f>
        <v/>
      </c>
      <c r="D80" s="14" t="str">
        <f t="shared" si="2"/>
        <v/>
      </c>
      <c r="E80" s="14" t="str">
        <f t="shared" si="3"/>
        <v/>
      </c>
      <c r="F80" s="7" t="str">
        <f>IF($A80&lt;&gt;"",MAXIFS(Token!$C:$C,Token!$A:$A,$D80),)</f>
        <v/>
      </c>
    </row>
    <row r="81">
      <c r="A81" s="39" t="str">
        <f>IF(AND($L81*1&gt;=$G$3,$L81*1&lt;=$G$4,$I81*$J81&gt;0,OR($I81&lt;&gt;$I82,$L81-$L82&gt;25),IF(ABS($I81)&gt;10,$I81/POW(10,$J81),$J81/POW(10,$I81))*MAXIFS(Token!$C:$C,Token!$A:$A,$K81)&gt;0.01),$L81/86400+DATE(1970,1,1)+$G$6,)</f>
        <v/>
      </c>
      <c r="B81" s="27" t="str">
        <f t="shared" si="1"/>
        <v/>
      </c>
      <c r="C81" s="14" t="str">
        <f>IF($A81&lt;&gt;"",MINIFS(Merchant!$A:$A,Merchant!$B:$B,$G$2),)</f>
        <v/>
      </c>
      <c r="D81" s="14" t="str">
        <f t="shared" si="2"/>
        <v/>
      </c>
      <c r="E81" s="14" t="str">
        <f t="shared" si="3"/>
        <v/>
      </c>
      <c r="F81" s="7" t="str">
        <f>IF($A81&lt;&gt;"",MAXIFS(Token!$C:$C,Token!$A:$A,$D81),)</f>
        <v/>
      </c>
    </row>
    <row r="82">
      <c r="A82" s="39" t="str">
        <f>IF(AND($L82*1&gt;=$G$3,$L82*1&lt;=$G$4,$I82*$J82&gt;0,OR($I82&lt;&gt;$I83,$L82-$L83&gt;25),IF(ABS($I82)&gt;10,$I82/POW(10,$J82),$J82/POW(10,$I82))*MAXIFS(Token!$C:$C,Token!$A:$A,$K82)&gt;0.01),$L82/86400+DATE(1970,1,1)+$G$6,)</f>
        <v/>
      </c>
      <c r="B82" s="27" t="str">
        <f t="shared" si="1"/>
        <v/>
      </c>
      <c r="C82" s="14" t="str">
        <f>IF($A82&lt;&gt;"",MINIFS(Merchant!$A:$A,Merchant!$B:$B,$G$2),)</f>
        <v/>
      </c>
      <c r="D82" s="14" t="str">
        <f t="shared" si="2"/>
        <v/>
      </c>
      <c r="E82" s="14" t="str">
        <f t="shared" si="3"/>
        <v/>
      </c>
      <c r="F82" s="7" t="str">
        <f>IF($A82&lt;&gt;"",MAXIFS(Token!$C:$C,Token!$A:$A,$D82),)</f>
        <v/>
      </c>
    </row>
    <row r="83">
      <c r="A83" s="39" t="str">
        <f>IF(AND($L83*1&gt;=$G$3,$L83*1&lt;=$G$4,$I83*$J83&gt;0,OR($I83&lt;&gt;$I84,$L83-$L84&gt;25),IF(ABS($I83)&gt;10,$I83/POW(10,$J83),$J83/POW(10,$I83))*MAXIFS(Token!$C:$C,Token!$A:$A,$K83)&gt;0.01),$L83/86400+DATE(1970,1,1)+$G$6,)</f>
        <v/>
      </c>
      <c r="B83" s="27" t="str">
        <f t="shared" si="1"/>
        <v/>
      </c>
      <c r="C83" s="14" t="str">
        <f>IF($A83&lt;&gt;"",MINIFS(Merchant!$A:$A,Merchant!$B:$B,$G$2),)</f>
        <v/>
      </c>
      <c r="D83" s="14" t="str">
        <f t="shared" si="2"/>
        <v/>
      </c>
      <c r="E83" s="14" t="str">
        <f t="shared" si="3"/>
        <v/>
      </c>
      <c r="F83" s="7" t="str">
        <f>IF($A83&lt;&gt;"",MAXIFS(Token!$C:$C,Token!$A:$A,$D83),)</f>
        <v/>
      </c>
    </row>
    <row r="84">
      <c r="A84" s="39" t="str">
        <f>IF(AND($L84*1&gt;=$G$3,$L84*1&lt;=$G$4,$I84*$J84&gt;0,OR($I84&lt;&gt;$I85,$L84-$L85&gt;25),IF(ABS($I84)&gt;10,$I84/POW(10,$J84),$J84/POW(10,$I84))*MAXIFS(Token!$C:$C,Token!$A:$A,$K84)&gt;0.01),$L84/86400+DATE(1970,1,1)+$G$6,)</f>
        <v/>
      </c>
      <c r="B84" s="27" t="str">
        <f t="shared" si="1"/>
        <v/>
      </c>
      <c r="C84" s="14" t="str">
        <f>IF($A84&lt;&gt;"",MINIFS(Merchant!$A:$A,Merchant!$B:$B,$G$2),)</f>
        <v/>
      </c>
      <c r="D84" s="14" t="str">
        <f t="shared" si="2"/>
        <v/>
      </c>
      <c r="E84" s="14" t="str">
        <f t="shared" si="3"/>
        <v/>
      </c>
      <c r="F84" s="7" t="str">
        <f>IF($A84&lt;&gt;"",MAXIFS(Token!$C:$C,Token!$A:$A,$D84),)</f>
        <v/>
      </c>
    </row>
    <row r="85">
      <c r="A85" s="39" t="str">
        <f>IF(AND($L85*1&gt;=$G$3,$L85*1&lt;=$G$4,$I85*$J85&gt;0,OR($I85&lt;&gt;$I86,$L85-$L86&gt;25),IF(ABS($I85)&gt;10,$I85/POW(10,$J85),$J85/POW(10,$I85))*MAXIFS(Token!$C:$C,Token!$A:$A,$K85)&gt;0.01),$L85/86400+DATE(1970,1,1)+$G$6,)</f>
        <v/>
      </c>
      <c r="B85" s="27" t="str">
        <f t="shared" si="1"/>
        <v/>
      </c>
      <c r="C85" s="14" t="str">
        <f>IF($A85&lt;&gt;"",MINIFS(Merchant!$A:$A,Merchant!$B:$B,$G$2),)</f>
        <v/>
      </c>
      <c r="D85" s="14" t="str">
        <f t="shared" si="2"/>
        <v/>
      </c>
      <c r="E85" s="14" t="str">
        <f t="shared" si="3"/>
        <v/>
      </c>
      <c r="F85" s="7" t="str">
        <f>IF($A85&lt;&gt;"",MAXIFS(Token!$C:$C,Token!$A:$A,$D85),)</f>
        <v/>
      </c>
    </row>
    <row r="86">
      <c r="A86" s="39" t="str">
        <f>IF(AND($L86*1&gt;=$G$3,$L86*1&lt;=$G$4,$I86*$J86&gt;0,OR($I86&lt;&gt;$I87,$L86-$L87&gt;25),IF(ABS($I86)&gt;10,$I86/POW(10,$J86),$J86/POW(10,$I86))*MAXIFS(Token!$C:$C,Token!$A:$A,$K86)&gt;0.01),$L86/86400+DATE(1970,1,1)+$G$6,)</f>
        <v/>
      </c>
      <c r="B86" s="27" t="str">
        <f t="shared" si="1"/>
        <v/>
      </c>
      <c r="C86" s="14" t="str">
        <f>IF($A86&lt;&gt;"",MINIFS(Merchant!$A:$A,Merchant!$B:$B,$G$2),)</f>
        <v/>
      </c>
      <c r="D86" s="14" t="str">
        <f t="shared" si="2"/>
        <v/>
      </c>
      <c r="E86" s="14" t="str">
        <f t="shared" si="3"/>
        <v/>
      </c>
      <c r="F86" s="7" t="str">
        <f>IF($A86&lt;&gt;"",MAXIFS(Token!$C:$C,Token!$A:$A,$D86),)</f>
        <v/>
      </c>
    </row>
    <row r="87">
      <c r="A87" s="39" t="str">
        <f>IF(AND($L87*1&gt;=$G$3,$L87*1&lt;=$G$4,$I87*$J87&gt;0,OR($I87&lt;&gt;$I88,$L87-$L88&gt;25),IF(ABS($I87)&gt;10,$I87/POW(10,$J87),$J87/POW(10,$I87))*MAXIFS(Token!$C:$C,Token!$A:$A,$K87)&gt;0.01),$L87/86400+DATE(1970,1,1)+$G$6,)</f>
        <v/>
      </c>
      <c r="B87" s="27" t="str">
        <f t="shared" si="1"/>
        <v/>
      </c>
      <c r="C87" s="14" t="str">
        <f>IF($A87&lt;&gt;"",MINIFS(Merchant!$A:$A,Merchant!$B:$B,$G$2),)</f>
        <v/>
      </c>
      <c r="D87" s="14" t="str">
        <f t="shared" si="2"/>
        <v/>
      </c>
      <c r="E87" s="14" t="str">
        <f t="shared" si="3"/>
        <v/>
      </c>
      <c r="F87" s="7" t="str">
        <f>IF($A87&lt;&gt;"",MAXIFS(Token!$C:$C,Token!$A:$A,$D87),)</f>
        <v/>
      </c>
    </row>
    <row r="88">
      <c r="A88" s="39" t="str">
        <f>IF(AND($L88*1&gt;=$G$3,$L88*1&lt;=$G$4,$I88*$J88&gt;0,OR($I88&lt;&gt;$I89,$L88-$L89&gt;25),IF(ABS($I88)&gt;10,$I88/POW(10,$J88),$J88/POW(10,$I88))*MAXIFS(Token!$C:$C,Token!$A:$A,$K88)&gt;0.01),$L88/86400+DATE(1970,1,1)+$G$6,)</f>
        <v/>
      </c>
      <c r="B88" s="27" t="str">
        <f t="shared" si="1"/>
        <v/>
      </c>
      <c r="C88" s="14" t="str">
        <f>IF($A88&lt;&gt;"",MINIFS(Merchant!$A:$A,Merchant!$B:$B,$G$2),)</f>
        <v/>
      </c>
      <c r="D88" s="14" t="str">
        <f t="shared" si="2"/>
        <v/>
      </c>
      <c r="E88" s="14" t="str">
        <f t="shared" si="3"/>
        <v/>
      </c>
      <c r="F88" s="7" t="str">
        <f>IF($A88&lt;&gt;"",MAXIFS(Token!$C:$C,Token!$A:$A,$D88),)</f>
        <v/>
      </c>
    </row>
    <row r="89">
      <c r="A89" s="39" t="str">
        <f>IF(AND($L89*1&gt;=$G$3,$L89*1&lt;=$G$4,$I89*$J89&gt;0,OR($I89&lt;&gt;$I90,$L89-$L90&gt;25),IF(ABS($I89)&gt;10,$I89/POW(10,$J89),$J89/POW(10,$I89))*MAXIFS(Token!$C:$C,Token!$A:$A,$K89)&gt;0.01),$L89/86400+DATE(1970,1,1)+$G$6,)</f>
        <v/>
      </c>
      <c r="B89" s="27" t="str">
        <f t="shared" si="1"/>
        <v/>
      </c>
      <c r="C89" s="14" t="str">
        <f>IF($A89&lt;&gt;"",MINIFS(Merchant!$A:$A,Merchant!$B:$B,$G$2),)</f>
        <v/>
      </c>
      <c r="D89" s="14" t="str">
        <f t="shared" si="2"/>
        <v/>
      </c>
      <c r="E89" s="14" t="str">
        <f t="shared" si="3"/>
        <v/>
      </c>
      <c r="F89" s="7" t="str">
        <f>IF($A89&lt;&gt;"",MAXIFS(Token!$C:$C,Token!$A:$A,$D89),)</f>
        <v/>
      </c>
    </row>
    <row r="90">
      <c r="A90" s="39" t="str">
        <f>IF(AND($L90*1&gt;=$G$3,$L90*1&lt;=$G$4,$I90*$J90&gt;0,OR($I90&lt;&gt;$I91,$L90-$L91&gt;25),IF(ABS($I90)&gt;10,$I90/POW(10,$J90),$J90/POW(10,$I90))*MAXIFS(Token!$C:$C,Token!$A:$A,$K90)&gt;0.01),$L90/86400+DATE(1970,1,1)+$G$6,)</f>
        <v/>
      </c>
      <c r="B90" s="27" t="str">
        <f t="shared" si="1"/>
        <v/>
      </c>
      <c r="C90" s="14" t="str">
        <f>IF($A90&lt;&gt;"",MINIFS(Merchant!$A:$A,Merchant!$B:$B,$G$2),)</f>
        <v/>
      </c>
      <c r="D90" s="14" t="str">
        <f t="shared" si="2"/>
        <v/>
      </c>
      <c r="E90" s="14" t="str">
        <f t="shared" si="3"/>
        <v/>
      </c>
      <c r="F90" s="7" t="str">
        <f>IF($A90&lt;&gt;"",MAXIFS(Token!$C:$C,Token!$A:$A,$D90),)</f>
        <v/>
      </c>
    </row>
    <row r="91">
      <c r="A91" s="39" t="str">
        <f>IF(AND($L91*1&gt;=$G$3,$L91*1&lt;=$G$4,$I91*$J91&gt;0,OR($I91&lt;&gt;$I92,$L91-$L92&gt;25),IF(ABS($I91)&gt;10,$I91/POW(10,$J91),$J91/POW(10,$I91))*MAXIFS(Token!$C:$C,Token!$A:$A,$K91)&gt;0.01),$L91/86400+DATE(1970,1,1)+$G$6,)</f>
        <v/>
      </c>
      <c r="B91" s="27" t="str">
        <f t="shared" si="1"/>
        <v/>
      </c>
      <c r="C91" s="14" t="str">
        <f>IF($A91&lt;&gt;"",MINIFS(Merchant!$A:$A,Merchant!$B:$B,$G$2),)</f>
        <v/>
      </c>
      <c r="D91" s="14" t="str">
        <f t="shared" si="2"/>
        <v/>
      </c>
      <c r="E91" s="14" t="str">
        <f t="shared" si="3"/>
        <v/>
      </c>
      <c r="F91" s="7" t="str">
        <f>IF($A91&lt;&gt;"",MAXIFS(Token!$C:$C,Token!$A:$A,$D91),)</f>
        <v/>
      </c>
    </row>
    <row r="92">
      <c r="A92" s="39" t="str">
        <f>IF(AND($L92*1&gt;=$G$3,$L92*1&lt;=$G$4,$I92*$J92&gt;0,OR($I92&lt;&gt;$I93,$L92-$L93&gt;25),IF(ABS($I92)&gt;10,$I92/POW(10,$J92),$J92/POW(10,$I92))*MAXIFS(Token!$C:$C,Token!$A:$A,$K92)&gt;0.01),$L92/86400+DATE(1970,1,1)+$G$6,)</f>
        <v/>
      </c>
      <c r="B92" s="27" t="str">
        <f t="shared" si="1"/>
        <v/>
      </c>
      <c r="C92" s="14" t="str">
        <f>IF($A92&lt;&gt;"",MINIFS(Merchant!$A:$A,Merchant!$B:$B,$G$2),)</f>
        <v/>
      </c>
      <c r="D92" s="14" t="str">
        <f t="shared" si="2"/>
        <v/>
      </c>
      <c r="E92" s="14" t="str">
        <f t="shared" si="3"/>
        <v/>
      </c>
      <c r="F92" s="7" t="str">
        <f>IF($A92&lt;&gt;"",MAXIFS(Token!$C:$C,Token!$A:$A,$D92),)</f>
        <v/>
      </c>
    </row>
    <row r="93">
      <c r="A93" s="39" t="str">
        <f>IF(AND($L93*1&gt;=$G$3,$L93*1&lt;=$G$4,$I93*$J93&gt;0,OR($I93&lt;&gt;$I94,$L93-$L94&gt;25),IF(ABS($I93)&gt;10,$I93/POW(10,$J93),$J93/POW(10,$I93))*MAXIFS(Token!$C:$C,Token!$A:$A,$K93)&gt;0.01),$L93/86400+DATE(1970,1,1)+$G$6,)</f>
        <v/>
      </c>
      <c r="B93" s="27" t="str">
        <f t="shared" si="1"/>
        <v/>
      </c>
      <c r="C93" s="14" t="str">
        <f>IF($A93&lt;&gt;"",MINIFS(Merchant!$A:$A,Merchant!$B:$B,$G$2),)</f>
        <v/>
      </c>
      <c r="D93" s="14" t="str">
        <f t="shared" si="2"/>
        <v/>
      </c>
      <c r="E93" s="14" t="str">
        <f t="shared" si="3"/>
        <v/>
      </c>
      <c r="F93" s="7" t="str">
        <f>IF($A93&lt;&gt;"",MAXIFS(Token!$C:$C,Token!$A:$A,$D93),)</f>
        <v/>
      </c>
    </row>
    <row r="94">
      <c r="A94" s="39" t="str">
        <f>IF(AND($L94*1&gt;=$G$3,$L94*1&lt;=$G$4,$I94*$J94&gt;0,OR($I94&lt;&gt;$I95,$L94-$L95&gt;25),IF(ABS($I94)&gt;10,$I94/POW(10,$J94),$J94/POW(10,$I94))*MAXIFS(Token!$C:$C,Token!$A:$A,$K94)&gt;0.01),$L94/86400+DATE(1970,1,1)+$G$6,)</f>
        <v/>
      </c>
      <c r="B94" s="27" t="str">
        <f t="shared" si="1"/>
        <v/>
      </c>
      <c r="C94" s="14" t="str">
        <f>IF($A94&lt;&gt;"",MINIFS(Merchant!$A:$A,Merchant!$B:$B,$G$2),)</f>
        <v/>
      </c>
      <c r="D94" s="14" t="str">
        <f t="shared" si="2"/>
        <v/>
      </c>
      <c r="E94" s="14" t="str">
        <f t="shared" si="3"/>
        <v/>
      </c>
      <c r="F94" s="7" t="str">
        <f>IF($A94&lt;&gt;"",MAXIFS(Token!$C:$C,Token!$A:$A,$D94),)</f>
        <v/>
      </c>
    </row>
    <row r="95">
      <c r="A95" s="39" t="str">
        <f>IF(AND($L95*1&gt;=$G$3,$L95*1&lt;=$G$4,$I95*$J95&gt;0,OR($I95&lt;&gt;$I96,$L95-$L96&gt;25),IF(ABS($I95)&gt;10,$I95/POW(10,$J95),$J95/POW(10,$I95))*MAXIFS(Token!$C:$C,Token!$A:$A,$K95)&gt;0.01),$L95/86400+DATE(1970,1,1)+$G$6,)</f>
        <v/>
      </c>
      <c r="B95" s="27" t="str">
        <f t="shared" si="1"/>
        <v/>
      </c>
      <c r="C95" s="14" t="str">
        <f>IF($A95&lt;&gt;"",MINIFS(Merchant!$A:$A,Merchant!$B:$B,$G$2),)</f>
        <v/>
      </c>
      <c r="D95" s="14" t="str">
        <f t="shared" si="2"/>
        <v/>
      </c>
      <c r="E95" s="14" t="str">
        <f t="shared" si="3"/>
        <v/>
      </c>
      <c r="F95" s="7" t="str">
        <f>IF($A95&lt;&gt;"",MAXIFS(Token!$C:$C,Token!$A:$A,$D95),)</f>
        <v/>
      </c>
    </row>
    <row r="96">
      <c r="A96" s="39" t="str">
        <f>IF(AND($L96*1&gt;=$G$3,$L96*1&lt;=$G$4,$I96*$J96&gt;0,OR($I96&lt;&gt;$I97,$L96-$L97&gt;25),IF(ABS($I96)&gt;10,$I96/POW(10,$J96),$J96/POW(10,$I96))*MAXIFS(Token!$C:$C,Token!$A:$A,$K96)&gt;0.01),$L96/86400+DATE(1970,1,1)+$G$6,)</f>
        <v/>
      </c>
      <c r="B96" s="27" t="str">
        <f t="shared" si="1"/>
        <v/>
      </c>
      <c r="C96" s="14" t="str">
        <f>IF($A96&lt;&gt;"",MINIFS(Merchant!$A:$A,Merchant!$B:$B,$G$2),)</f>
        <v/>
      </c>
      <c r="D96" s="14" t="str">
        <f t="shared" si="2"/>
        <v/>
      </c>
      <c r="E96" s="14" t="str">
        <f t="shared" si="3"/>
        <v/>
      </c>
      <c r="F96" s="7" t="str">
        <f>IF($A96&lt;&gt;"",MAXIFS(Token!$C:$C,Token!$A:$A,$D96),)</f>
        <v/>
      </c>
    </row>
    <row r="97">
      <c r="A97" s="39" t="str">
        <f>IF(AND($L97*1&gt;=$G$3,$L97*1&lt;=$G$4,$I97*$J97&gt;0,OR($I97&lt;&gt;$I98,$L97-$L98&gt;25),IF(ABS($I97)&gt;10,$I97/POW(10,$J97),$J97/POW(10,$I97))*MAXIFS(Token!$C:$C,Token!$A:$A,$K97)&gt;0.01),$L97/86400+DATE(1970,1,1)+$G$6,)</f>
        <v/>
      </c>
      <c r="B97" s="27" t="str">
        <f t="shared" si="1"/>
        <v/>
      </c>
      <c r="C97" s="14" t="str">
        <f>IF($A97&lt;&gt;"",MINIFS(Merchant!$A:$A,Merchant!$B:$B,$G$2),)</f>
        <v/>
      </c>
      <c r="D97" s="14" t="str">
        <f t="shared" si="2"/>
        <v/>
      </c>
      <c r="E97" s="14" t="str">
        <f t="shared" si="3"/>
        <v/>
      </c>
      <c r="F97" s="7" t="str">
        <f>IF($A97&lt;&gt;"",MAXIFS(Token!$C:$C,Token!$A:$A,$D97),)</f>
        <v/>
      </c>
    </row>
    <row r="98">
      <c r="A98" s="39" t="str">
        <f>IF(AND($L98*1&gt;=$G$3,$L98*1&lt;=$G$4,$I98*$J98&gt;0,OR($I98&lt;&gt;$I99,$L98-$L99&gt;25),IF(ABS($I98)&gt;10,$I98/POW(10,$J98),$J98/POW(10,$I98))*MAXIFS(Token!$C:$C,Token!$A:$A,$K98)&gt;0.01),$L98/86400+DATE(1970,1,1)+$G$6,)</f>
        <v/>
      </c>
      <c r="B98" s="27" t="str">
        <f t="shared" si="1"/>
        <v/>
      </c>
      <c r="C98" s="14" t="str">
        <f>IF($A98&lt;&gt;"",MINIFS(Merchant!$A:$A,Merchant!$B:$B,$G$2),)</f>
        <v/>
      </c>
      <c r="D98" s="14" t="str">
        <f t="shared" si="2"/>
        <v/>
      </c>
      <c r="E98" s="14" t="str">
        <f t="shared" si="3"/>
        <v/>
      </c>
      <c r="F98" s="7" t="str">
        <f>IF($A98&lt;&gt;"",MAXIFS(Token!$C:$C,Token!$A:$A,$D98),)</f>
        <v/>
      </c>
    </row>
    <row r="99">
      <c r="A99" s="39" t="str">
        <f>IF(AND($L99*1&gt;=$G$3,$L99*1&lt;=$G$4,$I99*$J99&gt;0,OR($I99&lt;&gt;$I100,$L99-$L100&gt;25),IF(ABS($I99)&gt;10,$I99/POW(10,$J99),$J99/POW(10,$I99))*MAXIFS(Token!$C:$C,Token!$A:$A,$K99)&gt;0.01),$L99/86400+DATE(1970,1,1)+$G$6,)</f>
        <v/>
      </c>
      <c r="B99" s="27" t="str">
        <f t="shared" si="1"/>
        <v/>
      </c>
      <c r="C99" s="14" t="str">
        <f>IF($A99&lt;&gt;"",MINIFS(Merchant!$A:$A,Merchant!$B:$B,$G$2),)</f>
        <v/>
      </c>
      <c r="D99" s="14" t="str">
        <f t="shared" si="2"/>
        <v/>
      </c>
      <c r="E99" s="14" t="str">
        <f t="shared" si="3"/>
        <v/>
      </c>
      <c r="F99" s="7" t="str">
        <f>IF($A99&lt;&gt;"",MAXIFS(Token!$C:$C,Token!$A:$A,$D99),)</f>
        <v/>
      </c>
    </row>
    <row r="100">
      <c r="A100" s="39" t="str">
        <f>IF(AND($L100*1&gt;=$G$3,$L100*1&lt;=$G$4,$I100*$J100&gt;0,OR($I100&lt;&gt;$I101,$L100-$L101&gt;25),IF(ABS($I100)&gt;10,$I100/POW(10,$J100),$J100/POW(10,$I100))*MAXIFS(Token!$C:$C,Token!$A:$A,$K100)&gt;0.01),$L100/86400+DATE(1970,1,1)+$G$6,)</f>
        <v/>
      </c>
      <c r="B100" s="27" t="str">
        <f t="shared" si="1"/>
        <v/>
      </c>
      <c r="C100" s="14" t="str">
        <f>IF($A100&lt;&gt;"",MINIFS(Merchant!$A:$A,Merchant!$B:$B,$G$2),)</f>
        <v/>
      </c>
      <c r="D100" s="14" t="str">
        <f t="shared" si="2"/>
        <v/>
      </c>
      <c r="E100" s="14" t="str">
        <f t="shared" si="3"/>
        <v/>
      </c>
      <c r="F100" s="7" t="str">
        <f>IF($A100&lt;&gt;"",MAXIFS(Token!$C:$C,Token!$A:$A,$D100),)</f>
        <v/>
      </c>
    </row>
    <row r="101">
      <c r="A101" s="39" t="str">
        <f>IF(AND($L101*1&gt;=$G$3,$L101*1&lt;=$G$4,$I101*$J101&gt;0,OR($I101&lt;&gt;$I102,$L101-$L102&gt;25),IF(ABS($I101)&gt;10,$I101/POW(10,$J101),$J101/POW(10,$I101))*MAXIFS(Token!$C:$C,Token!$A:$A,$K101)&gt;0.01),$L101/86400+DATE(1970,1,1)+$G$6,)</f>
        <v/>
      </c>
      <c r="B101" s="27" t="str">
        <f t="shared" si="1"/>
        <v/>
      </c>
      <c r="C101" s="14" t="str">
        <f>IF($A101&lt;&gt;"",MINIFS(Merchant!$A:$A,Merchant!$B:$B,$G$2),)</f>
        <v/>
      </c>
      <c r="D101" s="14" t="str">
        <f t="shared" si="2"/>
        <v/>
      </c>
      <c r="E101" s="14" t="str">
        <f t="shared" si="3"/>
        <v/>
      </c>
      <c r="F101" s="7" t="str">
        <f>IF($A101&lt;&gt;"",MAXIFS(Token!$C:$C,Token!$A:$A,$D101),)</f>
        <v/>
      </c>
    </row>
    <row r="102">
      <c r="A102" s="39" t="str">
        <f>IF(AND($L102*1&gt;=$G$3,$L102*1&lt;=$G$4,$I102*$J102&gt;0,OR($I102&lt;&gt;$I103,$L102-$L103&gt;25),IF(ABS($I102)&gt;10,$I102/POW(10,$J102),$J102/POW(10,$I102))*MAXIFS(Token!$C:$C,Token!$A:$A,$K102)&gt;0.01),$L102/86400+DATE(1970,1,1)+$G$6,)</f>
        <v/>
      </c>
      <c r="B102" s="27" t="str">
        <f t="shared" si="1"/>
        <v/>
      </c>
      <c r="C102" s="14" t="str">
        <f>IF($A102&lt;&gt;"",MINIFS(Merchant!$A:$A,Merchant!$B:$B,$G$2),)</f>
        <v/>
      </c>
      <c r="D102" s="14" t="str">
        <f t="shared" si="2"/>
        <v/>
      </c>
      <c r="E102" s="14" t="str">
        <f t="shared" si="3"/>
        <v/>
      </c>
      <c r="F102" s="7" t="str">
        <f>IF($A102&lt;&gt;"",MAXIFS(Token!$C:$C,Token!$A:$A,$D102),)</f>
        <v/>
      </c>
    </row>
    <row r="103">
      <c r="A103" s="39" t="str">
        <f>IF(AND($L103*1&gt;=$G$3,$L103*1&lt;=$G$4,$I103*$J103&gt;0,OR($I103&lt;&gt;$I104,$L103-$L104&gt;25),IF(ABS($I103)&gt;10,$I103/POW(10,$J103),$J103/POW(10,$I103))*MAXIFS(Token!$C:$C,Token!$A:$A,$K103)&gt;0.01),$L103/86400+DATE(1970,1,1)+$G$6,)</f>
        <v/>
      </c>
      <c r="B103" s="27" t="str">
        <f t="shared" si="1"/>
        <v/>
      </c>
      <c r="C103" s="14" t="str">
        <f>IF($A103&lt;&gt;"",MINIFS(Merchant!$A:$A,Merchant!$B:$B,$G$2),)</f>
        <v/>
      </c>
      <c r="D103" s="14" t="str">
        <f t="shared" si="2"/>
        <v/>
      </c>
      <c r="E103" s="14" t="str">
        <f t="shared" si="3"/>
        <v/>
      </c>
      <c r="F103" s="7" t="str">
        <f>IF($A103&lt;&gt;"",MAXIFS(Token!$C:$C,Token!$A:$A,$D103),)</f>
        <v/>
      </c>
    </row>
    <row r="104">
      <c r="A104" s="39" t="str">
        <f>IF(AND($L104*1&gt;=$G$3,$L104*1&lt;=$G$4,$I104*$J104&gt;0,OR($I104&lt;&gt;$I105,$L104-$L105&gt;25),IF(ABS($I104)&gt;10,$I104/POW(10,$J104),$J104/POW(10,$I104))*MAXIFS(Token!$C:$C,Token!$A:$A,$K104)&gt;0.01),$L104/86400+DATE(1970,1,1)+$G$6,)</f>
        <v/>
      </c>
      <c r="B104" s="27" t="str">
        <f t="shared" si="1"/>
        <v/>
      </c>
      <c r="C104" s="14" t="str">
        <f>IF($A104&lt;&gt;"",MINIFS(Merchant!$A:$A,Merchant!$B:$B,$G$2),)</f>
        <v/>
      </c>
      <c r="D104" s="14" t="str">
        <f t="shared" si="2"/>
        <v/>
      </c>
      <c r="E104" s="14" t="str">
        <f t="shared" si="3"/>
        <v/>
      </c>
      <c r="F104" s="7" t="str">
        <f>IF($A104&lt;&gt;"",MAXIFS(Token!$C:$C,Token!$A:$A,$D104),)</f>
        <v/>
      </c>
    </row>
    <row r="105">
      <c r="A105" s="39" t="str">
        <f>IF(AND($L105*1&gt;=$G$3,$L105*1&lt;=$G$4,$I105*$J105&gt;0,OR($I105&lt;&gt;$I106,$L105-$L106&gt;25),IF(ABS($I105)&gt;10,$I105/POW(10,$J105),$J105/POW(10,$I105))*MAXIFS(Token!$C:$C,Token!$A:$A,$K105)&gt;0.01),$L105/86400+DATE(1970,1,1)+$G$6,)</f>
        <v/>
      </c>
      <c r="B105" s="27" t="str">
        <f t="shared" si="1"/>
        <v/>
      </c>
      <c r="C105" s="14" t="str">
        <f>IF($A105&lt;&gt;"",MINIFS(Merchant!$A:$A,Merchant!$B:$B,$G$2),)</f>
        <v/>
      </c>
      <c r="D105" s="14" t="str">
        <f t="shared" si="2"/>
        <v/>
      </c>
      <c r="E105" s="14" t="str">
        <f t="shared" si="3"/>
        <v/>
      </c>
      <c r="F105" s="7" t="str">
        <f>IF($A105&lt;&gt;"",MAXIFS(Token!$C:$C,Token!$A:$A,$D105),)</f>
        <v/>
      </c>
    </row>
    <row r="106">
      <c r="A106" s="39" t="str">
        <f>IF(AND($L106*1&gt;=$G$3,$L106*1&lt;=$G$4,$I106*$J106&gt;0,OR($I106&lt;&gt;$I107,$L106-$L107&gt;25),IF(ABS($I106)&gt;10,$I106/POW(10,$J106),$J106/POW(10,$I106))*MAXIFS(Token!$C:$C,Token!$A:$A,$K106)&gt;0.01),$L106/86400+DATE(1970,1,1)+$G$6,)</f>
        <v/>
      </c>
      <c r="B106" s="27" t="str">
        <f t="shared" si="1"/>
        <v/>
      </c>
      <c r="C106" s="14" t="str">
        <f>IF($A106&lt;&gt;"",MINIFS(Merchant!$A:$A,Merchant!$B:$B,$G$2),)</f>
        <v/>
      </c>
      <c r="D106" s="14" t="str">
        <f t="shared" si="2"/>
        <v/>
      </c>
      <c r="E106" s="14" t="str">
        <f t="shared" si="3"/>
        <v/>
      </c>
      <c r="F106" s="7" t="str">
        <f>IF($A106&lt;&gt;"",MAXIFS(Token!$C:$C,Token!$A:$A,$D106),)</f>
        <v/>
      </c>
    </row>
    <row r="107">
      <c r="A107" s="39" t="str">
        <f>IF(AND($L107*1&gt;=$G$3,$L107*1&lt;=$G$4,$I107*$J107&gt;0,OR($I107&lt;&gt;$I108,$L107-$L108&gt;25),IF(ABS($I107)&gt;10,$I107/POW(10,$J107),$J107/POW(10,$I107))*MAXIFS(Token!$C:$C,Token!$A:$A,$K107)&gt;0.01),$L107/86400+DATE(1970,1,1)+$G$6,)</f>
        <v/>
      </c>
      <c r="B107" s="27" t="str">
        <f t="shared" si="1"/>
        <v/>
      </c>
      <c r="C107" s="14" t="str">
        <f>IF($A107&lt;&gt;"",MINIFS(Merchant!$A:$A,Merchant!$B:$B,$G$2),)</f>
        <v/>
      </c>
      <c r="D107" s="14" t="str">
        <f t="shared" si="2"/>
        <v/>
      </c>
      <c r="E107" s="14" t="str">
        <f t="shared" si="3"/>
        <v/>
      </c>
      <c r="F107" s="7" t="str">
        <f>IF($A107&lt;&gt;"",MAXIFS(Token!$C:$C,Token!$A:$A,$D107),)</f>
        <v/>
      </c>
    </row>
    <row r="108">
      <c r="A108" s="39" t="str">
        <f>IF(AND($L108*1&gt;=$G$3,$L108*1&lt;=$G$4,$I108*$J108&gt;0,OR($I108&lt;&gt;$I109,$L108-$L109&gt;25),IF(ABS($I108)&gt;10,$I108/POW(10,$J108),$J108/POW(10,$I108))*MAXIFS(Token!$C:$C,Token!$A:$A,$K108)&gt;0.01),$L108/86400+DATE(1970,1,1)+$G$6,)</f>
        <v/>
      </c>
      <c r="B108" s="27" t="str">
        <f t="shared" si="1"/>
        <v/>
      </c>
      <c r="C108" s="14" t="str">
        <f>IF($A108&lt;&gt;"",MINIFS(Merchant!$A:$A,Merchant!$B:$B,$G$2),)</f>
        <v/>
      </c>
      <c r="D108" s="14" t="str">
        <f t="shared" si="2"/>
        <v/>
      </c>
      <c r="E108" s="14" t="str">
        <f t="shared" si="3"/>
        <v/>
      </c>
      <c r="F108" s="7" t="str">
        <f>IF($A108&lt;&gt;"",MAXIFS(Token!$C:$C,Token!$A:$A,$D108),)</f>
        <v/>
      </c>
    </row>
    <row r="109">
      <c r="A109" s="39" t="str">
        <f>IF(AND($L109*1&gt;=$G$3,$L109*1&lt;=$G$4,$I109*$J109&gt;0,OR($I109&lt;&gt;$I110,$L109-$L110&gt;25),IF(ABS($I109)&gt;10,$I109/POW(10,$J109),$J109/POW(10,$I109))*MAXIFS(Token!$C:$C,Token!$A:$A,$K109)&gt;0.01),$L109/86400+DATE(1970,1,1)+$G$6,)</f>
        <v/>
      </c>
      <c r="B109" s="27" t="str">
        <f t="shared" si="1"/>
        <v/>
      </c>
      <c r="C109" s="14" t="str">
        <f>IF($A109&lt;&gt;"",MINIFS(Merchant!$A:$A,Merchant!$B:$B,$G$2),)</f>
        <v/>
      </c>
      <c r="D109" s="14" t="str">
        <f t="shared" si="2"/>
        <v/>
      </c>
      <c r="E109" s="14" t="str">
        <f t="shared" si="3"/>
        <v/>
      </c>
      <c r="F109" s="7" t="str">
        <f>IF($A109&lt;&gt;"",MAXIFS(Token!$C:$C,Token!$A:$A,$D109),)</f>
        <v/>
      </c>
    </row>
    <row r="110">
      <c r="A110" s="39" t="str">
        <f>IF(AND($L110*1&gt;=$G$3,$L110*1&lt;=$G$4,$I110*$J110&gt;0,OR($I110&lt;&gt;$I111,$L110-$L111&gt;25),IF(ABS($I110)&gt;10,$I110/POW(10,$J110),$J110/POW(10,$I110))*MAXIFS(Token!$C:$C,Token!$A:$A,$K110)&gt;0.01),$L110/86400+DATE(1970,1,1)+$G$6,)</f>
        <v/>
      </c>
      <c r="B110" s="27" t="str">
        <f t="shared" si="1"/>
        <v/>
      </c>
      <c r="C110" s="14" t="str">
        <f>IF($A110&lt;&gt;"",MINIFS(Merchant!$A:$A,Merchant!$B:$B,$G$2),)</f>
        <v/>
      </c>
      <c r="D110" s="14" t="str">
        <f t="shared" si="2"/>
        <v/>
      </c>
      <c r="E110" s="14" t="str">
        <f t="shared" si="3"/>
        <v/>
      </c>
      <c r="F110" s="7" t="str">
        <f>IF($A110&lt;&gt;"",MAXIFS(Token!$C:$C,Token!$A:$A,$D110),)</f>
        <v/>
      </c>
    </row>
    <row r="111">
      <c r="A111" s="39" t="str">
        <f>IF(AND($L111*1&gt;=$G$3,$L111*1&lt;=$G$4,$I111*$J111&gt;0,OR($I111&lt;&gt;$I112,$L111-$L112&gt;25),IF(ABS($I111)&gt;10,$I111/POW(10,$J111),$J111/POW(10,$I111))*MAXIFS(Token!$C:$C,Token!$A:$A,$K111)&gt;0.01),$L111/86400+DATE(1970,1,1)+$G$6,)</f>
        <v/>
      </c>
      <c r="B111" s="27" t="str">
        <f t="shared" si="1"/>
        <v/>
      </c>
      <c r="C111" s="14" t="str">
        <f>IF($A111&lt;&gt;"",MINIFS(Merchant!$A:$A,Merchant!$B:$B,$G$2),)</f>
        <v/>
      </c>
      <c r="D111" s="14" t="str">
        <f t="shared" si="2"/>
        <v/>
      </c>
      <c r="E111" s="14" t="str">
        <f t="shared" si="3"/>
        <v/>
      </c>
      <c r="F111" s="7" t="str">
        <f>IF($A111&lt;&gt;"",MAXIFS(Token!$C:$C,Token!$A:$A,$D111),)</f>
        <v/>
      </c>
    </row>
    <row r="112">
      <c r="A112" s="39" t="str">
        <f>IF(AND($L112*1&gt;=$G$3,$L112*1&lt;=$G$4,$I112*$J112&gt;0,OR($I112&lt;&gt;$I113,$L112-$L113&gt;25),IF(ABS($I112)&gt;10,$I112/POW(10,$J112),$J112/POW(10,$I112))*MAXIFS(Token!$C:$C,Token!$A:$A,$K112)&gt;0.01),$L112/86400+DATE(1970,1,1)+$G$6,)</f>
        <v/>
      </c>
      <c r="B112" s="27" t="str">
        <f t="shared" si="1"/>
        <v/>
      </c>
      <c r="C112" s="14" t="str">
        <f>IF($A112&lt;&gt;"",MINIFS(Merchant!$A:$A,Merchant!$B:$B,$G$2),)</f>
        <v/>
      </c>
      <c r="D112" s="14" t="str">
        <f t="shared" si="2"/>
        <v/>
      </c>
      <c r="E112" s="14" t="str">
        <f t="shared" si="3"/>
        <v/>
      </c>
      <c r="F112" s="7" t="str">
        <f>IF($A112&lt;&gt;"",MAXIFS(Token!$C:$C,Token!$A:$A,$D112),)</f>
        <v/>
      </c>
    </row>
    <row r="113">
      <c r="A113" s="39" t="str">
        <f>IF(AND($L113*1&gt;=$G$3,$L113*1&lt;=$G$4,$I113*$J113&gt;0,OR($I113&lt;&gt;$I114,$L113-$L114&gt;25),IF(ABS($I113)&gt;10,$I113/POW(10,$J113),$J113/POW(10,$I113))*MAXIFS(Token!$C:$C,Token!$A:$A,$K113)&gt;0.01),$L113/86400+DATE(1970,1,1)+$G$6,)</f>
        <v/>
      </c>
      <c r="B113" s="27" t="str">
        <f t="shared" si="1"/>
        <v/>
      </c>
      <c r="C113" s="14" t="str">
        <f>IF($A113&lt;&gt;"",MINIFS(Merchant!$A:$A,Merchant!$B:$B,$G$2),)</f>
        <v/>
      </c>
      <c r="D113" s="14" t="str">
        <f t="shared" si="2"/>
        <v/>
      </c>
      <c r="E113" s="14" t="str">
        <f t="shared" si="3"/>
        <v/>
      </c>
      <c r="F113" s="7" t="str">
        <f>IF($A113&lt;&gt;"",MAXIFS(Token!$C:$C,Token!$A:$A,$D113),)</f>
        <v/>
      </c>
    </row>
    <row r="114">
      <c r="A114" s="39" t="str">
        <f>IF(AND($L114*1&gt;=$G$3,$L114*1&lt;=$G$4,$I114*$J114&gt;0,OR($I114&lt;&gt;$I115,$L114-$L115&gt;25),IF(ABS($I114)&gt;10,$I114/POW(10,$J114),$J114/POW(10,$I114))*MAXIFS(Token!$C:$C,Token!$A:$A,$K114)&gt;0.01),$L114/86400+DATE(1970,1,1)+$G$6,)</f>
        <v/>
      </c>
      <c r="B114" s="27" t="str">
        <f t="shared" si="1"/>
        <v/>
      </c>
      <c r="C114" s="14" t="str">
        <f>IF($A114&lt;&gt;"",MINIFS(Merchant!$A:$A,Merchant!$B:$B,$G$2),)</f>
        <v/>
      </c>
      <c r="D114" s="14" t="str">
        <f t="shared" si="2"/>
        <v/>
      </c>
      <c r="E114" s="14" t="str">
        <f t="shared" si="3"/>
        <v/>
      </c>
      <c r="F114" s="7" t="str">
        <f>IF($A114&lt;&gt;"",MAXIFS(Token!$C:$C,Token!$A:$A,$D114),)</f>
        <v/>
      </c>
    </row>
    <row r="115">
      <c r="A115" s="39" t="str">
        <f>IF(AND($L115*1&gt;=$G$3,$L115*1&lt;=$G$4,$I115*$J115&gt;0,OR($I115&lt;&gt;$I116,$L115-$L116&gt;25),IF(ABS($I115)&gt;10,$I115/POW(10,$J115),$J115/POW(10,$I115))*MAXIFS(Token!$C:$C,Token!$A:$A,$K115)&gt;0.01),$L115/86400+DATE(1970,1,1)+$G$6,)</f>
        <v/>
      </c>
      <c r="B115" s="27" t="str">
        <f t="shared" si="1"/>
        <v/>
      </c>
      <c r="C115" s="14" t="str">
        <f>IF($A115&lt;&gt;"",MINIFS(Merchant!$A:$A,Merchant!$B:$B,$G$2),)</f>
        <v/>
      </c>
      <c r="D115" s="14" t="str">
        <f t="shared" si="2"/>
        <v/>
      </c>
      <c r="E115" s="14" t="str">
        <f t="shared" si="3"/>
        <v/>
      </c>
      <c r="F115" s="7" t="str">
        <f>IF($A115&lt;&gt;"",MAXIFS(Token!$C:$C,Token!$A:$A,$D115),)</f>
        <v/>
      </c>
    </row>
    <row r="116">
      <c r="A116" s="39" t="str">
        <f>IF(AND($L116*1&gt;=$G$3,$L116*1&lt;=$G$4,$I116*$J116&gt;0,OR($I116&lt;&gt;$I117,$L116-$L117&gt;25),IF(ABS($I116)&gt;10,$I116/POW(10,$J116),$J116/POW(10,$I116))*MAXIFS(Token!$C:$C,Token!$A:$A,$K116)&gt;0.01),$L116/86400+DATE(1970,1,1)+$G$6,)</f>
        <v/>
      </c>
      <c r="B116" s="27" t="str">
        <f t="shared" si="1"/>
        <v/>
      </c>
      <c r="C116" s="14" t="str">
        <f>IF($A116&lt;&gt;"",MINIFS(Merchant!$A:$A,Merchant!$B:$B,$G$2),)</f>
        <v/>
      </c>
      <c r="D116" s="14" t="str">
        <f t="shared" si="2"/>
        <v/>
      </c>
      <c r="E116" s="14" t="str">
        <f t="shared" si="3"/>
        <v/>
      </c>
      <c r="F116" s="7" t="str">
        <f>IF($A116&lt;&gt;"",MAXIFS(Token!$C:$C,Token!$A:$A,$D116),)</f>
        <v/>
      </c>
    </row>
    <row r="117">
      <c r="A117" s="39" t="str">
        <f>IF(AND($L117*1&gt;=$G$3,$L117*1&lt;=$G$4,$I117*$J117&gt;0,OR($I117&lt;&gt;$I118,$L117-$L118&gt;25),IF(ABS($I117)&gt;10,$I117/POW(10,$J117),$J117/POW(10,$I117))*MAXIFS(Token!$C:$C,Token!$A:$A,$K117)&gt;0.01),$L117/86400+DATE(1970,1,1)+$G$6,)</f>
        <v/>
      </c>
      <c r="B117" s="27" t="str">
        <f t="shared" si="1"/>
        <v/>
      </c>
      <c r="C117" s="14" t="str">
        <f>IF($A117&lt;&gt;"",MINIFS(Merchant!$A:$A,Merchant!$B:$B,$G$2),)</f>
        <v/>
      </c>
      <c r="D117" s="14" t="str">
        <f t="shared" si="2"/>
        <v/>
      </c>
      <c r="E117" s="14" t="str">
        <f t="shared" si="3"/>
        <v/>
      </c>
      <c r="F117" s="7" t="str">
        <f>IF($A117&lt;&gt;"",MAXIFS(Token!$C:$C,Token!$A:$A,$D117),)</f>
        <v/>
      </c>
    </row>
    <row r="118">
      <c r="A118" s="39" t="str">
        <f>IF(AND($L118*1&gt;=$G$3,$L118*1&lt;=$G$4,$I118*$J118&gt;0,OR($I118&lt;&gt;$I119,$L118-$L119&gt;25),IF(ABS($I118)&gt;10,$I118/POW(10,$J118),$J118/POW(10,$I118))*MAXIFS(Token!$C:$C,Token!$A:$A,$K118)&gt;0.01),$L118/86400+DATE(1970,1,1)+$G$6,)</f>
        <v/>
      </c>
      <c r="B118" s="27" t="str">
        <f t="shared" si="1"/>
        <v/>
      </c>
      <c r="C118" s="14" t="str">
        <f>IF($A118&lt;&gt;"",MINIFS(Merchant!$A:$A,Merchant!$B:$B,$G$2),)</f>
        <v/>
      </c>
      <c r="D118" s="14" t="str">
        <f t="shared" si="2"/>
        <v/>
      </c>
      <c r="E118" s="14" t="str">
        <f t="shared" si="3"/>
        <v/>
      </c>
      <c r="F118" s="7" t="str">
        <f>IF($A118&lt;&gt;"",MAXIFS(Token!$C:$C,Token!$A:$A,$D118),)</f>
        <v/>
      </c>
    </row>
    <row r="119">
      <c r="A119" s="39" t="str">
        <f>IF(AND($L119*1&gt;=$G$3,$L119*1&lt;=$G$4,$I119*$J119&gt;0,OR($I119&lt;&gt;$I120,$L119-$L120&gt;25),IF(ABS($I119)&gt;10,$I119/POW(10,$J119),$J119/POW(10,$I119))*MAXIFS(Token!$C:$C,Token!$A:$A,$K119)&gt;0.01),$L119/86400+DATE(1970,1,1)+$G$6,)</f>
        <v/>
      </c>
      <c r="B119" s="27" t="str">
        <f t="shared" si="1"/>
        <v/>
      </c>
      <c r="C119" s="14" t="str">
        <f>IF($A119&lt;&gt;"",MINIFS(Merchant!$A:$A,Merchant!$B:$B,$G$2),)</f>
        <v/>
      </c>
      <c r="D119" s="14" t="str">
        <f t="shared" si="2"/>
        <v/>
      </c>
      <c r="E119" s="14" t="str">
        <f t="shared" si="3"/>
        <v/>
      </c>
      <c r="F119" s="7" t="str">
        <f>IF($A119&lt;&gt;"",MAXIFS(Token!$C:$C,Token!$A:$A,$D119),)</f>
        <v/>
      </c>
    </row>
    <row r="120">
      <c r="A120" s="39" t="str">
        <f>IF(AND($L120*1&gt;=$G$3,$L120*1&lt;=$G$4,$I120*$J120&gt;0,OR($I120&lt;&gt;$I121,$L120-$L121&gt;25),IF(ABS($I120)&gt;10,$I120/POW(10,$J120),$J120/POW(10,$I120))*MAXIFS(Token!$C:$C,Token!$A:$A,$K120)&gt;0.01),$L120/86400+DATE(1970,1,1)+$G$6,)</f>
        <v/>
      </c>
      <c r="B120" s="27" t="str">
        <f t="shared" si="1"/>
        <v/>
      </c>
      <c r="C120" s="14" t="str">
        <f>IF($A120&lt;&gt;"",MINIFS(Merchant!$A:$A,Merchant!$B:$B,$G$2),)</f>
        <v/>
      </c>
      <c r="D120" s="14" t="str">
        <f t="shared" si="2"/>
        <v/>
      </c>
      <c r="E120" s="14" t="str">
        <f t="shared" si="3"/>
        <v/>
      </c>
      <c r="F120" s="7" t="str">
        <f>IF($A120&lt;&gt;"",MAXIFS(Token!$C:$C,Token!$A:$A,$D120),)</f>
        <v/>
      </c>
    </row>
    <row r="121">
      <c r="A121" s="39" t="str">
        <f>IF(AND($L121*1&gt;=$G$3,$L121*1&lt;=$G$4,$I121*$J121&gt;0,OR($I121&lt;&gt;$I122,$L121-$L122&gt;25),IF(ABS($I121)&gt;10,$I121/POW(10,$J121),$J121/POW(10,$I121))*MAXIFS(Token!$C:$C,Token!$A:$A,$K121)&gt;0.01),$L121/86400+DATE(1970,1,1)+$G$6,)</f>
        <v/>
      </c>
      <c r="B121" s="27" t="str">
        <f t="shared" si="1"/>
        <v/>
      </c>
      <c r="C121" s="14" t="str">
        <f>IF($A121&lt;&gt;"",MINIFS(Merchant!$A:$A,Merchant!$B:$B,$G$2),)</f>
        <v/>
      </c>
      <c r="D121" s="14" t="str">
        <f t="shared" si="2"/>
        <v/>
      </c>
      <c r="E121" s="14" t="str">
        <f t="shared" si="3"/>
        <v/>
      </c>
      <c r="F121" s="7" t="str">
        <f>IF($A121&lt;&gt;"",MAXIFS(Token!$C:$C,Token!$A:$A,$D121),)</f>
        <v/>
      </c>
    </row>
    <row r="122">
      <c r="A122" s="39" t="str">
        <f>IF(AND($L122*1&gt;=$G$3,$L122*1&lt;=$G$4,$I122*$J122&gt;0,OR($I122&lt;&gt;$I123,$L122-$L123&gt;25),IF(ABS($I122)&gt;10,$I122/POW(10,$J122),$J122/POW(10,$I122))*MAXIFS(Token!$C:$C,Token!$A:$A,$K122)&gt;0.01),$L122/86400+DATE(1970,1,1)+$G$6,)</f>
        <v/>
      </c>
      <c r="B122" s="27" t="str">
        <f t="shared" si="1"/>
        <v/>
      </c>
      <c r="C122" s="14" t="str">
        <f>IF($A122&lt;&gt;"",MINIFS(Merchant!$A:$A,Merchant!$B:$B,$G$2),)</f>
        <v/>
      </c>
      <c r="D122" s="14" t="str">
        <f t="shared" si="2"/>
        <v/>
      </c>
      <c r="E122" s="14" t="str">
        <f t="shared" si="3"/>
        <v/>
      </c>
      <c r="F122" s="7" t="str">
        <f>IF($A122&lt;&gt;"",MAXIFS(Token!$C:$C,Token!$A:$A,$D122),)</f>
        <v/>
      </c>
    </row>
    <row r="123">
      <c r="A123" s="39" t="str">
        <f>IF(AND($L123*1&gt;=$G$3,$L123*1&lt;=$G$4,$I123*$J123&gt;0,OR($I123&lt;&gt;$I124,$L123-$L124&gt;25),IF(ABS($I123)&gt;10,$I123/POW(10,$J123),$J123/POW(10,$I123))*MAXIFS(Token!$C:$C,Token!$A:$A,$K123)&gt;0.01),$L123/86400+DATE(1970,1,1)+$G$6,)</f>
        <v/>
      </c>
      <c r="B123" s="27" t="str">
        <f t="shared" si="1"/>
        <v/>
      </c>
      <c r="C123" s="14" t="str">
        <f>IF($A123&lt;&gt;"",MINIFS(Merchant!$A:$A,Merchant!$B:$B,$G$2),)</f>
        <v/>
      </c>
      <c r="D123" s="14" t="str">
        <f t="shared" si="2"/>
        <v/>
      </c>
      <c r="E123" s="14" t="str">
        <f t="shared" si="3"/>
        <v/>
      </c>
      <c r="F123" s="7" t="str">
        <f>IF($A123&lt;&gt;"",MAXIFS(Token!$C:$C,Token!$A:$A,$D123),)</f>
        <v/>
      </c>
    </row>
    <row r="124">
      <c r="A124" s="39" t="str">
        <f>IF(AND($L124*1&gt;=$G$3,$L124*1&lt;=$G$4,$I124*$J124&gt;0,OR($I124&lt;&gt;$I125,$L124-$L125&gt;25),IF(ABS($I124)&gt;10,$I124/POW(10,$J124),$J124/POW(10,$I124))*MAXIFS(Token!$C:$C,Token!$A:$A,$K124)&gt;0.01),$L124/86400+DATE(1970,1,1)+$G$6,)</f>
        <v/>
      </c>
      <c r="B124" s="27" t="str">
        <f t="shared" si="1"/>
        <v/>
      </c>
      <c r="C124" s="14" t="str">
        <f>IF($A124&lt;&gt;"",MINIFS(Merchant!$A:$A,Merchant!$B:$B,$G$2),)</f>
        <v/>
      </c>
      <c r="D124" s="14" t="str">
        <f t="shared" si="2"/>
        <v/>
      </c>
      <c r="E124" s="14" t="str">
        <f t="shared" si="3"/>
        <v/>
      </c>
      <c r="F124" s="7" t="str">
        <f>IF($A124&lt;&gt;"",MAXIFS(Token!$C:$C,Token!$A:$A,$D124),)</f>
        <v/>
      </c>
    </row>
    <row r="125">
      <c r="A125" s="39" t="str">
        <f>IF(AND($L125*1&gt;=$G$3,$L125*1&lt;=$G$4,$I125*$J125&gt;0,OR($I125&lt;&gt;$I126,$L125-$L126&gt;25),IF(ABS($I125)&gt;10,$I125/POW(10,$J125),$J125/POW(10,$I125))*MAXIFS(Token!$C:$C,Token!$A:$A,$K125)&gt;0.01),$L125/86400+DATE(1970,1,1)+$G$6,)</f>
        <v/>
      </c>
      <c r="B125" s="27" t="str">
        <f t="shared" si="1"/>
        <v/>
      </c>
      <c r="C125" s="14" t="str">
        <f>IF($A125&lt;&gt;"",MINIFS(Merchant!$A:$A,Merchant!$B:$B,$G$2),)</f>
        <v/>
      </c>
      <c r="D125" s="14" t="str">
        <f t="shared" si="2"/>
        <v/>
      </c>
      <c r="E125" s="14" t="str">
        <f t="shared" si="3"/>
        <v/>
      </c>
      <c r="F125" s="7" t="str">
        <f>IF($A125&lt;&gt;"",MAXIFS(Token!$C:$C,Token!$A:$A,$D125),)</f>
        <v/>
      </c>
    </row>
    <row r="126">
      <c r="A126" s="39" t="str">
        <f>IF(AND($L126*1&gt;=$G$3,$L126*1&lt;=$G$4,$I126*$J126&gt;0,OR($I126&lt;&gt;$I127,$L126-$L127&gt;25),IF(ABS($I126)&gt;10,$I126/POW(10,$J126),$J126/POW(10,$I126))*MAXIFS(Token!$C:$C,Token!$A:$A,$K126)&gt;0.01),$L126/86400+DATE(1970,1,1)+$G$6,)</f>
        <v/>
      </c>
      <c r="B126" s="27" t="str">
        <f t="shared" si="1"/>
        <v/>
      </c>
      <c r="C126" s="14" t="str">
        <f>IF($A126&lt;&gt;"",MINIFS(Merchant!$A:$A,Merchant!$B:$B,$G$2),)</f>
        <v/>
      </c>
      <c r="D126" s="14" t="str">
        <f t="shared" si="2"/>
        <v/>
      </c>
      <c r="E126" s="14" t="str">
        <f t="shared" si="3"/>
        <v/>
      </c>
      <c r="F126" s="7" t="str">
        <f>IF($A126&lt;&gt;"",MAXIFS(Token!$C:$C,Token!$A:$A,$D126),)</f>
        <v/>
      </c>
    </row>
    <row r="127">
      <c r="A127" s="39" t="str">
        <f>IF(AND($L127*1&gt;=$G$3,$L127*1&lt;=$G$4,$I127*$J127&gt;0,OR($I127&lt;&gt;$I128,$L127-$L128&gt;25),IF(ABS($I127)&gt;10,$I127/POW(10,$J127),$J127/POW(10,$I127))*MAXIFS(Token!$C:$C,Token!$A:$A,$K127)&gt;0.01),$L127/86400+DATE(1970,1,1)+$G$6,)</f>
        <v/>
      </c>
      <c r="B127" s="27" t="str">
        <f t="shared" si="1"/>
        <v/>
      </c>
      <c r="C127" s="14" t="str">
        <f>IF($A127&lt;&gt;"",MINIFS(Merchant!$A:$A,Merchant!$B:$B,$G$2),)</f>
        <v/>
      </c>
      <c r="D127" s="14" t="str">
        <f t="shared" si="2"/>
        <v/>
      </c>
      <c r="E127" s="14" t="str">
        <f t="shared" si="3"/>
        <v/>
      </c>
      <c r="F127" s="7" t="str">
        <f>IF($A127&lt;&gt;"",MAXIFS(Token!$C:$C,Token!$A:$A,$D127),)</f>
        <v/>
      </c>
    </row>
    <row r="128">
      <c r="A128" s="39" t="str">
        <f>IF(AND($L128*1&gt;=$G$3,$L128*1&lt;=$G$4,$I128*$J128&gt;0,OR($I128&lt;&gt;$I129,$L128-$L129&gt;25),IF(ABS($I128)&gt;10,$I128/POW(10,$J128),$J128/POW(10,$I128))*MAXIFS(Token!$C:$C,Token!$A:$A,$K128)&gt;0.01),$L128/86400+DATE(1970,1,1)+$G$6,)</f>
        <v/>
      </c>
      <c r="B128" s="27" t="str">
        <f t="shared" si="1"/>
        <v/>
      </c>
      <c r="C128" s="14" t="str">
        <f>IF($A128&lt;&gt;"",MINIFS(Merchant!$A:$A,Merchant!$B:$B,$G$2),)</f>
        <v/>
      </c>
      <c r="D128" s="14" t="str">
        <f t="shared" si="2"/>
        <v/>
      </c>
      <c r="E128" s="14" t="str">
        <f t="shared" si="3"/>
        <v/>
      </c>
      <c r="F128" s="7" t="str">
        <f>IF($A128&lt;&gt;"",MAXIFS(Token!$C:$C,Token!$A:$A,$D128),)</f>
        <v/>
      </c>
    </row>
    <row r="129">
      <c r="A129" s="39" t="str">
        <f>IF(AND($L129*1&gt;=$G$3,$L129*1&lt;=$G$4,$I129*$J129&gt;0,OR($I129&lt;&gt;$I130,$L129-$L130&gt;25),IF(ABS($I129)&gt;10,$I129/POW(10,$J129),$J129/POW(10,$I129))*MAXIFS(Token!$C:$C,Token!$A:$A,$K129)&gt;0.01),$L129/86400+DATE(1970,1,1)+$G$6,)</f>
        <v/>
      </c>
      <c r="B129" s="27" t="str">
        <f t="shared" si="1"/>
        <v/>
      </c>
      <c r="C129" s="14" t="str">
        <f>IF($A129&lt;&gt;"",MINIFS(Merchant!$A:$A,Merchant!$B:$B,$G$2),)</f>
        <v/>
      </c>
      <c r="D129" s="14" t="str">
        <f t="shared" si="2"/>
        <v/>
      </c>
      <c r="E129" s="14" t="str">
        <f t="shared" si="3"/>
        <v/>
      </c>
      <c r="F129" s="7" t="str">
        <f>IF($A129&lt;&gt;"",MAXIFS(Token!$C:$C,Token!$A:$A,$D129),)</f>
        <v/>
      </c>
    </row>
    <row r="130">
      <c r="A130" s="39" t="str">
        <f>IF(AND($L130*1&gt;=$G$3,$L130*1&lt;=$G$4,$I130*$J130&gt;0,OR($I130&lt;&gt;$I131,$L130-$L131&gt;25),IF(ABS($I130)&gt;10,$I130/POW(10,$J130),$J130/POW(10,$I130))*MAXIFS(Token!$C:$C,Token!$A:$A,$K130)&gt;0.01),$L130/86400+DATE(1970,1,1)+$G$6,)</f>
        <v/>
      </c>
      <c r="B130" s="27" t="str">
        <f t="shared" si="1"/>
        <v/>
      </c>
      <c r="C130" s="14" t="str">
        <f>IF($A130&lt;&gt;"",MINIFS(Merchant!$A:$A,Merchant!$B:$B,$G$2),)</f>
        <v/>
      </c>
      <c r="D130" s="14" t="str">
        <f t="shared" si="2"/>
        <v/>
      </c>
      <c r="E130" s="14" t="str">
        <f t="shared" si="3"/>
        <v/>
      </c>
      <c r="F130" s="7" t="str">
        <f>IF($A130&lt;&gt;"",MAXIFS(Token!$C:$C,Token!$A:$A,$D130),)</f>
        <v/>
      </c>
    </row>
    <row r="131">
      <c r="A131" s="39" t="str">
        <f>IF(AND($L131*1&gt;=$G$3,$L131*1&lt;=$G$4,$I131*$J131&gt;0,OR($I131&lt;&gt;$I132,$L131-$L132&gt;25),IF(ABS($I131)&gt;10,$I131/POW(10,$J131),$J131/POW(10,$I131))*MAXIFS(Token!$C:$C,Token!$A:$A,$K131)&gt;0.01),$L131/86400+DATE(1970,1,1)+$G$6,)</f>
        <v/>
      </c>
      <c r="B131" s="27" t="str">
        <f t="shared" si="1"/>
        <v/>
      </c>
      <c r="C131" s="14" t="str">
        <f>IF($A131&lt;&gt;"",MINIFS(Merchant!$A:$A,Merchant!$B:$B,$G$2),)</f>
        <v/>
      </c>
      <c r="D131" s="14" t="str">
        <f t="shared" si="2"/>
        <v/>
      </c>
      <c r="E131" s="14" t="str">
        <f t="shared" si="3"/>
        <v/>
      </c>
      <c r="F131" s="7" t="str">
        <f>IF($A131&lt;&gt;"",MAXIFS(Token!$C:$C,Token!$A:$A,$D131),)</f>
        <v/>
      </c>
    </row>
    <row r="132">
      <c r="A132" s="39" t="str">
        <f>IF(AND($L132*1&gt;=$G$3,$L132*1&lt;=$G$4,$I132*$J132&gt;0,OR($I132&lt;&gt;$I133,$L132-$L133&gt;25),IF(ABS($I132)&gt;10,$I132/POW(10,$J132),$J132/POW(10,$I132))*MAXIFS(Token!$C:$C,Token!$A:$A,$K132)&gt;0.01),$L132/86400+DATE(1970,1,1)+$G$6,)</f>
        <v/>
      </c>
      <c r="B132" s="27" t="str">
        <f t="shared" si="1"/>
        <v/>
      </c>
      <c r="C132" s="14" t="str">
        <f>IF($A132&lt;&gt;"",MINIFS(Merchant!$A:$A,Merchant!$B:$B,$G$2),)</f>
        <v/>
      </c>
      <c r="D132" s="14" t="str">
        <f t="shared" si="2"/>
        <v/>
      </c>
      <c r="E132" s="14" t="str">
        <f t="shared" si="3"/>
        <v/>
      </c>
      <c r="F132" s="7" t="str">
        <f>IF($A132&lt;&gt;"",MAXIFS(Token!$C:$C,Token!$A:$A,$D132),)</f>
        <v/>
      </c>
    </row>
    <row r="133">
      <c r="A133" s="39" t="str">
        <f>IF(AND($L133*1&gt;=$G$3,$L133*1&lt;=$G$4,$I133*$J133&gt;0,OR($I133&lt;&gt;$I134,$L133-$L134&gt;25),IF(ABS($I133)&gt;10,$I133/POW(10,$J133),$J133/POW(10,$I133))*MAXIFS(Token!$C:$C,Token!$A:$A,$K133)&gt;0.01),$L133/86400+DATE(1970,1,1)+$G$6,)</f>
        <v/>
      </c>
      <c r="B133" s="27" t="str">
        <f t="shared" si="1"/>
        <v/>
      </c>
      <c r="C133" s="14" t="str">
        <f>IF($A133&lt;&gt;"",MINIFS(Merchant!$A:$A,Merchant!$B:$B,$G$2),)</f>
        <v/>
      </c>
      <c r="D133" s="14" t="str">
        <f t="shared" si="2"/>
        <v/>
      </c>
      <c r="E133" s="14" t="str">
        <f t="shared" si="3"/>
        <v/>
      </c>
      <c r="F133" s="7" t="str">
        <f>IF($A133&lt;&gt;"",MAXIFS(Token!$C:$C,Token!$A:$A,$D133),)</f>
        <v/>
      </c>
    </row>
    <row r="134">
      <c r="A134" s="39" t="str">
        <f>IF(AND($L134*1&gt;=$G$3,$L134*1&lt;=$G$4,$I134*$J134&gt;0,OR($I134&lt;&gt;$I135,$L134-$L135&gt;25),IF(ABS($I134)&gt;10,$I134/POW(10,$J134),$J134/POW(10,$I134))*MAXIFS(Token!$C:$C,Token!$A:$A,$K134)&gt;0.01),$L134/86400+DATE(1970,1,1)+$G$6,)</f>
        <v/>
      </c>
      <c r="B134" s="27" t="str">
        <f t="shared" si="1"/>
        <v/>
      </c>
      <c r="C134" s="14" t="str">
        <f>IF($A134&lt;&gt;"",MINIFS(Merchant!$A:$A,Merchant!$B:$B,$G$2),)</f>
        <v/>
      </c>
      <c r="D134" s="14" t="str">
        <f t="shared" si="2"/>
        <v/>
      </c>
      <c r="E134" s="14" t="str">
        <f t="shared" si="3"/>
        <v/>
      </c>
      <c r="F134" s="7" t="str">
        <f>IF($A134&lt;&gt;"",MAXIFS(Token!$C:$C,Token!$A:$A,$D134),)</f>
        <v/>
      </c>
    </row>
    <row r="135">
      <c r="A135" s="39" t="str">
        <f>IF(AND($L135*1&gt;=$G$3,$L135*1&lt;=$G$4,$I135*$J135&gt;0,OR($I135&lt;&gt;$I136,$L135-$L136&gt;25),IF(ABS($I135)&gt;10,$I135/POW(10,$J135),$J135/POW(10,$I135))*MAXIFS(Token!$C:$C,Token!$A:$A,$K135)&gt;0.01),$L135/86400+DATE(1970,1,1)+$G$6,)</f>
        <v/>
      </c>
      <c r="B135" s="27" t="str">
        <f t="shared" si="1"/>
        <v/>
      </c>
      <c r="C135" s="14" t="str">
        <f>IF($A135&lt;&gt;"",MINIFS(Merchant!$A:$A,Merchant!$B:$B,$G$2),)</f>
        <v/>
      </c>
      <c r="D135" s="14" t="str">
        <f t="shared" si="2"/>
        <v/>
      </c>
      <c r="E135" s="14" t="str">
        <f t="shared" si="3"/>
        <v/>
      </c>
      <c r="F135" s="7" t="str">
        <f>IF($A135&lt;&gt;"",MAXIFS(Token!$C:$C,Token!$A:$A,$D135),)</f>
        <v/>
      </c>
    </row>
    <row r="136">
      <c r="A136" s="39" t="str">
        <f>IF(AND($L136*1&gt;=$G$3,$L136*1&lt;=$G$4,$I136*$J136&gt;0,OR($I136&lt;&gt;$I137,$L136-$L137&gt;25),IF(ABS($I136)&gt;10,$I136/POW(10,$J136),$J136/POW(10,$I136))*MAXIFS(Token!$C:$C,Token!$A:$A,$K136)&gt;0.01),$L136/86400+DATE(1970,1,1)+$G$6,)</f>
        <v/>
      </c>
      <c r="B136" s="27" t="str">
        <f t="shared" si="1"/>
        <v/>
      </c>
      <c r="C136" s="14" t="str">
        <f>IF($A136&lt;&gt;"",MINIFS(Merchant!$A:$A,Merchant!$B:$B,$G$2),)</f>
        <v/>
      </c>
      <c r="D136" s="14" t="str">
        <f t="shared" si="2"/>
        <v/>
      </c>
      <c r="E136" s="14" t="str">
        <f t="shared" si="3"/>
        <v/>
      </c>
      <c r="F136" s="7" t="str">
        <f>IF($A136&lt;&gt;"",MAXIFS(Token!$C:$C,Token!$A:$A,$D136),)</f>
        <v/>
      </c>
    </row>
    <row r="137">
      <c r="A137" s="39" t="str">
        <f>IF(AND($L137*1&gt;=$G$3,$L137*1&lt;=$G$4,$I137*$J137&gt;0,OR($I137&lt;&gt;$I138,$L137-$L138&gt;25),IF(ABS($I137)&gt;10,$I137/POW(10,$J137),$J137/POW(10,$I137))*MAXIFS(Token!$C:$C,Token!$A:$A,$K137)&gt;0.01),$L137/86400+DATE(1970,1,1)+$G$6,)</f>
        <v/>
      </c>
      <c r="B137" s="27" t="str">
        <f t="shared" si="1"/>
        <v/>
      </c>
      <c r="C137" s="14" t="str">
        <f>IF($A137&lt;&gt;"",MINIFS(Merchant!$A:$A,Merchant!$B:$B,$G$2),)</f>
        <v/>
      </c>
      <c r="D137" s="14" t="str">
        <f t="shared" si="2"/>
        <v/>
      </c>
      <c r="E137" s="14" t="str">
        <f t="shared" si="3"/>
        <v/>
      </c>
      <c r="F137" s="7" t="str">
        <f>IF($A137&lt;&gt;"",MAXIFS(Token!$C:$C,Token!$A:$A,$D137),)</f>
        <v/>
      </c>
    </row>
    <row r="138">
      <c r="A138" s="39" t="str">
        <f>IF(AND($L138*1&gt;=$G$3,$L138*1&lt;=$G$4,$I138*$J138&gt;0,OR($I138&lt;&gt;$I139,$L138-$L139&gt;25),IF(ABS($I138)&gt;10,$I138/POW(10,$J138),$J138/POW(10,$I138))*MAXIFS(Token!$C:$C,Token!$A:$A,$K138)&gt;0.01),$L138/86400+DATE(1970,1,1)+$G$6,)</f>
        <v/>
      </c>
      <c r="B138" s="27" t="str">
        <f t="shared" si="1"/>
        <v/>
      </c>
      <c r="C138" s="14" t="str">
        <f>IF($A138&lt;&gt;"",MINIFS(Merchant!$A:$A,Merchant!$B:$B,$G$2),)</f>
        <v/>
      </c>
      <c r="D138" s="14" t="str">
        <f t="shared" si="2"/>
        <v/>
      </c>
      <c r="E138" s="14" t="str">
        <f t="shared" si="3"/>
        <v/>
      </c>
      <c r="F138" s="7" t="str">
        <f>IF($A138&lt;&gt;"",MAXIFS(Token!$C:$C,Token!$A:$A,$D138),)</f>
        <v/>
      </c>
    </row>
    <row r="139">
      <c r="A139" s="39" t="str">
        <f>IF(AND($L139*1&gt;=$G$3,$L139*1&lt;=$G$4,$I139*$J139&gt;0,OR($I139&lt;&gt;$I140,$L139-$L140&gt;25),IF(ABS($I139)&gt;10,$I139/POW(10,$J139),$J139/POW(10,$I139))*MAXIFS(Token!$C:$C,Token!$A:$A,$K139)&gt;0.01),$L139/86400+DATE(1970,1,1)+$G$6,)</f>
        <v/>
      </c>
      <c r="B139" s="27" t="str">
        <f t="shared" si="1"/>
        <v/>
      </c>
      <c r="C139" s="14" t="str">
        <f>IF($A139&lt;&gt;"",MINIFS(Merchant!$A:$A,Merchant!$B:$B,$G$2),)</f>
        <v/>
      </c>
      <c r="D139" s="14" t="str">
        <f t="shared" si="2"/>
        <v/>
      </c>
      <c r="E139" s="14" t="str">
        <f t="shared" si="3"/>
        <v/>
      </c>
      <c r="F139" s="7" t="str">
        <f>IF($A139&lt;&gt;"",MAXIFS(Token!$C:$C,Token!$A:$A,$D139),)</f>
        <v/>
      </c>
    </row>
    <row r="140">
      <c r="A140" s="39" t="str">
        <f>IF(AND($L140*1&gt;=$G$3,$L140*1&lt;=$G$4,$I140*$J140&gt;0,OR($I140&lt;&gt;$I141,$L140-$L141&gt;25),IF(ABS($I140)&gt;10,$I140/POW(10,$J140),$J140/POW(10,$I140))*MAXIFS(Token!$C:$C,Token!$A:$A,$K140)&gt;0.01),$L140/86400+DATE(1970,1,1)+$G$6,)</f>
        <v/>
      </c>
      <c r="B140" s="27" t="str">
        <f t="shared" si="1"/>
        <v/>
      </c>
      <c r="C140" s="14" t="str">
        <f>IF($A140&lt;&gt;"",MINIFS(Merchant!$A:$A,Merchant!$B:$B,$G$2),)</f>
        <v/>
      </c>
      <c r="D140" s="14" t="str">
        <f t="shared" si="2"/>
        <v/>
      </c>
      <c r="E140" s="14" t="str">
        <f t="shared" si="3"/>
        <v/>
      </c>
      <c r="F140" s="7" t="str">
        <f>IF($A140&lt;&gt;"",MAXIFS(Token!$C:$C,Token!$A:$A,$D140),)</f>
        <v/>
      </c>
    </row>
    <row r="141">
      <c r="A141" s="39" t="str">
        <f>IF(AND($L141*1&gt;=$G$3,$L141*1&lt;=$G$4,$I141*$J141&gt;0,OR($I141&lt;&gt;$I142,$L141-$L142&gt;25),IF(ABS($I141)&gt;10,$I141/POW(10,$J141),$J141/POW(10,$I141))*MAXIFS(Token!$C:$C,Token!$A:$A,$K141)&gt;0.01),$L141/86400+DATE(1970,1,1)+$G$6,)</f>
        <v/>
      </c>
      <c r="B141" s="27" t="str">
        <f t="shared" si="1"/>
        <v/>
      </c>
      <c r="C141" s="14" t="str">
        <f>IF($A141&lt;&gt;"",MINIFS(Merchant!$A:$A,Merchant!$B:$B,$G$2),)</f>
        <v/>
      </c>
      <c r="D141" s="14" t="str">
        <f t="shared" si="2"/>
        <v/>
      </c>
      <c r="E141" s="14" t="str">
        <f t="shared" si="3"/>
        <v/>
      </c>
      <c r="F141" s="7" t="str">
        <f>IF($A141&lt;&gt;"",MAXIFS(Token!$C:$C,Token!$A:$A,$D141),)</f>
        <v/>
      </c>
    </row>
    <row r="142">
      <c r="A142" s="39" t="str">
        <f>IF(AND($L142*1&gt;=$G$3,$L142*1&lt;=$G$4,$I142*$J142&gt;0,OR($I142&lt;&gt;$I143,$L142-$L143&gt;25),IF(ABS($I142)&gt;10,$I142/POW(10,$J142),$J142/POW(10,$I142))*MAXIFS(Token!$C:$C,Token!$A:$A,$K142)&gt;0.01),$L142/86400+DATE(1970,1,1)+$G$6,)</f>
        <v/>
      </c>
      <c r="B142" s="27" t="str">
        <f t="shared" si="1"/>
        <v/>
      </c>
      <c r="C142" s="14" t="str">
        <f>IF($A142&lt;&gt;"",MINIFS(Merchant!$A:$A,Merchant!$B:$B,$G$2),)</f>
        <v/>
      </c>
      <c r="D142" s="14" t="str">
        <f t="shared" si="2"/>
        <v/>
      </c>
      <c r="E142" s="14" t="str">
        <f t="shared" si="3"/>
        <v/>
      </c>
      <c r="F142" s="7" t="str">
        <f>IF($A142&lt;&gt;"",MAXIFS(Token!$C:$C,Token!$A:$A,$D142),)</f>
        <v/>
      </c>
    </row>
    <row r="143">
      <c r="A143" s="39" t="str">
        <f>IF(AND($L143*1&gt;=$G$3,$L143*1&lt;=$G$4,$I143*$J143&gt;0,OR($I143&lt;&gt;$I144,$L143-$L144&gt;25),IF(ABS($I143)&gt;10,$I143/POW(10,$J143),$J143/POW(10,$I143))*MAXIFS(Token!$C:$C,Token!$A:$A,$K143)&gt;0.01),$L143/86400+DATE(1970,1,1)+$G$6,)</f>
        <v/>
      </c>
      <c r="B143" s="27" t="str">
        <f t="shared" si="1"/>
        <v/>
      </c>
      <c r="C143" s="14" t="str">
        <f>IF($A143&lt;&gt;"",MINIFS(Merchant!$A:$A,Merchant!$B:$B,$G$2),)</f>
        <v/>
      </c>
      <c r="D143" s="14" t="str">
        <f t="shared" si="2"/>
        <v/>
      </c>
      <c r="E143" s="14" t="str">
        <f t="shared" si="3"/>
        <v/>
      </c>
      <c r="F143" s="7" t="str">
        <f>IF($A143&lt;&gt;"",MAXIFS(Token!$C:$C,Token!$A:$A,$D143),)</f>
        <v/>
      </c>
    </row>
    <row r="144">
      <c r="A144" s="39" t="str">
        <f>IF(AND($L144*1&gt;=$G$3,$L144*1&lt;=$G$4,$I144*$J144&gt;0,OR($I144&lt;&gt;$I145,$L144-$L145&gt;25),IF(ABS($I144)&gt;10,$I144/POW(10,$J144),$J144/POW(10,$I144))*MAXIFS(Token!$C:$C,Token!$A:$A,$K144)&gt;0.01),$L144/86400+DATE(1970,1,1)+$G$6,)</f>
        <v/>
      </c>
      <c r="B144" s="27" t="str">
        <f t="shared" si="1"/>
        <v/>
      </c>
      <c r="C144" s="14" t="str">
        <f>IF($A144&lt;&gt;"",MINIFS(Merchant!$A:$A,Merchant!$B:$B,$G$2),)</f>
        <v/>
      </c>
      <c r="D144" s="14" t="str">
        <f t="shared" si="2"/>
        <v/>
      </c>
      <c r="E144" s="14" t="str">
        <f t="shared" si="3"/>
        <v/>
      </c>
      <c r="F144" s="7" t="str">
        <f>IF($A144&lt;&gt;"",MAXIFS(Token!$C:$C,Token!$A:$A,$D144),)</f>
        <v/>
      </c>
    </row>
    <row r="145">
      <c r="A145" s="39" t="str">
        <f>IF(AND($L145*1&gt;=$G$3,$L145*1&lt;=$G$4,$I145*$J145&gt;0,OR($I145&lt;&gt;$I146,$L145-$L146&gt;25),IF(ABS($I145)&gt;10,$I145/POW(10,$J145),$J145/POW(10,$I145))*MAXIFS(Token!$C:$C,Token!$A:$A,$K145)&gt;0.01),$L145/86400+DATE(1970,1,1)+$G$6,)</f>
        <v/>
      </c>
      <c r="B145" s="27" t="str">
        <f t="shared" si="1"/>
        <v/>
      </c>
      <c r="C145" s="14" t="str">
        <f>IF($A145&lt;&gt;"",MINIFS(Merchant!$A:$A,Merchant!$B:$B,$G$2),)</f>
        <v/>
      </c>
      <c r="D145" s="14" t="str">
        <f t="shared" si="2"/>
        <v/>
      </c>
      <c r="E145" s="14" t="str">
        <f t="shared" si="3"/>
        <v/>
      </c>
      <c r="F145" s="7" t="str">
        <f>IF($A145&lt;&gt;"",MAXIFS(Token!$C:$C,Token!$A:$A,$D145),)</f>
        <v/>
      </c>
    </row>
    <row r="146">
      <c r="A146" s="39" t="str">
        <f>IF(AND($L146*1&gt;=$G$3,$L146*1&lt;=$G$4,$I146*$J146&gt;0,OR($I146&lt;&gt;$I147,$L146-$L147&gt;25),IF(ABS($I146)&gt;10,$I146/POW(10,$J146),$J146/POW(10,$I146))*MAXIFS(Token!$C:$C,Token!$A:$A,$K146)&gt;0.01),$L146/86400+DATE(1970,1,1)+$G$6,)</f>
        <v/>
      </c>
      <c r="B146" s="27" t="str">
        <f t="shared" si="1"/>
        <v/>
      </c>
      <c r="C146" s="14" t="str">
        <f>IF($A146&lt;&gt;"",MINIFS(Merchant!$A:$A,Merchant!$B:$B,$G$2),)</f>
        <v/>
      </c>
      <c r="D146" s="14" t="str">
        <f t="shared" si="2"/>
        <v/>
      </c>
      <c r="E146" s="14" t="str">
        <f t="shared" si="3"/>
        <v/>
      </c>
      <c r="F146" s="7" t="str">
        <f>IF($A146&lt;&gt;"",MAXIFS(Token!$C:$C,Token!$A:$A,$D146),)</f>
        <v/>
      </c>
    </row>
    <row r="147">
      <c r="A147" s="39" t="str">
        <f>IF(AND($L147*1&gt;=$G$3,$L147*1&lt;=$G$4,$I147*$J147&gt;0,OR($I147&lt;&gt;$I148,$L147-$L148&gt;25),IF(ABS($I147)&gt;10,$I147/POW(10,$J147),$J147/POW(10,$I147))*MAXIFS(Token!$C:$C,Token!$A:$A,$K147)&gt;0.01),$L147/86400+DATE(1970,1,1)+$G$6,)</f>
        <v/>
      </c>
      <c r="B147" s="27" t="str">
        <f t="shared" si="1"/>
        <v/>
      </c>
      <c r="C147" s="14" t="str">
        <f>IF($A147&lt;&gt;"",MINIFS(Merchant!$A:$A,Merchant!$B:$B,$G$2),)</f>
        <v/>
      </c>
      <c r="D147" s="14" t="str">
        <f t="shared" si="2"/>
        <v/>
      </c>
      <c r="E147" s="14" t="str">
        <f t="shared" si="3"/>
        <v/>
      </c>
      <c r="F147" s="7" t="str">
        <f>IF($A147&lt;&gt;"",MAXIFS(Token!$C:$C,Token!$A:$A,$D147),)</f>
        <v/>
      </c>
    </row>
    <row r="148">
      <c r="A148" s="39" t="str">
        <f>IF(AND($L148*1&gt;=$G$3,$L148*1&lt;=$G$4,$I148*$J148&gt;0,OR($I148&lt;&gt;$I149,$L148-$L149&gt;25),IF(ABS($I148)&gt;10,$I148/POW(10,$J148),$J148/POW(10,$I148))*MAXIFS(Token!$C:$C,Token!$A:$A,$K148)&gt;0.01),$L148/86400+DATE(1970,1,1)+$G$6,)</f>
        <v/>
      </c>
      <c r="B148" s="27" t="str">
        <f t="shared" si="1"/>
        <v/>
      </c>
      <c r="C148" s="14" t="str">
        <f>IF($A148&lt;&gt;"",MINIFS(Merchant!$A:$A,Merchant!$B:$B,$G$2),)</f>
        <v/>
      </c>
      <c r="D148" s="14" t="str">
        <f t="shared" si="2"/>
        <v/>
      </c>
      <c r="E148" s="14" t="str">
        <f t="shared" si="3"/>
        <v/>
      </c>
      <c r="F148" s="7" t="str">
        <f>IF($A148&lt;&gt;"",MAXIFS(Token!$C:$C,Token!$A:$A,$D148),)</f>
        <v/>
      </c>
    </row>
    <row r="149">
      <c r="A149" s="39" t="str">
        <f>IF(AND($L149*1&gt;=$G$3,$L149*1&lt;=$G$4,$I149*$J149&gt;0,OR($I149&lt;&gt;$I150,$L149-$L150&gt;25),IF(ABS($I149)&gt;10,$I149/POW(10,$J149),$J149/POW(10,$I149))*MAXIFS(Token!$C:$C,Token!$A:$A,$K149)&gt;0.01),$L149/86400+DATE(1970,1,1)+$G$6,)</f>
        <v/>
      </c>
      <c r="B149" s="27" t="str">
        <f t="shared" si="1"/>
        <v/>
      </c>
      <c r="C149" s="14" t="str">
        <f>IF($A149&lt;&gt;"",MINIFS(Merchant!$A:$A,Merchant!$B:$B,$G$2),)</f>
        <v/>
      </c>
      <c r="D149" s="14" t="str">
        <f t="shared" si="2"/>
        <v/>
      </c>
      <c r="E149" s="14" t="str">
        <f t="shared" si="3"/>
        <v/>
      </c>
      <c r="F149" s="7" t="str">
        <f>IF($A149&lt;&gt;"",MAXIFS(Token!$C:$C,Token!$A:$A,$D149),)</f>
        <v/>
      </c>
    </row>
    <row r="150">
      <c r="A150" s="39" t="str">
        <f>IF(AND($L150*1&gt;=$G$3,$L150*1&lt;=$G$4,$I150*$J150&gt;0,OR($I150&lt;&gt;$I151,$L150-$L151&gt;25),IF(ABS($I150)&gt;10,$I150/POW(10,$J150),$J150/POW(10,$I150))*MAXIFS(Token!$C:$C,Token!$A:$A,$K150)&gt;0.01),$L150/86400+DATE(1970,1,1)+$G$6,)</f>
        <v/>
      </c>
      <c r="B150" s="27" t="str">
        <f t="shared" si="1"/>
        <v/>
      </c>
      <c r="C150" s="14" t="str">
        <f>IF($A150&lt;&gt;"",MINIFS(Merchant!$A:$A,Merchant!$B:$B,$G$2),)</f>
        <v/>
      </c>
      <c r="D150" s="14" t="str">
        <f t="shared" si="2"/>
        <v/>
      </c>
      <c r="E150" s="14" t="str">
        <f t="shared" si="3"/>
        <v/>
      </c>
      <c r="F150" s="7" t="str">
        <f>IF($A150&lt;&gt;"",MAXIFS(Token!$C:$C,Token!$A:$A,$D150),)</f>
        <v/>
      </c>
    </row>
    <row r="151">
      <c r="A151" s="39" t="str">
        <f>IF(AND($L151*1&gt;=$G$3,$L151*1&lt;=$G$4,$I151*$J151&gt;0,OR($I151&lt;&gt;$I152,$L151-$L152&gt;25),IF(ABS($I151)&gt;10,$I151/POW(10,$J151),$J151/POW(10,$I151))*MAXIFS(Token!$C:$C,Token!$A:$A,$K151)&gt;0.01),$L151/86400+DATE(1970,1,1)+$G$6,)</f>
        <v/>
      </c>
      <c r="B151" s="27" t="str">
        <f t="shared" si="1"/>
        <v/>
      </c>
      <c r="C151" s="14" t="str">
        <f>IF($A151&lt;&gt;"",MINIFS(Merchant!$A:$A,Merchant!$B:$B,$G$2),)</f>
        <v/>
      </c>
      <c r="D151" s="14" t="str">
        <f t="shared" si="2"/>
        <v/>
      </c>
      <c r="E151" s="14" t="str">
        <f t="shared" si="3"/>
        <v/>
      </c>
      <c r="F151" s="7" t="str">
        <f>IF($A151&lt;&gt;"",MAXIFS(Token!$C:$C,Token!$A:$A,$D151),)</f>
        <v/>
      </c>
    </row>
    <row r="152">
      <c r="A152" s="39" t="str">
        <f>IF(AND($L152*1&gt;=$G$3,$L152*1&lt;=$G$4,$I152*$J152&gt;0,OR($I152&lt;&gt;$I153,$L152-$L153&gt;25),IF(ABS($I152)&gt;10,$I152/POW(10,$J152),$J152/POW(10,$I152))*MAXIFS(Token!$C:$C,Token!$A:$A,$K152)&gt;0.01),$L152/86400+DATE(1970,1,1)+$G$6,)</f>
        <v/>
      </c>
      <c r="B152" s="27" t="str">
        <f t="shared" si="1"/>
        <v/>
      </c>
      <c r="C152" s="14" t="str">
        <f>IF($A152&lt;&gt;"",MINIFS(Merchant!$A:$A,Merchant!$B:$B,$G$2),)</f>
        <v/>
      </c>
      <c r="D152" s="14" t="str">
        <f t="shared" si="2"/>
        <v/>
      </c>
      <c r="E152" s="14" t="str">
        <f t="shared" si="3"/>
        <v/>
      </c>
      <c r="F152" s="7" t="str">
        <f>IF($A152&lt;&gt;"",MAXIFS(Token!$C:$C,Token!$A:$A,$D152),)</f>
        <v/>
      </c>
    </row>
    <row r="153">
      <c r="A153" s="39" t="str">
        <f>IF(AND($L153*1&gt;=$G$3,$L153*1&lt;=$G$4,$I153*$J153&gt;0,OR($I153&lt;&gt;$I154,$L153-$L154&gt;25),IF(ABS($I153)&gt;10,$I153/POW(10,$J153),$J153/POW(10,$I153))*MAXIFS(Token!$C:$C,Token!$A:$A,$K153)&gt;0.01),$L153/86400+DATE(1970,1,1)+$G$6,)</f>
        <v/>
      </c>
      <c r="B153" s="27" t="str">
        <f t="shared" si="1"/>
        <v/>
      </c>
      <c r="C153" s="14" t="str">
        <f>IF($A153&lt;&gt;"",MINIFS(Merchant!$A:$A,Merchant!$B:$B,$G$2),)</f>
        <v/>
      </c>
      <c r="D153" s="14" t="str">
        <f t="shared" si="2"/>
        <v/>
      </c>
      <c r="E153" s="14" t="str">
        <f t="shared" si="3"/>
        <v/>
      </c>
      <c r="F153" s="7" t="str">
        <f>IF($A153&lt;&gt;"",MAXIFS(Token!$C:$C,Token!$A:$A,$D153),)</f>
        <v/>
      </c>
    </row>
    <row r="154">
      <c r="A154" s="39" t="str">
        <f>IF(AND($L154*1&gt;=$G$3,$L154*1&lt;=$G$4,$I154*$J154&gt;0,OR($I154&lt;&gt;$I155,$L154-$L155&gt;25),IF(ABS($I154)&gt;10,$I154/POW(10,$J154),$J154/POW(10,$I154))*MAXIFS(Token!$C:$C,Token!$A:$A,$K154)&gt;0.01),$L154/86400+DATE(1970,1,1)+$G$6,)</f>
        <v/>
      </c>
      <c r="B154" s="27" t="str">
        <f t="shared" si="1"/>
        <v/>
      </c>
      <c r="C154" s="14" t="str">
        <f>IF($A154&lt;&gt;"",MINIFS(Merchant!$A:$A,Merchant!$B:$B,$G$2),)</f>
        <v/>
      </c>
      <c r="D154" s="14" t="str">
        <f t="shared" si="2"/>
        <v/>
      </c>
      <c r="E154" s="14" t="str">
        <f t="shared" si="3"/>
        <v/>
      </c>
      <c r="F154" s="7" t="str">
        <f>IF($A154&lt;&gt;"",MAXIFS(Token!$C:$C,Token!$A:$A,$D154),)</f>
        <v/>
      </c>
    </row>
    <row r="155">
      <c r="A155" s="39" t="str">
        <f>IF(AND($L155*1&gt;=$G$3,$L155*1&lt;=$G$4,$I155*$J155&gt;0,OR($I155&lt;&gt;$I156,$L155-$L156&gt;25),IF(ABS($I155)&gt;10,$I155/POW(10,$J155),$J155/POW(10,$I155))*MAXIFS(Token!$C:$C,Token!$A:$A,$K155)&gt;0.01),$L155/86400+DATE(1970,1,1)+$G$6,)</f>
        <v/>
      </c>
      <c r="B155" s="27" t="str">
        <f t="shared" si="1"/>
        <v/>
      </c>
      <c r="C155" s="14" t="str">
        <f>IF($A155&lt;&gt;"",MINIFS(Merchant!$A:$A,Merchant!$B:$B,$G$2),)</f>
        <v/>
      </c>
      <c r="D155" s="14" t="str">
        <f t="shared" si="2"/>
        <v/>
      </c>
      <c r="E155" s="14" t="str">
        <f t="shared" si="3"/>
        <v/>
      </c>
      <c r="F155" s="7" t="str">
        <f>IF($A155&lt;&gt;"",MAXIFS(Token!$C:$C,Token!$A:$A,$D155),)</f>
        <v/>
      </c>
    </row>
    <row r="156">
      <c r="A156" s="39" t="str">
        <f>IF(AND($L156*1&gt;=$G$3,$L156*1&lt;=$G$4,$I156*$J156&gt;0,OR($I156&lt;&gt;$I157,$L156-$L157&gt;25),IF(ABS($I156)&gt;10,$I156/POW(10,$J156),$J156/POW(10,$I156))*MAXIFS(Token!$C:$C,Token!$A:$A,$K156)&gt;0.01),$L156/86400+DATE(1970,1,1)+$G$6,)</f>
        <v/>
      </c>
      <c r="B156" s="27" t="str">
        <f t="shared" si="1"/>
        <v/>
      </c>
      <c r="C156" s="14" t="str">
        <f>IF($A156&lt;&gt;"",MINIFS(Merchant!$A:$A,Merchant!$B:$B,$G$2),)</f>
        <v/>
      </c>
      <c r="D156" s="14" t="str">
        <f t="shared" si="2"/>
        <v/>
      </c>
      <c r="E156" s="14" t="str">
        <f t="shared" si="3"/>
        <v/>
      </c>
      <c r="F156" s="7" t="str">
        <f>IF($A156&lt;&gt;"",MAXIFS(Token!$C:$C,Token!$A:$A,$D156),)</f>
        <v/>
      </c>
    </row>
    <row r="157">
      <c r="A157" s="39" t="str">
        <f>IF(AND($L157*1&gt;=$G$3,$L157*1&lt;=$G$4,$I157*$J157&gt;0,OR($I157&lt;&gt;$I158,$L157-$L158&gt;25),IF(ABS($I157)&gt;10,$I157/POW(10,$J157),$J157/POW(10,$I157))*MAXIFS(Token!$C:$C,Token!$A:$A,$K157)&gt;0.01),$L157/86400+DATE(1970,1,1)+$G$6,)</f>
        <v/>
      </c>
      <c r="B157" s="27" t="str">
        <f t="shared" si="1"/>
        <v/>
      </c>
      <c r="C157" s="14" t="str">
        <f>IF($A157&lt;&gt;"",MINIFS(Merchant!$A:$A,Merchant!$B:$B,$G$2),)</f>
        <v/>
      </c>
      <c r="D157" s="14" t="str">
        <f t="shared" si="2"/>
        <v/>
      </c>
      <c r="E157" s="14" t="str">
        <f t="shared" si="3"/>
        <v/>
      </c>
      <c r="F157" s="7" t="str">
        <f>IF($A157&lt;&gt;"",MAXIFS(Token!$C:$C,Token!$A:$A,$D157),)</f>
        <v/>
      </c>
    </row>
    <row r="158">
      <c r="A158" s="39" t="str">
        <f>IF(AND($L158*1&gt;=$G$3,$L158*1&lt;=$G$4,$I158*$J158&gt;0,OR($I158&lt;&gt;$I159,$L158-$L159&gt;25),IF(ABS($I158)&gt;10,$I158/POW(10,$J158),$J158/POW(10,$I158))*MAXIFS(Token!$C:$C,Token!$A:$A,$K158)&gt;0.01),$L158/86400+DATE(1970,1,1)+$G$6,)</f>
        <v/>
      </c>
      <c r="B158" s="27" t="str">
        <f t="shared" si="1"/>
        <v/>
      </c>
      <c r="C158" s="14" t="str">
        <f>IF($A158&lt;&gt;"",MINIFS(Merchant!$A:$A,Merchant!$B:$B,$G$2),)</f>
        <v/>
      </c>
      <c r="D158" s="14" t="str">
        <f t="shared" si="2"/>
        <v/>
      </c>
      <c r="E158" s="14" t="str">
        <f t="shared" si="3"/>
        <v/>
      </c>
      <c r="F158" s="7" t="str">
        <f>IF($A158&lt;&gt;"",MAXIFS(Token!$C:$C,Token!$A:$A,$D158),)</f>
        <v/>
      </c>
    </row>
    <row r="159">
      <c r="A159" s="39" t="str">
        <f>IF(AND($L159*1&gt;=$G$3,$L159*1&lt;=$G$4,$I159*$J159&gt;0,OR($I159&lt;&gt;$I160,$L159-$L160&gt;25),IF(ABS($I159)&gt;10,$I159/POW(10,$J159),$J159/POW(10,$I159))*MAXIFS(Token!$C:$C,Token!$A:$A,$K159)&gt;0.01),$L159/86400+DATE(1970,1,1)+$G$6,)</f>
        <v/>
      </c>
      <c r="B159" s="27" t="str">
        <f t="shared" si="1"/>
        <v/>
      </c>
      <c r="C159" s="14" t="str">
        <f>IF($A159&lt;&gt;"",MINIFS(Merchant!$A:$A,Merchant!$B:$B,$G$2),)</f>
        <v/>
      </c>
      <c r="D159" s="14" t="str">
        <f t="shared" si="2"/>
        <v/>
      </c>
      <c r="E159" s="14" t="str">
        <f t="shared" si="3"/>
        <v/>
      </c>
      <c r="F159" s="7" t="str">
        <f>IF($A159&lt;&gt;"",MAXIFS(Token!$C:$C,Token!$A:$A,$D159),)</f>
        <v/>
      </c>
    </row>
    <row r="160">
      <c r="A160" s="39" t="str">
        <f>IF(AND($L160*1&gt;=$G$3,$L160*1&lt;=$G$4,$I160*$J160&gt;0,OR($I160&lt;&gt;$I161,$L160-$L161&gt;25),IF(ABS($I160)&gt;10,$I160/POW(10,$J160),$J160/POW(10,$I160))*MAXIFS(Token!$C:$C,Token!$A:$A,$K160)&gt;0.01),$L160/86400+DATE(1970,1,1)+$G$6,)</f>
        <v/>
      </c>
      <c r="B160" s="27" t="str">
        <f t="shared" si="1"/>
        <v/>
      </c>
      <c r="C160" s="14" t="str">
        <f>IF($A160&lt;&gt;"",MINIFS(Merchant!$A:$A,Merchant!$B:$B,$G$2),)</f>
        <v/>
      </c>
      <c r="D160" s="14" t="str">
        <f t="shared" si="2"/>
        <v/>
      </c>
      <c r="E160" s="14" t="str">
        <f t="shared" si="3"/>
        <v/>
      </c>
      <c r="F160" s="7" t="str">
        <f>IF($A160&lt;&gt;"",MAXIFS(Token!$C:$C,Token!$A:$A,$D160),)</f>
        <v/>
      </c>
    </row>
    <row r="161">
      <c r="A161" s="39" t="str">
        <f>IF(AND($L161*1&gt;=$G$3,$L161*1&lt;=$G$4,$I161*$J161&gt;0,OR($I161&lt;&gt;$I162,$L161-$L162&gt;25),IF(ABS($I161)&gt;10,$I161/POW(10,$J161),$J161/POW(10,$I161))*MAXIFS(Token!$C:$C,Token!$A:$A,$K161)&gt;0.01),$L161/86400+DATE(1970,1,1)+$G$6,)</f>
        <v/>
      </c>
      <c r="B161" s="27" t="str">
        <f t="shared" si="1"/>
        <v/>
      </c>
      <c r="C161" s="14" t="str">
        <f>IF($A161&lt;&gt;"",MINIFS(Merchant!$A:$A,Merchant!$B:$B,$G$2),)</f>
        <v/>
      </c>
      <c r="D161" s="14" t="str">
        <f t="shared" si="2"/>
        <v/>
      </c>
      <c r="E161" s="14" t="str">
        <f t="shared" si="3"/>
        <v/>
      </c>
      <c r="F161" s="7" t="str">
        <f>IF($A161&lt;&gt;"",MAXIFS(Token!$C:$C,Token!$A:$A,$D161),)</f>
        <v/>
      </c>
    </row>
    <row r="162">
      <c r="A162" s="39" t="str">
        <f>IF(AND($L162*1&gt;=$G$3,$L162*1&lt;=$G$4,$I162*$J162&gt;0,OR($I162&lt;&gt;$I163,$L162-$L163&gt;25),IF(ABS($I162)&gt;10,$I162/POW(10,$J162),$J162/POW(10,$I162))*MAXIFS(Token!$C:$C,Token!$A:$A,$K162)&gt;0.01),$L162/86400+DATE(1970,1,1)+$G$6,)</f>
        <v/>
      </c>
      <c r="B162" s="27" t="str">
        <f t="shared" si="1"/>
        <v/>
      </c>
      <c r="C162" s="14" t="str">
        <f>IF($A162&lt;&gt;"",MINIFS(Merchant!$A:$A,Merchant!$B:$B,$G$2),)</f>
        <v/>
      </c>
      <c r="D162" s="14" t="str">
        <f t="shared" si="2"/>
        <v/>
      </c>
      <c r="E162" s="14" t="str">
        <f t="shared" si="3"/>
        <v/>
      </c>
      <c r="F162" s="7" t="str">
        <f>IF($A162&lt;&gt;"",MAXIFS(Token!$C:$C,Token!$A:$A,$D162),)</f>
        <v/>
      </c>
    </row>
    <row r="163">
      <c r="A163" s="39" t="str">
        <f>IF(AND($L163*1&gt;=$G$3,$L163*1&lt;=$G$4,$I163*$J163&gt;0,OR($I163&lt;&gt;$I164,$L163-$L164&gt;25),IF(ABS($I163)&gt;10,$I163/POW(10,$J163),$J163/POW(10,$I163))*MAXIFS(Token!$C:$C,Token!$A:$A,$K163)&gt;0.01),$L163/86400+DATE(1970,1,1)+$G$6,)</f>
        <v/>
      </c>
      <c r="B163" s="27" t="str">
        <f t="shared" si="1"/>
        <v/>
      </c>
      <c r="C163" s="14" t="str">
        <f>IF($A163&lt;&gt;"",MINIFS(Merchant!$A:$A,Merchant!$B:$B,$G$2),)</f>
        <v/>
      </c>
      <c r="D163" s="14" t="str">
        <f t="shared" si="2"/>
        <v/>
      </c>
      <c r="E163" s="14" t="str">
        <f t="shared" si="3"/>
        <v/>
      </c>
      <c r="F163" s="7" t="str">
        <f>IF($A163&lt;&gt;"",MAXIFS(Token!$C:$C,Token!$A:$A,$D163),)</f>
        <v/>
      </c>
    </row>
    <row r="164">
      <c r="A164" s="39" t="str">
        <f>IF(AND($L164*1&gt;=$G$3,$L164*1&lt;=$G$4,$I164*$J164&gt;0,OR($I164&lt;&gt;$I165,$L164-$L165&gt;25),IF(ABS($I164)&gt;10,$I164/POW(10,$J164),$J164/POW(10,$I164))*MAXIFS(Token!$C:$C,Token!$A:$A,$K164)&gt;0.01),$L164/86400+DATE(1970,1,1)+$G$6,)</f>
        <v/>
      </c>
      <c r="B164" s="27" t="str">
        <f t="shared" si="1"/>
        <v/>
      </c>
      <c r="C164" s="14" t="str">
        <f>IF($A164&lt;&gt;"",MINIFS(Merchant!$A:$A,Merchant!$B:$B,$G$2),)</f>
        <v/>
      </c>
      <c r="D164" s="14" t="str">
        <f t="shared" si="2"/>
        <v/>
      </c>
      <c r="E164" s="14" t="str">
        <f t="shared" si="3"/>
        <v/>
      </c>
      <c r="F164" s="7" t="str">
        <f>IF($A164&lt;&gt;"",MAXIFS(Token!$C:$C,Token!$A:$A,$D164),)</f>
        <v/>
      </c>
    </row>
    <row r="165">
      <c r="A165" s="39" t="str">
        <f>IF(AND($L165*1&gt;=$G$3,$L165*1&lt;=$G$4,$I165*$J165&gt;0,OR($I165&lt;&gt;$I166,$L165-$L166&gt;25),IF(ABS($I165)&gt;10,$I165/POW(10,$J165),$J165/POW(10,$I165))*MAXIFS(Token!$C:$C,Token!$A:$A,$K165)&gt;0.01),$L165/86400+DATE(1970,1,1)+$G$6,)</f>
        <v/>
      </c>
      <c r="B165" s="27" t="str">
        <f t="shared" si="1"/>
        <v/>
      </c>
      <c r="C165" s="14" t="str">
        <f>IF($A165&lt;&gt;"",MINIFS(Merchant!$A:$A,Merchant!$B:$B,$G$2),)</f>
        <v/>
      </c>
      <c r="D165" s="14" t="str">
        <f t="shared" si="2"/>
        <v/>
      </c>
      <c r="E165" s="14" t="str">
        <f t="shared" si="3"/>
        <v/>
      </c>
      <c r="F165" s="7" t="str">
        <f>IF($A165&lt;&gt;"",MAXIFS(Token!$C:$C,Token!$A:$A,$D165),)</f>
        <v/>
      </c>
    </row>
    <row r="166">
      <c r="A166" s="39" t="str">
        <f>IF(AND($L166*1&gt;=$G$3,$L166*1&lt;=$G$4,$I166*$J166&gt;0,OR($I166&lt;&gt;$I167,$L166-$L167&gt;25),IF(ABS($I166)&gt;10,$I166/POW(10,$J166),$J166/POW(10,$I166))*MAXIFS(Token!$C:$C,Token!$A:$A,$K166)&gt;0.01),$L166/86400+DATE(1970,1,1)+$G$6,)</f>
        <v/>
      </c>
      <c r="B166" s="27" t="str">
        <f t="shared" si="1"/>
        <v/>
      </c>
      <c r="C166" s="14" t="str">
        <f>IF($A166&lt;&gt;"",MINIFS(Merchant!$A:$A,Merchant!$B:$B,$G$2),)</f>
        <v/>
      </c>
      <c r="D166" s="14" t="str">
        <f t="shared" si="2"/>
        <v/>
      </c>
      <c r="E166" s="14" t="str">
        <f t="shared" si="3"/>
        <v/>
      </c>
      <c r="F166" s="7" t="str">
        <f>IF($A166&lt;&gt;"",MAXIFS(Token!$C:$C,Token!$A:$A,$D166),)</f>
        <v/>
      </c>
    </row>
    <row r="167">
      <c r="A167" s="39" t="str">
        <f>IF(AND($L167*1&gt;=$G$3,$L167*1&lt;=$G$4,$I167*$J167&gt;0,OR($I167&lt;&gt;$I168,$L167-$L168&gt;25),IF(ABS($I167)&gt;10,$I167/POW(10,$J167),$J167/POW(10,$I167))*MAXIFS(Token!$C:$C,Token!$A:$A,$K167)&gt;0.01),$L167/86400+DATE(1970,1,1)+$G$6,)</f>
        <v/>
      </c>
      <c r="B167" s="27" t="str">
        <f t="shared" si="1"/>
        <v/>
      </c>
      <c r="C167" s="14" t="str">
        <f>IF($A167&lt;&gt;"",MINIFS(Merchant!$A:$A,Merchant!$B:$B,$G$2),)</f>
        <v/>
      </c>
      <c r="D167" s="14" t="str">
        <f t="shared" si="2"/>
        <v/>
      </c>
      <c r="E167" s="14" t="str">
        <f t="shared" si="3"/>
        <v/>
      </c>
      <c r="F167" s="7" t="str">
        <f>IF($A167&lt;&gt;"",MAXIFS(Token!$C:$C,Token!$A:$A,$D167),)</f>
        <v/>
      </c>
    </row>
    <row r="168">
      <c r="A168" s="39" t="str">
        <f>IF(AND($L168*1&gt;=$G$3,$L168*1&lt;=$G$4,$I168*$J168&gt;0,OR($I168&lt;&gt;$I169,$L168-$L169&gt;25),IF(ABS($I168)&gt;10,$I168/POW(10,$J168),$J168/POW(10,$I168))*MAXIFS(Token!$C:$C,Token!$A:$A,$K168)&gt;0.01),$L168/86400+DATE(1970,1,1)+$G$6,)</f>
        <v/>
      </c>
      <c r="B168" s="27" t="str">
        <f t="shared" si="1"/>
        <v/>
      </c>
      <c r="C168" s="14" t="str">
        <f>IF($A168&lt;&gt;"",MINIFS(Merchant!$A:$A,Merchant!$B:$B,$G$2),)</f>
        <v/>
      </c>
      <c r="D168" s="14" t="str">
        <f t="shared" si="2"/>
        <v/>
      </c>
      <c r="E168" s="14" t="str">
        <f t="shared" si="3"/>
        <v/>
      </c>
      <c r="F168" s="7" t="str">
        <f>IF($A168&lt;&gt;"",MAXIFS(Token!$C:$C,Token!$A:$A,$D168),)</f>
        <v/>
      </c>
    </row>
    <row r="169">
      <c r="A169" s="39" t="str">
        <f>IF(AND($L169*1&gt;=$G$3,$L169*1&lt;=$G$4,$I169*$J169&gt;0,OR($I169&lt;&gt;$I170,$L169-$L170&gt;25),IF(ABS($I169)&gt;10,$I169/POW(10,$J169),$J169/POW(10,$I169))*MAXIFS(Token!$C:$C,Token!$A:$A,$K169)&gt;0.01),$L169/86400+DATE(1970,1,1)+$G$6,)</f>
        <v/>
      </c>
      <c r="B169" s="27" t="str">
        <f t="shared" si="1"/>
        <v/>
      </c>
      <c r="C169" s="14" t="str">
        <f>IF($A169&lt;&gt;"",MINIFS(Merchant!$A:$A,Merchant!$B:$B,$G$2),)</f>
        <v/>
      </c>
      <c r="D169" s="14" t="str">
        <f t="shared" si="2"/>
        <v/>
      </c>
      <c r="E169" s="14" t="str">
        <f t="shared" si="3"/>
        <v/>
      </c>
      <c r="F169" s="7" t="str">
        <f>IF($A169&lt;&gt;"",MAXIFS(Token!$C:$C,Token!$A:$A,$D169),)</f>
        <v/>
      </c>
    </row>
    <row r="170">
      <c r="A170" s="39" t="str">
        <f>IF(AND($L170*1&gt;=$G$3,$L170*1&lt;=$G$4,$I170*$J170&gt;0,OR($I170&lt;&gt;$I171,$L170-$L171&gt;25),IF(ABS($I170)&gt;10,$I170/POW(10,$J170),$J170/POW(10,$I170))*MAXIFS(Token!$C:$C,Token!$A:$A,$K170)&gt;0.01),$L170/86400+DATE(1970,1,1)+$G$6,)</f>
        <v/>
      </c>
      <c r="B170" s="27" t="str">
        <f t="shared" si="1"/>
        <v/>
      </c>
      <c r="C170" s="14" t="str">
        <f>IF($A170&lt;&gt;"",MINIFS(Merchant!$A:$A,Merchant!$B:$B,$G$2),)</f>
        <v/>
      </c>
      <c r="D170" s="14" t="str">
        <f t="shared" si="2"/>
        <v/>
      </c>
      <c r="E170" s="14" t="str">
        <f t="shared" si="3"/>
        <v/>
      </c>
      <c r="F170" s="7" t="str">
        <f>IF($A170&lt;&gt;"",MAXIFS(Token!$C:$C,Token!$A:$A,$D170),)</f>
        <v/>
      </c>
    </row>
    <row r="171">
      <c r="A171" s="39" t="str">
        <f>IF(AND($L171*1&gt;=$G$3,$L171*1&lt;=$G$4,$I171*$J171&gt;0,OR($I171&lt;&gt;$I172,$L171-$L172&gt;25),IF(ABS($I171)&gt;10,$I171/POW(10,$J171),$J171/POW(10,$I171))*MAXIFS(Token!$C:$C,Token!$A:$A,$K171)&gt;0.01),$L171/86400+DATE(1970,1,1)+$G$6,)</f>
        <v/>
      </c>
      <c r="B171" s="27" t="str">
        <f t="shared" si="1"/>
        <v/>
      </c>
      <c r="C171" s="14" t="str">
        <f>IF($A171&lt;&gt;"",MINIFS(Merchant!$A:$A,Merchant!$B:$B,$G$2),)</f>
        <v/>
      </c>
      <c r="D171" s="14" t="str">
        <f t="shared" si="2"/>
        <v/>
      </c>
      <c r="E171" s="14" t="str">
        <f t="shared" si="3"/>
        <v/>
      </c>
      <c r="F171" s="7" t="str">
        <f>IF($A171&lt;&gt;"",MAXIFS(Token!$C:$C,Token!$A:$A,$D171),)</f>
        <v/>
      </c>
    </row>
    <row r="172">
      <c r="A172" s="39" t="str">
        <f>IF(AND($L172*1&gt;=$G$3,$L172*1&lt;=$G$4,$I172*$J172&gt;0,OR($I172&lt;&gt;$I173,$L172-$L173&gt;25),IF(ABS($I172)&gt;10,$I172/POW(10,$J172),$J172/POW(10,$I172))*MAXIFS(Token!$C:$C,Token!$A:$A,$K172)&gt;0.01),$L172/86400+DATE(1970,1,1)+$G$6,)</f>
        <v/>
      </c>
      <c r="B172" s="27" t="str">
        <f t="shared" si="1"/>
        <v/>
      </c>
      <c r="C172" s="14" t="str">
        <f>IF($A172&lt;&gt;"",MINIFS(Merchant!$A:$A,Merchant!$B:$B,$G$2),)</f>
        <v/>
      </c>
      <c r="D172" s="14" t="str">
        <f t="shared" si="2"/>
        <v/>
      </c>
      <c r="E172" s="14" t="str">
        <f t="shared" si="3"/>
        <v/>
      </c>
      <c r="F172" s="7" t="str">
        <f>IF($A172&lt;&gt;"",MAXIFS(Token!$C:$C,Token!$A:$A,$D172),)</f>
        <v/>
      </c>
    </row>
    <row r="173">
      <c r="A173" s="39" t="str">
        <f>IF(AND($L173*1&gt;=$G$3,$L173*1&lt;=$G$4,$I173*$J173&gt;0,OR($I173&lt;&gt;$I174,$L173-$L174&gt;25),IF(ABS($I173)&gt;10,$I173/POW(10,$J173),$J173/POW(10,$I173))*MAXIFS(Token!$C:$C,Token!$A:$A,$K173)&gt;0.01),$L173/86400+DATE(1970,1,1)+$G$6,)</f>
        <v/>
      </c>
      <c r="B173" s="27" t="str">
        <f t="shared" si="1"/>
        <v/>
      </c>
      <c r="C173" s="14" t="str">
        <f>IF($A173&lt;&gt;"",MINIFS(Merchant!$A:$A,Merchant!$B:$B,$G$2),)</f>
        <v/>
      </c>
      <c r="D173" s="14" t="str">
        <f t="shared" si="2"/>
        <v/>
      </c>
      <c r="E173" s="14" t="str">
        <f t="shared" si="3"/>
        <v/>
      </c>
      <c r="F173" s="7" t="str">
        <f>IF($A173&lt;&gt;"",MAXIFS(Token!$C:$C,Token!$A:$A,$D173),)</f>
        <v/>
      </c>
    </row>
    <row r="174">
      <c r="A174" s="39" t="str">
        <f>IF(AND($L174*1&gt;=$G$3,$L174*1&lt;=$G$4,$I174*$J174&gt;0,OR($I174&lt;&gt;$I175,$L174-$L175&gt;25),IF(ABS($I174)&gt;10,$I174/POW(10,$J174),$J174/POW(10,$I174))*MAXIFS(Token!$C:$C,Token!$A:$A,$K174)&gt;0.01),$L174/86400+DATE(1970,1,1)+$G$6,)</f>
        <v/>
      </c>
      <c r="B174" s="27" t="str">
        <f t="shared" si="1"/>
        <v/>
      </c>
      <c r="C174" s="14" t="str">
        <f>IF($A174&lt;&gt;"",MINIFS(Merchant!$A:$A,Merchant!$B:$B,$G$2),)</f>
        <v/>
      </c>
      <c r="D174" s="14" t="str">
        <f t="shared" si="2"/>
        <v/>
      </c>
      <c r="E174" s="14" t="str">
        <f t="shared" si="3"/>
        <v/>
      </c>
      <c r="F174" s="7" t="str">
        <f>IF($A174&lt;&gt;"",MAXIFS(Token!$C:$C,Token!$A:$A,$D174),)</f>
        <v/>
      </c>
    </row>
    <row r="175">
      <c r="A175" s="39" t="str">
        <f>IF(AND($L175*1&gt;=$G$3,$L175*1&lt;=$G$4,$I175*$J175&gt;0,OR($I175&lt;&gt;$I176,$L175-$L176&gt;25),IF(ABS($I175)&gt;10,$I175/POW(10,$J175),$J175/POW(10,$I175))*MAXIFS(Token!$C:$C,Token!$A:$A,$K175)&gt;0.01),$L175/86400+DATE(1970,1,1)+$G$6,)</f>
        <v/>
      </c>
      <c r="B175" s="27" t="str">
        <f t="shared" si="1"/>
        <v/>
      </c>
      <c r="C175" s="14" t="str">
        <f>IF($A175&lt;&gt;"",MINIFS(Merchant!$A:$A,Merchant!$B:$B,$G$2),)</f>
        <v/>
      </c>
      <c r="D175" s="14" t="str">
        <f t="shared" si="2"/>
        <v/>
      </c>
      <c r="E175" s="14" t="str">
        <f t="shared" si="3"/>
        <v/>
      </c>
      <c r="F175" s="7" t="str">
        <f>IF($A175&lt;&gt;"",MAXIFS(Token!$C:$C,Token!$A:$A,$D175),)</f>
        <v/>
      </c>
    </row>
    <row r="176">
      <c r="A176" s="39" t="str">
        <f>IF(AND($L176*1&gt;=$G$3,$L176*1&lt;=$G$4,$I176*$J176&gt;0,OR($I176&lt;&gt;$I177,$L176-$L177&gt;25),IF(ABS($I176)&gt;10,$I176/POW(10,$J176),$J176/POW(10,$I176))*MAXIFS(Token!$C:$C,Token!$A:$A,$K176)&gt;0.01),$L176/86400+DATE(1970,1,1)+$G$6,)</f>
        <v/>
      </c>
      <c r="B176" s="27" t="str">
        <f t="shared" si="1"/>
        <v/>
      </c>
      <c r="C176" s="14" t="str">
        <f>IF($A176&lt;&gt;"",MINIFS(Merchant!$A:$A,Merchant!$B:$B,$G$2),)</f>
        <v/>
      </c>
      <c r="D176" s="14" t="str">
        <f t="shared" si="2"/>
        <v/>
      </c>
      <c r="E176" s="14" t="str">
        <f t="shared" si="3"/>
        <v/>
      </c>
      <c r="F176" s="7" t="str">
        <f>IF($A176&lt;&gt;"",MAXIFS(Token!$C:$C,Token!$A:$A,$D176),)</f>
        <v/>
      </c>
    </row>
    <row r="177">
      <c r="A177" s="39" t="str">
        <f>IF(AND($L177*1&gt;=$G$3,$L177*1&lt;=$G$4,$I177*$J177&gt;0,OR($I177&lt;&gt;$I178,$L177-$L178&gt;25),IF(ABS($I177)&gt;10,$I177/POW(10,$J177),$J177/POW(10,$I177))*MAXIFS(Token!$C:$C,Token!$A:$A,$K177)&gt;0.01),$L177/86400+DATE(1970,1,1)+$G$6,)</f>
        <v/>
      </c>
      <c r="B177" s="27" t="str">
        <f t="shared" si="1"/>
        <v/>
      </c>
      <c r="C177" s="14" t="str">
        <f>IF($A177&lt;&gt;"",MINIFS(Merchant!$A:$A,Merchant!$B:$B,$G$2),)</f>
        <v/>
      </c>
      <c r="D177" s="14" t="str">
        <f t="shared" si="2"/>
        <v/>
      </c>
      <c r="E177" s="14" t="str">
        <f t="shared" si="3"/>
        <v/>
      </c>
      <c r="F177" s="7" t="str">
        <f>IF($A177&lt;&gt;"",MAXIFS(Token!$C:$C,Token!$A:$A,$D177),)</f>
        <v/>
      </c>
    </row>
    <row r="178">
      <c r="A178" s="39" t="str">
        <f>IF(AND($L178*1&gt;=$G$3,$L178*1&lt;=$G$4,$I178*$J178&gt;0,OR($I178&lt;&gt;$I179,$L178-$L179&gt;25),IF(ABS($I178)&gt;10,$I178/POW(10,$J178),$J178/POW(10,$I178))*MAXIFS(Token!$C:$C,Token!$A:$A,$K178)&gt;0.01),$L178/86400+DATE(1970,1,1)+$G$6,)</f>
        <v/>
      </c>
      <c r="B178" s="27" t="str">
        <f t="shared" si="1"/>
        <v/>
      </c>
      <c r="C178" s="14" t="str">
        <f>IF($A178&lt;&gt;"",MINIFS(Merchant!$A:$A,Merchant!$B:$B,$G$2),)</f>
        <v/>
      </c>
      <c r="D178" s="14" t="str">
        <f t="shared" si="2"/>
        <v/>
      </c>
      <c r="E178" s="14" t="str">
        <f t="shared" si="3"/>
        <v/>
      </c>
      <c r="F178" s="7" t="str">
        <f>IF($A178&lt;&gt;"",MAXIFS(Token!$C:$C,Token!$A:$A,$D178),)</f>
        <v/>
      </c>
    </row>
    <row r="179">
      <c r="A179" s="39" t="str">
        <f>IF(AND($L179*1&gt;=$G$3,$L179*1&lt;=$G$4,$I179*$J179&gt;0,OR($I179&lt;&gt;$I180,$L179-$L180&gt;25),IF(ABS($I179)&gt;10,$I179/POW(10,$J179),$J179/POW(10,$I179))*MAXIFS(Token!$C:$C,Token!$A:$A,$K179)&gt;0.01),$L179/86400+DATE(1970,1,1)+$G$6,)</f>
        <v/>
      </c>
      <c r="B179" s="27" t="str">
        <f t="shared" si="1"/>
        <v/>
      </c>
      <c r="C179" s="14" t="str">
        <f>IF($A179&lt;&gt;"",MINIFS(Merchant!$A:$A,Merchant!$B:$B,$G$2),)</f>
        <v/>
      </c>
      <c r="D179" s="14" t="str">
        <f t="shared" si="2"/>
        <v/>
      </c>
      <c r="E179" s="14" t="str">
        <f t="shared" si="3"/>
        <v/>
      </c>
      <c r="F179" s="7" t="str">
        <f>IF($A179&lt;&gt;"",MAXIFS(Token!$C:$C,Token!$A:$A,$D179),)</f>
        <v/>
      </c>
    </row>
    <row r="180">
      <c r="A180" s="39" t="str">
        <f>IF(AND($L180*1&gt;=$G$3,$L180*1&lt;=$G$4,$I180*$J180&gt;0,OR($I180&lt;&gt;$I181,$L180-$L181&gt;25),IF(ABS($I180)&gt;10,$I180/POW(10,$J180),$J180/POW(10,$I180))*MAXIFS(Token!$C:$C,Token!$A:$A,$K180)&gt;0.01),$L180/86400+DATE(1970,1,1)+$G$6,)</f>
        <v/>
      </c>
      <c r="B180" s="27" t="str">
        <f t="shared" si="1"/>
        <v/>
      </c>
      <c r="C180" s="14" t="str">
        <f>IF($A180&lt;&gt;"",MINIFS(Merchant!$A:$A,Merchant!$B:$B,$G$2),)</f>
        <v/>
      </c>
      <c r="D180" s="14" t="str">
        <f t="shared" si="2"/>
        <v/>
      </c>
      <c r="E180" s="14" t="str">
        <f t="shared" si="3"/>
        <v/>
      </c>
      <c r="F180" s="7" t="str">
        <f>IF($A180&lt;&gt;"",MAXIFS(Token!$C:$C,Token!$A:$A,$D180),)</f>
        <v/>
      </c>
    </row>
    <row r="181">
      <c r="A181" s="39" t="str">
        <f>IF(AND($L181*1&gt;=$G$3,$L181*1&lt;=$G$4,$I181*$J181&gt;0,OR($I181&lt;&gt;$I182,$L181-$L182&gt;25),IF(ABS($I181)&gt;10,$I181/POW(10,$J181),$J181/POW(10,$I181))*MAXIFS(Token!$C:$C,Token!$A:$A,$K181)&gt;0.01),$L181/86400+DATE(1970,1,1)+$G$6,)</f>
        <v/>
      </c>
      <c r="B181" s="27" t="str">
        <f t="shared" si="1"/>
        <v/>
      </c>
      <c r="C181" s="14" t="str">
        <f>IF($A181&lt;&gt;"",MINIFS(Merchant!$A:$A,Merchant!$B:$B,$G$2),)</f>
        <v/>
      </c>
      <c r="D181" s="14" t="str">
        <f t="shared" si="2"/>
        <v/>
      </c>
      <c r="E181" s="14" t="str">
        <f t="shared" si="3"/>
        <v/>
      </c>
      <c r="F181" s="7" t="str">
        <f>IF($A181&lt;&gt;"",MAXIFS(Token!$C:$C,Token!$A:$A,$D181),)</f>
        <v/>
      </c>
    </row>
    <row r="182">
      <c r="A182" s="39" t="str">
        <f>IF(AND($L182*1&gt;=$G$3,$L182*1&lt;=$G$4,$I182*$J182&gt;0,OR($I182&lt;&gt;$I183,$L182-$L183&gt;25),IF(ABS($I182)&gt;10,$I182/POW(10,$J182),$J182/POW(10,$I182))*MAXIFS(Token!$C:$C,Token!$A:$A,$K182)&gt;0.01),$L182/86400+DATE(1970,1,1)+$G$6,)</f>
        <v/>
      </c>
      <c r="B182" s="27" t="str">
        <f t="shared" si="1"/>
        <v/>
      </c>
      <c r="C182" s="14" t="str">
        <f>IF($A182&lt;&gt;"",MINIFS(Merchant!$A:$A,Merchant!$B:$B,$G$2),)</f>
        <v/>
      </c>
      <c r="D182" s="14" t="str">
        <f t="shared" si="2"/>
        <v/>
      </c>
      <c r="E182" s="14" t="str">
        <f t="shared" si="3"/>
        <v/>
      </c>
      <c r="F182" s="7" t="str">
        <f>IF($A182&lt;&gt;"",MAXIFS(Token!$C:$C,Token!$A:$A,$D182),)</f>
        <v/>
      </c>
    </row>
    <row r="183">
      <c r="A183" s="39" t="str">
        <f>IF(AND($L183*1&gt;=$G$3,$L183*1&lt;=$G$4,$I183*$J183&gt;0,OR($I183&lt;&gt;$I184,$L183-$L184&gt;25),IF(ABS($I183)&gt;10,$I183/POW(10,$J183),$J183/POW(10,$I183))*MAXIFS(Token!$C:$C,Token!$A:$A,$K183)&gt;0.01),$L183/86400+DATE(1970,1,1)+$G$6,)</f>
        <v/>
      </c>
      <c r="B183" s="27" t="str">
        <f t="shared" si="1"/>
        <v/>
      </c>
      <c r="C183" s="14" t="str">
        <f>IF($A183&lt;&gt;"",MINIFS(Merchant!$A:$A,Merchant!$B:$B,$G$2),)</f>
        <v/>
      </c>
      <c r="D183" s="14" t="str">
        <f t="shared" si="2"/>
        <v/>
      </c>
      <c r="E183" s="14" t="str">
        <f t="shared" si="3"/>
        <v/>
      </c>
      <c r="F183" s="7" t="str">
        <f>IF($A183&lt;&gt;"",MAXIFS(Token!$C:$C,Token!$A:$A,$D183),)</f>
        <v/>
      </c>
    </row>
    <row r="184">
      <c r="A184" s="39" t="str">
        <f>IF(AND($L184*1&gt;=$G$3,$L184*1&lt;=$G$4,$I184*$J184&gt;0,OR($I184&lt;&gt;$I185,$L184-$L185&gt;25),IF(ABS($I184)&gt;10,$I184/POW(10,$J184),$J184/POW(10,$I184))*MAXIFS(Token!$C:$C,Token!$A:$A,$K184)&gt;0.01),$L184/86400+DATE(1970,1,1)+$G$6,)</f>
        <v/>
      </c>
      <c r="B184" s="27" t="str">
        <f t="shared" si="1"/>
        <v/>
      </c>
      <c r="C184" s="14" t="str">
        <f>IF($A184&lt;&gt;"",MINIFS(Merchant!$A:$A,Merchant!$B:$B,$G$2),)</f>
        <v/>
      </c>
      <c r="D184" s="14" t="str">
        <f t="shared" si="2"/>
        <v/>
      </c>
      <c r="E184" s="14" t="str">
        <f t="shared" si="3"/>
        <v/>
      </c>
      <c r="F184" s="7" t="str">
        <f>IF($A184&lt;&gt;"",MAXIFS(Token!$C:$C,Token!$A:$A,$D184),)</f>
        <v/>
      </c>
    </row>
    <row r="185">
      <c r="A185" s="39" t="str">
        <f>IF(AND($L185*1&gt;=$G$3,$L185*1&lt;=$G$4,$I185*$J185&gt;0,OR($I185&lt;&gt;$I186,$L185-$L186&gt;25),IF(ABS($I185)&gt;10,$I185/POW(10,$J185),$J185/POW(10,$I185))*MAXIFS(Token!$C:$C,Token!$A:$A,$K185)&gt;0.01),$L185/86400+DATE(1970,1,1)+$G$6,)</f>
        <v/>
      </c>
      <c r="B185" s="27" t="str">
        <f t="shared" si="1"/>
        <v/>
      </c>
      <c r="C185" s="14" t="str">
        <f>IF($A185&lt;&gt;"",MINIFS(Merchant!$A:$A,Merchant!$B:$B,$G$2),)</f>
        <v/>
      </c>
      <c r="D185" s="14" t="str">
        <f t="shared" si="2"/>
        <v/>
      </c>
      <c r="E185" s="14" t="str">
        <f t="shared" si="3"/>
        <v/>
      </c>
      <c r="F185" s="7" t="str">
        <f>IF($A185&lt;&gt;"",MAXIFS(Token!$C:$C,Token!$A:$A,$D185),)</f>
        <v/>
      </c>
    </row>
    <row r="186">
      <c r="A186" s="39" t="str">
        <f>IF(AND($L186*1&gt;=$G$3,$L186*1&lt;=$G$4,$I186*$J186&gt;0,OR($I186&lt;&gt;$I187,$L186-$L187&gt;25),IF(ABS($I186)&gt;10,$I186/POW(10,$J186),$J186/POW(10,$I186))*MAXIFS(Token!$C:$C,Token!$A:$A,$K186)&gt;0.01),$L186/86400+DATE(1970,1,1)+$G$6,)</f>
        <v/>
      </c>
      <c r="B186" s="27" t="str">
        <f t="shared" si="1"/>
        <v/>
      </c>
      <c r="C186" s="14" t="str">
        <f>IF($A186&lt;&gt;"",MINIFS(Merchant!$A:$A,Merchant!$B:$B,$G$2),)</f>
        <v/>
      </c>
      <c r="D186" s="14" t="str">
        <f t="shared" si="2"/>
        <v/>
      </c>
      <c r="E186" s="14" t="str">
        <f t="shared" si="3"/>
        <v/>
      </c>
      <c r="F186" s="7" t="str">
        <f>IF($A186&lt;&gt;"",MAXIFS(Token!$C:$C,Token!$A:$A,$D186),)</f>
        <v/>
      </c>
    </row>
    <row r="187">
      <c r="A187" s="39" t="str">
        <f>IF(AND($L187*1&gt;=$G$3,$L187*1&lt;=$G$4,$I187*$J187&gt;0,OR($I187&lt;&gt;$I188,$L187-$L188&gt;25),IF(ABS($I187)&gt;10,$I187/POW(10,$J187),$J187/POW(10,$I187))*MAXIFS(Token!$C:$C,Token!$A:$A,$K187)&gt;0.01),$L187/86400+DATE(1970,1,1)+$G$6,)</f>
        <v/>
      </c>
      <c r="B187" s="27" t="str">
        <f t="shared" si="1"/>
        <v/>
      </c>
      <c r="C187" s="14" t="str">
        <f>IF($A187&lt;&gt;"",MINIFS(Merchant!$A:$A,Merchant!$B:$B,$G$2),)</f>
        <v/>
      </c>
      <c r="D187" s="14" t="str">
        <f t="shared" si="2"/>
        <v/>
      </c>
      <c r="E187" s="14" t="str">
        <f t="shared" si="3"/>
        <v/>
      </c>
      <c r="F187" s="7" t="str">
        <f>IF($A187&lt;&gt;"",MAXIFS(Token!$C:$C,Token!$A:$A,$D187),)</f>
        <v/>
      </c>
    </row>
    <row r="188">
      <c r="A188" s="39" t="str">
        <f>IF(AND($L188*1&gt;=$G$3,$L188*1&lt;=$G$4,$I188*$J188&gt;0,OR($I188&lt;&gt;$I189,$L188-$L189&gt;25),IF(ABS($I188)&gt;10,$I188/POW(10,$J188),$J188/POW(10,$I188))*MAXIFS(Token!$C:$C,Token!$A:$A,$K188)&gt;0.01),$L188/86400+DATE(1970,1,1)+$G$6,)</f>
        <v/>
      </c>
      <c r="B188" s="27" t="str">
        <f t="shared" si="1"/>
        <v/>
      </c>
      <c r="C188" s="14" t="str">
        <f>IF($A188&lt;&gt;"",MINIFS(Merchant!$A:$A,Merchant!$B:$B,$G$2),)</f>
        <v/>
      </c>
      <c r="D188" s="14" t="str">
        <f t="shared" si="2"/>
        <v/>
      </c>
      <c r="E188" s="14" t="str">
        <f t="shared" si="3"/>
        <v/>
      </c>
      <c r="F188" s="7" t="str">
        <f>IF($A188&lt;&gt;"",MAXIFS(Token!$C:$C,Token!$A:$A,$D188),)</f>
        <v/>
      </c>
    </row>
    <row r="189">
      <c r="A189" s="39" t="str">
        <f>IF(AND($L189*1&gt;=$G$3,$L189*1&lt;=$G$4,$I189*$J189&gt;0,OR($I189&lt;&gt;$I190,$L189-$L190&gt;25),IF(ABS($I189)&gt;10,$I189/POW(10,$J189),$J189/POW(10,$I189))*MAXIFS(Token!$C:$C,Token!$A:$A,$K189)&gt;0.01),$L189/86400+DATE(1970,1,1)+$G$6,)</f>
        <v/>
      </c>
      <c r="B189" s="27" t="str">
        <f t="shared" si="1"/>
        <v/>
      </c>
      <c r="C189" s="14" t="str">
        <f>IF($A189&lt;&gt;"",MINIFS(Merchant!$A:$A,Merchant!$B:$B,$G$2),)</f>
        <v/>
      </c>
      <c r="D189" s="14" t="str">
        <f t="shared" si="2"/>
        <v/>
      </c>
      <c r="E189" s="14" t="str">
        <f t="shared" si="3"/>
        <v/>
      </c>
      <c r="F189" s="7" t="str">
        <f>IF($A189&lt;&gt;"",MAXIFS(Token!$C:$C,Token!$A:$A,$D189),)</f>
        <v/>
      </c>
    </row>
    <row r="190">
      <c r="A190" s="39" t="str">
        <f>IF(AND($L190*1&gt;=$G$3,$L190*1&lt;=$G$4,$I190*$J190&gt;0,OR($I190&lt;&gt;$I191,$L190-$L191&gt;25),IF(ABS($I190)&gt;10,$I190/POW(10,$J190),$J190/POW(10,$I190))*MAXIFS(Token!$C:$C,Token!$A:$A,$K190)&gt;0.01),$L190/86400+DATE(1970,1,1)+$G$6,)</f>
        <v/>
      </c>
      <c r="B190" s="27" t="str">
        <f t="shared" si="1"/>
        <v/>
      </c>
      <c r="C190" s="14" t="str">
        <f>IF($A190&lt;&gt;"",MINIFS(Merchant!$A:$A,Merchant!$B:$B,$G$2),)</f>
        <v/>
      </c>
      <c r="D190" s="14" t="str">
        <f t="shared" si="2"/>
        <v/>
      </c>
      <c r="E190" s="14" t="str">
        <f t="shared" si="3"/>
        <v/>
      </c>
      <c r="F190" s="7" t="str">
        <f>IF($A190&lt;&gt;"",MAXIFS(Token!$C:$C,Token!$A:$A,$D190),)</f>
        <v/>
      </c>
    </row>
    <row r="191">
      <c r="A191" s="39" t="str">
        <f>IF(AND($L191*1&gt;=$G$3,$L191*1&lt;=$G$4,$I191*$J191&gt;0,OR($I191&lt;&gt;$I192,$L191-$L192&gt;25),IF(ABS($I191)&gt;10,$I191/POW(10,$J191),$J191/POW(10,$I191))*MAXIFS(Token!$C:$C,Token!$A:$A,$K191)&gt;0.01),$L191/86400+DATE(1970,1,1)+$G$6,)</f>
        <v/>
      </c>
      <c r="B191" s="27" t="str">
        <f t="shared" si="1"/>
        <v/>
      </c>
      <c r="C191" s="14" t="str">
        <f>IF($A191&lt;&gt;"",MINIFS(Merchant!$A:$A,Merchant!$B:$B,$G$2),)</f>
        <v/>
      </c>
      <c r="D191" s="14" t="str">
        <f t="shared" si="2"/>
        <v/>
      </c>
      <c r="E191" s="14" t="str">
        <f t="shared" si="3"/>
        <v/>
      </c>
      <c r="F191" s="7" t="str">
        <f>IF($A191&lt;&gt;"",MAXIFS(Token!$C:$C,Token!$A:$A,$D191),)</f>
        <v/>
      </c>
    </row>
    <row r="192">
      <c r="A192" s="39" t="str">
        <f>IF(AND($L192*1&gt;=$G$3,$L192*1&lt;=$G$4,$I192*$J192&gt;0,OR($I192&lt;&gt;$I193,$L192-$L193&gt;25),IF(ABS($I192)&gt;10,$I192/POW(10,$J192),$J192/POW(10,$I192))*MAXIFS(Token!$C:$C,Token!$A:$A,$K192)&gt;0.01),$L192/86400+DATE(1970,1,1)+$G$6,)</f>
        <v/>
      </c>
      <c r="B192" s="27" t="str">
        <f t="shared" si="1"/>
        <v/>
      </c>
      <c r="C192" s="14" t="str">
        <f>IF($A192&lt;&gt;"",MINIFS(Merchant!$A:$A,Merchant!$B:$B,$G$2),)</f>
        <v/>
      </c>
      <c r="D192" s="14" t="str">
        <f t="shared" si="2"/>
        <v/>
      </c>
      <c r="E192" s="14" t="str">
        <f t="shared" si="3"/>
        <v/>
      </c>
      <c r="F192" s="7" t="str">
        <f>IF($A192&lt;&gt;"",MAXIFS(Token!$C:$C,Token!$A:$A,$D192),)</f>
        <v/>
      </c>
    </row>
    <row r="193">
      <c r="A193" s="39" t="str">
        <f>IF(AND($L193*1&gt;=$G$3,$L193*1&lt;=$G$4,$I193*$J193&gt;0,OR($I193&lt;&gt;$I194,$L193-$L194&gt;25),IF(ABS($I193)&gt;10,$I193/POW(10,$J193),$J193/POW(10,$I193))*MAXIFS(Token!$C:$C,Token!$A:$A,$K193)&gt;0.01),$L193/86400+DATE(1970,1,1)+$G$6,)</f>
        <v/>
      </c>
      <c r="B193" s="27" t="str">
        <f t="shared" si="1"/>
        <v/>
      </c>
      <c r="C193" s="14" t="str">
        <f>IF($A193&lt;&gt;"",MINIFS(Merchant!$A:$A,Merchant!$B:$B,$G$2),)</f>
        <v/>
      </c>
      <c r="D193" s="14" t="str">
        <f t="shared" si="2"/>
        <v/>
      </c>
      <c r="E193" s="14" t="str">
        <f t="shared" si="3"/>
        <v/>
      </c>
      <c r="F193" s="7" t="str">
        <f>IF($A193&lt;&gt;"",MAXIFS(Token!$C:$C,Token!$A:$A,$D193),)</f>
        <v/>
      </c>
    </row>
    <row r="194">
      <c r="A194" s="39" t="str">
        <f>IF(AND($L194*1&gt;=$G$3,$L194*1&lt;=$G$4,$I194*$J194&gt;0,OR($I194&lt;&gt;$I195,$L194-$L195&gt;25),IF(ABS($I194)&gt;10,$I194/POW(10,$J194),$J194/POW(10,$I194))*MAXIFS(Token!$C:$C,Token!$A:$A,$K194)&gt;0.01),$L194/86400+DATE(1970,1,1)+$G$6,)</f>
        <v/>
      </c>
      <c r="B194" s="27" t="str">
        <f t="shared" si="1"/>
        <v/>
      </c>
      <c r="C194" s="14" t="str">
        <f>IF($A194&lt;&gt;"",MINIFS(Merchant!$A:$A,Merchant!$B:$B,$G$2),)</f>
        <v/>
      </c>
      <c r="D194" s="14" t="str">
        <f t="shared" si="2"/>
        <v/>
      </c>
      <c r="E194" s="14" t="str">
        <f t="shared" si="3"/>
        <v/>
      </c>
      <c r="F194" s="7" t="str">
        <f>IF($A194&lt;&gt;"",MAXIFS(Token!$C:$C,Token!$A:$A,$D194),)</f>
        <v/>
      </c>
    </row>
    <row r="195">
      <c r="A195" s="39" t="str">
        <f>IF(AND($L195*1&gt;=$G$3,$L195*1&lt;=$G$4,$I195*$J195&gt;0,OR($I195&lt;&gt;$I196,$L195-$L196&gt;25),IF(ABS($I195)&gt;10,$I195/POW(10,$J195),$J195/POW(10,$I195))*MAXIFS(Token!$C:$C,Token!$A:$A,$K195)&gt;0.01),$L195/86400+DATE(1970,1,1)+$G$6,)</f>
        <v/>
      </c>
      <c r="B195" s="27" t="str">
        <f t="shared" si="1"/>
        <v/>
      </c>
      <c r="C195" s="14" t="str">
        <f>IF($A195&lt;&gt;"",MINIFS(Merchant!$A:$A,Merchant!$B:$B,$G$2),)</f>
        <v/>
      </c>
      <c r="D195" s="14" t="str">
        <f t="shared" si="2"/>
        <v/>
      </c>
      <c r="E195" s="14" t="str">
        <f t="shared" si="3"/>
        <v/>
      </c>
      <c r="F195" s="7" t="str">
        <f>IF($A195&lt;&gt;"",MAXIFS(Token!$C:$C,Token!$A:$A,$D195),)</f>
        <v/>
      </c>
    </row>
    <row r="196">
      <c r="A196" s="39" t="str">
        <f>IF(AND($L196*1&gt;=$G$3,$L196*1&lt;=$G$4,$I196*$J196&gt;0,OR($I196&lt;&gt;$I197,$L196-$L197&gt;25),IF(ABS($I196)&gt;10,$I196/POW(10,$J196),$J196/POW(10,$I196))*MAXIFS(Token!$C:$C,Token!$A:$A,$K196)&gt;0.01),$L196/86400+DATE(1970,1,1)+$G$6,)</f>
        <v/>
      </c>
      <c r="B196" s="27" t="str">
        <f t="shared" si="1"/>
        <v/>
      </c>
      <c r="C196" s="14" t="str">
        <f>IF($A196&lt;&gt;"",MINIFS(Merchant!$A:$A,Merchant!$B:$B,$G$2),)</f>
        <v/>
      </c>
      <c r="D196" s="14" t="str">
        <f t="shared" si="2"/>
        <v/>
      </c>
      <c r="E196" s="14" t="str">
        <f t="shared" si="3"/>
        <v/>
      </c>
      <c r="F196" s="7" t="str">
        <f>IF($A196&lt;&gt;"",MAXIFS(Token!$C:$C,Token!$A:$A,$D196),)</f>
        <v/>
      </c>
    </row>
    <row r="197">
      <c r="A197" s="39" t="str">
        <f>IF(AND($L197*1&gt;=$G$3,$L197*1&lt;=$G$4,$I197*$J197&gt;0,OR($I197&lt;&gt;$I198,$L197-$L198&gt;25),IF(ABS($I197)&gt;10,$I197/POW(10,$J197),$J197/POW(10,$I197))*MAXIFS(Token!$C:$C,Token!$A:$A,$K197)&gt;0.01),$L197/86400+DATE(1970,1,1)+$G$6,)</f>
        <v/>
      </c>
      <c r="B197" s="27" t="str">
        <f t="shared" si="1"/>
        <v/>
      </c>
      <c r="C197" s="14" t="str">
        <f>IF($A197&lt;&gt;"",MINIFS(Merchant!$A:$A,Merchant!$B:$B,$G$2),)</f>
        <v/>
      </c>
      <c r="D197" s="14" t="str">
        <f t="shared" si="2"/>
        <v/>
      </c>
      <c r="E197" s="14" t="str">
        <f t="shared" si="3"/>
        <v/>
      </c>
      <c r="F197" s="7" t="str">
        <f>IF($A197&lt;&gt;"",MAXIFS(Token!$C:$C,Token!$A:$A,$D197),)</f>
        <v/>
      </c>
    </row>
    <row r="198">
      <c r="A198" s="39" t="str">
        <f>IF(AND($L198*1&gt;=$G$3,$L198*1&lt;=$G$4,$I198*$J198&gt;0,OR($I198&lt;&gt;$I199,$L198-$L199&gt;25),IF(ABS($I198)&gt;10,$I198/POW(10,$J198),$J198/POW(10,$I198))*MAXIFS(Token!$C:$C,Token!$A:$A,$K198)&gt;0.01),$L198/86400+DATE(1970,1,1)+$G$6,)</f>
        <v/>
      </c>
      <c r="B198" s="27" t="str">
        <f t="shared" si="1"/>
        <v/>
      </c>
      <c r="C198" s="14" t="str">
        <f>IF($A198&lt;&gt;"",MINIFS(Merchant!$A:$A,Merchant!$B:$B,$G$2),)</f>
        <v/>
      </c>
      <c r="D198" s="14" t="str">
        <f t="shared" si="2"/>
        <v/>
      </c>
      <c r="E198" s="14" t="str">
        <f t="shared" si="3"/>
        <v/>
      </c>
      <c r="F198" s="7" t="str">
        <f>IF($A198&lt;&gt;"",MAXIFS(Token!$C:$C,Token!$A:$A,$D198),)</f>
        <v/>
      </c>
    </row>
    <row r="199">
      <c r="A199" s="39" t="str">
        <f>IF(AND($L199*1&gt;=$G$3,$L199*1&lt;=$G$4,$I199*$J199&gt;0,OR($I199&lt;&gt;$I200,$L199-$L200&gt;25),IF(ABS($I199)&gt;10,$I199/POW(10,$J199),$J199/POW(10,$I199))*MAXIFS(Token!$C:$C,Token!$A:$A,$K199)&gt;0.01),$L199/86400+DATE(1970,1,1)+$G$6,)</f>
        <v/>
      </c>
      <c r="B199" s="27" t="str">
        <f t="shared" si="1"/>
        <v/>
      </c>
      <c r="C199" s="14" t="str">
        <f>IF($A199&lt;&gt;"",MINIFS(Merchant!$A:$A,Merchant!$B:$B,$G$2),)</f>
        <v/>
      </c>
      <c r="D199" s="14" t="str">
        <f t="shared" si="2"/>
        <v/>
      </c>
      <c r="E199" s="14" t="str">
        <f t="shared" si="3"/>
        <v/>
      </c>
      <c r="F199" s="7" t="str">
        <f>IF($A199&lt;&gt;"",MAXIFS(Token!$C:$C,Token!$A:$A,$D199),)</f>
        <v/>
      </c>
    </row>
    <row r="200">
      <c r="A200" s="39" t="str">
        <f>IF(AND($L200*1&gt;=$G$3,$L200*1&lt;=$G$4,$I200*$J200&gt;0,OR($I200&lt;&gt;$I201,$L200-$L201&gt;25),IF(ABS($I200)&gt;10,$I200/POW(10,$J200),$J200/POW(10,$I200))*MAXIFS(Token!$C:$C,Token!$A:$A,$K200)&gt;0.01),$L200/86400+DATE(1970,1,1)+$G$6,)</f>
        <v/>
      </c>
      <c r="B200" s="27" t="str">
        <f t="shared" si="1"/>
        <v/>
      </c>
      <c r="C200" s="14" t="str">
        <f>IF($A200&lt;&gt;"",MINIFS(Merchant!$A:$A,Merchant!$B:$B,$G$2),)</f>
        <v/>
      </c>
      <c r="D200" s="14" t="str">
        <f t="shared" si="2"/>
        <v/>
      </c>
      <c r="E200" s="14" t="str">
        <f t="shared" si="3"/>
        <v/>
      </c>
      <c r="F200" s="7" t="str">
        <f>IF($A200&lt;&gt;"",MAXIFS(Token!$C:$C,Token!$A:$A,$D200),)</f>
        <v/>
      </c>
    </row>
    <row r="201">
      <c r="A201" s="39" t="str">
        <f>IF(AND($L201*1&gt;=$G$3,$L201*1&lt;=$G$4,$I201*$J201&gt;0,OR($I201&lt;&gt;$I202,$L201-$L202&gt;25),IF(ABS($I201)&gt;10,$I201/POW(10,$J201),$J201/POW(10,$I201))*MAXIFS(Token!$C:$C,Token!$A:$A,$K201)&gt;0.01),$L201/86400+DATE(1970,1,1)+$G$6,)</f>
        <v/>
      </c>
      <c r="B201" s="27" t="str">
        <f t="shared" si="1"/>
        <v/>
      </c>
      <c r="C201" s="14" t="str">
        <f>IF($A201&lt;&gt;"",MINIFS(Merchant!$A:$A,Merchant!$B:$B,$G$2),)</f>
        <v/>
      </c>
      <c r="D201" s="14" t="str">
        <f t="shared" si="2"/>
        <v/>
      </c>
      <c r="E201" s="14" t="str">
        <f t="shared" si="3"/>
        <v/>
      </c>
      <c r="F201" s="7" t="str">
        <f>IF($A201&lt;&gt;"",MAXIFS(Token!$C:$C,Token!$A:$A,$D201),)</f>
        <v/>
      </c>
    </row>
    <row r="202">
      <c r="A202" s="39" t="str">
        <f>IF(AND($L202*1&gt;=$G$3,$L202*1&lt;=$G$4,$I202*$J202&gt;0,OR($I202&lt;&gt;$I203,$L202-$L203&gt;25),IF(ABS($I202)&gt;10,$I202/POW(10,$J202),$J202/POW(10,$I202))*MAXIFS(Token!$C:$C,Token!$A:$A,$K202)&gt;0.01),$L202/86400+DATE(1970,1,1)+$G$6,)</f>
        <v/>
      </c>
      <c r="B202" s="27" t="str">
        <f t="shared" si="1"/>
        <v/>
      </c>
      <c r="C202" s="14" t="str">
        <f>IF($A202&lt;&gt;"",MINIFS(Merchant!$A:$A,Merchant!$B:$B,$G$2),)</f>
        <v/>
      </c>
      <c r="D202" s="14" t="str">
        <f t="shared" si="2"/>
        <v/>
      </c>
      <c r="E202" s="14" t="str">
        <f t="shared" si="3"/>
        <v/>
      </c>
      <c r="F202" s="7" t="str">
        <f>IF($A202&lt;&gt;"",MAXIFS(Token!$C:$C,Token!$A:$A,$D202),)</f>
        <v/>
      </c>
    </row>
    <row r="203">
      <c r="A203" s="39" t="str">
        <f>IF(AND($L203*1&gt;=$G$3,$L203*1&lt;=$G$4,$I203*$J203&gt;0,OR($I203&lt;&gt;$I204,$L203-$L204&gt;25),IF(ABS($I203)&gt;10,$I203/POW(10,$J203),$J203/POW(10,$I203))*MAXIFS(Token!$C:$C,Token!$A:$A,$K203)&gt;0.01),$L203/86400+DATE(1970,1,1)+$G$6,)</f>
        <v/>
      </c>
      <c r="B203" s="27" t="str">
        <f t="shared" si="1"/>
        <v/>
      </c>
      <c r="C203" s="14" t="str">
        <f>IF($A203&lt;&gt;"",MINIFS(Merchant!$A:$A,Merchant!$B:$B,$G$2),)</f>
        <v/>
      </c>
      <c r="D203" s="14" t="str">
        <f t="shared" si="2"/>
        <v/>
      </c>
      <c r="E203" s="14" t="str">
        <f t="shared" si="3"/>
        <v/>
      </c>
      <c r="F203" s="7" t="str">
        <f>IF($A203&lt;&gt;"",MAXIFS(Token!$C:$C,Token!$A:$A,$D203),)</f>
        <v/>
      </c>
    </row>
    <row r="204">
      <c r="A204" s="39" t="str">
        <f>IF(AND($L204*1&gt;=$G$3,$L204*1&lt;=$G$4,$I204*$J204&gt;0,OR($I204&lt;&gt;$I205,$L204-$L205&gt;25),IF(ABS($I204)&gt;10,$I204/POW(10,$J204),$J204/POW(10,$I204))*MAXIFS(Token!$C:$C,Token!$A:$A,$K204)&gt;0.01),$L204/86400+DATE(1970,1,1)+$G$6,)</f>
        <v/>
      </c>
      <c r="B204" s="27" t="str">
        <f t="shared" si="1"/>
        <v/>
      </c>
      <c r="C204" s="14" t="str">
        <f>IF($A204&lt;&gt;"",MINIFS(Merchant!$A:$A,Merchant!$B:$B,$G$2),)</f>
        <v/>
      </c>
      <c r="D204" s="14" t="str">
        <f t="shared" si="2"/>
        <v/>
      </c>
      <c r="E204" s="14" t="str">
        <f t="shared" si="3"/>
        <v/>
      </c>
      <c r="F204" s="7" t="str">
        <f>IF($A204&lt;&gt;"",MAXIFS(Token!$C:$C,Token!$A:$A,$D204),)</f>
        <v/>
      </c>
    </row>
    <row r="205">
      <c r="A205" s="39" t="str">
        <f>IF(AND($L205*1&gt;=$G$3,$L205*1&lt;=$G$4,$I205*$J205&gt;0,OR($I205&lt;&gt;$I206,$L205-$L206&gt;25),IF(ABS($I205)&gt;10,$I205/POW(10,$J205),$J205/POW(10,$I205))*MAXIFS(Token!$C:$C,Token!$A:$A,$K205)&gt;0.01),$L205/86400+DATE(1970,1,1)+$G$6,)</f>
        <v/>
      </c>
      <c r="B205" s="27" t="str">
        <f t="shared" si="1"/>
        <v/>
      </c>
      <c r="C205" s="14" t="str">
        <f>IF($A205&lt;&gt;"",MINIFS(Merchant!$A:$A,Merchant!$B:$B,$G$2),)</f>
        <v/>
      </c>
      <c r="D205" s="14" t="str">
        <f t="shared" si="2"/>
        <v/>
      </c>
      <c r="E205" s="14" t="str">
        <f t="shared" si="3"/>
        <v/>
      </c>
      <c r="F205" s="7" t="str">
        <f>IF($A205&lt;&gt;"",MAXIFS(Token!$C:$C,Token!$A:$A,$D205),)</f>
        <v/>
      </c>
    </row>
    <row r="206">
      <c r="A206" s="39" t="str">
        <f>IF(AND($L206*1&gt;=$G$3,$L206*1&lt;=$G$4,$I206*$J206&gt;0,OR($I206&lt;&gt;$I207,$L206-$L207&gt;25),IF(ABS($I206)&gt;10,$I206/POW(10,$J206),$J206/POW(10,$I206))*MAXIFS(Token!$C:$C,Token!$A:$A,$K206)&gt;0.01),$L206/86400+DATE(1970,1,1)+$G$6,)</f>
        <v/>
      </c>
      <c r="B206" s="27" t="str">
        <f t="shared" si="1"/>
        <v/>
      </c>
      <c r="C206" s="14" t="str">
        <f>IF($A206&lt;&gt;"",MINIFS(Merchant!$A:$A,Merchant!$B:$B,$G$2),)</f>
        <v/>
      </c>
      <c r="D206" s="14" t="str">
        <f t="shared" si="2"/>
        <v/>
      </c>
      <c r="E206" s="14" t="str">
        <f t="shared" si="3"/>
        <v/>
      </c>
      <c r="F206" s="7" t="str">
        <f>IF($A206&lt;&gt;"",MAXIFS(Token!$C:$C,Token!$A:$A,$D206),)</f>
        <v/>
      </c>
    </row>
    <row r="207">
      <c r="A207" s="39" t="str">
        <f>IF(AND($L207*1&gt;=$G$3,$L207*1&lt;=$G$4,$I207*$J207&gt;0,OR($I207&lt;&gt;$I208,$L207-$L208&gt;25),IF(ABS($I207)&gt;10,$I207/POW(10,$J207),$J207/POW(10,$I207))*MAXIFS(Token!$C:$C,Token!$A:$A,$K207)&gt;0.01),$L207/86400+DATE(1970,1,1)+$G$6,)</f>
        <v/>
      </c>
      <c r="B207" s="27" t="str">
        <f t="shared" si="1"/>
        <v/>
      </c>
      <c r="C207" s="14" t="str">
        <f>IF($A207&lt;&gt;"",MINIFS(Merchant!$A:$A,Merchant!$B:$B,$G$2),)</f>
        <v/>
      </c>
      <c r="D207" s="14" t="str">
        <f t="shared" si="2"/>
        <v/>
      </c>
      <c r="E207" s="14" t="str">
        <f t="shared" si="3"/>
        <v/>
      </c>
      <c r="F207" s="7" t="str">
        <f>IF($A207&lt;&gt;"",MAXIFS(Token!$C:$C,Token!$A:$A,$D207),)</f>
        <v/>
      </c>
    </row>
    <row r="208">
      <c r="A208" s="39" t="str">
        <f>IF(AND($L208*1&gt;=$G$3,$L208*1&lt;=$G$4,$I208*$J208&gt;0,OR($I208&lt;&gt;$I209,$L208-$L209&gt;25),IF(ABS($I208)&gt;10,$I208/POW(10,$J208),$J208/POW(10,$I208))*MAXIFS(Token!$C:$C,Token!$A:$A,$K208)&gt;0.01),$L208/86400+DATE(1970,1,1)+$G$6,)</f>
        <v/>
      </c>
      <c r="B208" s="27" t="str">
        <f t="shared" si="1"/>
        <v/>
      </c>
      <c r="C208" s="14" t="str">
        <f>IF($A208&lt;&gt;"",MINIFS(Merchant!$A:$A,Merchant!$B:$B,$G$2),)</f>
        <v/>
      </c>
      <c r="D208" s="14" t="str">
        <f t="shared" si="2"/>
        <v/>
      </c>
      <c r="E208" s="14" t="str">
        <f t="shared" si="3"/>
        <v/>
      </c>
      <c r="F208" s="7" t="str">
        <f>IF($A208&lt;&gt;"",MAXIFS(Token!$C:$C,Token!$A:$A,$D208),)</f>
        <v/>
      </c>
    </row>
    <row r="209">
      <c r="A209" s="39" t="str">
        <f>IF(AND($L209*1&gt;=$G$3,$L209*1&lt;=$G$4,$I209*$J209&gt;0,OR($I209&lt;&gt;$I210,$L209-$L210&gt;25),IF(ABS($I209)&gt;10,$I209/POW(10,$J209),$J209/POW(10,$I209))*MAXIFS(Token!$C:$C,Token!$A:$A,$K209)&gt;0.01),$L209/86400+DATE(1970,1,1)+$G$6,)</f>
        <v/>
      </c>
      <c r="B209" s="27" t="str">
        <f t="shared" si="1"/>
        <v/>
      </c>
      <c r="C209" s="14" t="str">
        <f>IF($A209&lt;&gt;"",MINIFS(Merchant!$A:$A,Merchant!$B:$B,$G$2),)</f>
        <v/>
      </c>
      <c r="D209" s="14" t="str">
        <f t="shared" si="2"/>
        <v/>
      </c>
      <c r="E209" s="14" t="str">
        <f t="shared" si="3"/>
        <v/>
      </c>
      <c r="F209" s="7" t="str">
        <f>IF($A209&lt;&gt;"",MAXIFS(Token!$C:$C,Token!$A:$A,$D209),)</f>
        <v/>
      </c>
    </row>
    <row r="210">
      <c r="A210" s="39" t="str">
        <f>IF(AND($L210*1&gt;=$G$3,$L210*1&lt;=$G$4,$I210*$J210&gt;0,OR($I210&lt;&gt;$I211,$L210-$L211&gt;25),IF(ABS($I210)&gt;10,$I210/POW(10,$J210),$J210/POW(10,$I210))*MAXIFS(Token!$C:$C,Token!$A:$A,$K210)&gt;0.01),$L210/86400+DATE(1970,1,1)+$G$6,)</f>
        <v/>
      </c>
      <c r="B210" s="27" t="str">
        <f t="shared" si="1"/>
        <v/>
      </c>
      <c r="C210" s="14" t="str">
        <f>IF($A210&lt;&gt;"",MINIFS(Merchant!$A:$A,Merchant!$B:$B,$G$2),)</f>
        <v/>
      </c>
      <c r="D210" s="14" t="str">
        <f t="shared" si="2"/>
        <v/>
      </c>
      <c r="E210" s="14" t="str">
        <f t="shared" si="3"/>
        <v/>
      </c>
      <c r="F210" s="7" t="str">
        <f>IF($A210&lt;&gt;"",MAXIFS(Token!$C:$C,Token!$A:$A,$D210),)</f>
        <v/>
      </c>
    </row>
    <row r="211">
      <c r="A211" s="39" t="str">
        <f>IF(AND($L211*1&gt;=$G$3,$L211*1&lt;=$G$4,$I211*$J211&gt;0,OR($I211&lt;&gt;$I212,$L211-$L212&gt;25),IF(ABS($I211)&gt;10,$I211/POW(10,$J211),$J211/POW(10,$I211))*MAXIFS(Token!$C:$C,Token!$A:$A,$K211)&gt;0.01),$L211/86400+DATE(1970,1,1)+$G$6,)</f>
        <v/>
      </c>
      <c r="B211" s="27" t="str">
        <f t="shared" si="1"/>
        <v/>
      </c>
      <c r="C211" s="14" t="str">
        <f>IF($A211&lt;&gt;"",MINIFS(Merchant!$A:$A,Merchant!$B:$B,$G$2),)</f>
        <v/>
      </c>
      <c r="D211" s="14" t="str">
        <f t="shared" si="2"/>
        <v/>
      </c>
      <c r="E211" s="14" t="str">
        <f t="shared" si="3"/>
        <v/>
      </c>
      <c r="F211" s="7" t="str">
        <f>IF($A211&lt;&gt;"",MAXIFS(Token!$C:$C,Token!$A:$A,$D211),)</f>
        <v/>
      </c>
    </row>
    <row r="212">
      <c r="A212" s="39" t="str">
        <f>IF(AND($L212*1&gt;=$G$3,$L212*1&lt;=$G$4,$I212*$J212&gt;0,OR($I212&lt;&gt;$I213,$L212-$L213&gt;25),IF(ABS($I212)&gt;10,$I212/POW(10,$J212),$J212/POW(10,$I212))*MAXIFS(Token!$C:$C,Token!$A:$A,$K212)&gt;0.01),$L212/86400+DATE(1970,1,1)+$G$6,)</f>
        <v/>
      </c>
      <c r="B212" s="27" t="str">
        <f t="shared" si="1"/>
        <v/>
      </c>
      <c r="C212" s="14" t="str">
        <f>IF($A212&lt;&gt;"",MINIFS(Merchant!$A:$A,Merchant!$B:$B,$G$2),)</f>
        <v/>
      </c>
      <c r="D212" s="14" t="str">
        <f t="shared" si="2"/>
        <v/>
      </c>
      <c r="E212" s="14" t="str">
        <f t="shared" si="3"/>
        <v/>
      </c>
      <c r="F212" s="7" t="str">
        <f>IF($A212&lt;&gt;"",MAXIFS(Token!$C:$C,Token!$A:$A,$D212),)</f>
        <v/>
      </c>
    </row>
    <row r="213">
      <c r="A213" s="39" t="str">
        <f>IF(AND($L213*1&gt;=$G$3,$L213*1&lt;=$G$4,$I213*$J213&gt;0,OR($I213&lt;&gt;$I214,$L213-$L214&gt;25),IF(ABS($I213)&gt;10,$I213/POW(10,$J213),$J213/POW(10,$I213))*MAXIFS(Token!$C:$C,Token!$A:$A,$K213)&gt;0.01),$L213/86400+DATE(1970,1,1)+$G$6,)</f>
        <v/>
      </c>
      <c r="B213" s="27" t="str">
        <f t="shared" si="1"/>
        <v/>
      </c>
      <c r="C213" s="14" t="str">
        <f>IF($A213&lt;&gt;"",MINIFS(Merchant!$A:$A,Merchant!$B:$B,$G$2),)</f>
        <v/>
      </c>
      <c r="D213" s="14" t="str">
        <f t="shared" si="2"/>
        <v/>
      </c>
      <c r="E213" s="14" t="str">
        <f t="shared" si="3"/>
        <v/>
      </c>
      <c r="F213" s="7" t="str">
        <f>IF($A213&lt;&gt;"",MAXIFS(Token!$C:$C,Token!$A:$A,$D213),)</f>
        <v/>
      </c>
    </row>
    <row r="214">
      <c r="A214" s="39" t="str">
        <f>IF(AND($L214*1&gt;=$G$3,$L214*1&lt;=$G$4,$I214*$J214&gt;0,OR($I214&lt;&gt;$I215,$L214-$L215&gt;25),IF(ABS($I214)&gt;10,$I214/POW(10,$J214),$J214/POW(10,$I214))*MAXIFS(Token!$C:$C,Token!$A:$A,$K214)&gt;0.01),$L214/86400+DATE(1970,1,1)+$G$6,)</f>
        <v/>
      </c>
      <c r="B214" s="27" t="str">
        <f t="shared" si="1"/>
        <v/>
      </c>
      <c r="C214" s="14" t="str">
        <f>IF($A214&lt;&gt;"",MINIFS(Merchant!$A:$A,Merchant!$B:$B,$G$2),)</f>
        <v/>
      </c>
      <c r="D214" s="14" t="str">
        <f t="shared" si="2"/>
        <v/>
      </c>
      <c r="E214" s="14" t="str">
        <f t="shared" si="3"/>
        <v/>
      </c>
      <c r="F214" s="7" t="str">
        <f>IF($A214&lt;&gt;"",MAXIFS(Token!$C:$C,Token!$A:$A,$D214),)</f>
        <v/>
      </c>
    </row>
    <row r="215">
      <c r="A215" s="39" t="str">
        <f>IF(AND($L215*1&gt;=$G$3,$L215*1&lt;=$G$4,$I215*$J215&gt;0,OR($I215&lt;&gt;$I216,$L215-$L216&gt;25),IF(ABS($I215)&gt;10,$I215/POW(10,$J215),$J215/POW(10,$I215))*MAXIFS(Token!$C:$C,Token!$A:$A,$K215)&gt;0.01),$L215/86400+DATE(1970,1,1)+$G$6,)</f>
        <v/>
      </c>
      <c r="B215" s="27" t="str">
        <f t="shared" si="1"/>
        <v/>
      </c>
      <c r="C215" s="14" t="str">
        <f>IF($A215&lt;&gt;"",MINIFS(Merchant!$A:$A,Merchant!$B:$B,$G$2),)</f>
        <v/>
      </c>
      <c r="D215" s="14" t="str">
        <f t="shared" si="2"/>
        <v/>
      </c>
      <c r="E215" s="14" t="str">
        <f t="shared" si="3"/>
        <v/>
      </c>
      <c r="F215" s="7" t="str">
        <f>IF($A215&lt;&gt;"",MAXIFS(Token!$C:$C,Token!$A:$A,$D215),)</f>
        <v/>
      </c>
    </row>
    <row r="216">
      <c r="A216" s="39" t="str">
        <f>IF(AND($L216*1&gt;=$G$3,$L216*1&lt;=$G$4,$I216*$J216&gt;0,OR($I216&lt;&gt;$I217,$L216-$L217&gt;25),IF(ABS($I216)&gt;10,$I216/POW(10,$J216),$J216/POW(10,$I216))*MAXIFS(Token!$C:$C,Token!$A:$A,$K216)&gt;0.01),$L216/86400+DATE(1970,1,1)+$G$6,)</f>
        <v/>
      </c>
      <c r="B216" s="27" t="str">
        <f t="shared" si="1"/>
        <v/>
      </c>
      <c r="C216" s="14" t="str">
        <f>IF($A216&lt;&gt;"",MINIFS(Merchant!$A:$A,Merchant!$B:$B,$G$2),)</f>
        <v/>
      </c>
      <c r="D216" s="14" t="str">
        <f t="shared" si="2"/>
        <v/>
      </c>
      <c r="E216" s="14" t="str">
        <f t="shared" si="3"/>
        <v/>
      </c>
      <c r="F216" s="7" t="str">
        <f>IF($A216&lt;&gt;"",MAXIFS(Token!$C:$C,Token!$A:$A,$D216),)</f>
        <v/>
      </c>
    </row>
    <row r="217">
      <c r="A217" s="39" t="str">
        <f>IF(AND($L217*1&gt;=$G$3,$L217*1&lt;=$G$4,$I217*$J217&gt;0,OR($I217&lt;&gt;$I218,$L217-$L218&gt;25),IF(ABS($I217)&gt;10,$I217/POW(10,$J217),$J217/POW(10,$I217))*MAXIFS(Token!$C:$C,Token!$A:$A,$K217)&gt;0.01),$L217/86400+DATE(1970,1,1)+$G$6,)</f>
        <v/>
      </c>
      <c r="B217" s="27" t="str">
        <f t="shared" si="1"/>
        <v/>
      </c>
      <c r="C217" s="14" t="str">
        <f>IF($A217&lt;&gt;"",MINIFS(Merchant!$A:$A,Merchant!$B:$B,$G$2),)</f>
        <v/>
      </c>
      <c r="D217" s="14" t="str">
        <f t="shared" si="2"/>
        <v/>
      </c>
      <c r="E217" s="14" t="str">
        <f t="shared" si="3"/>
        <v/>
      </c>
      <c r="F217" s="7" t="str">
        <f>IF($A217&lt;&gt;"",MAXIFS(Token!$C:$C,Token!$A:$A,$D217),)</f>
        <v/>
      </c>
    </row>
    <row r="218">
      <c r="A218" s="39" t="str">
        <f>IF(AND($L218*1&gt;=$G$3,$L218*1&lt;=$G$4,$I218*$J218&gt;0,OR($I218&lt;&gt;$I219,$L218-$L219&gt;25),IF(ABS($I218)&gt;10,$I218/POW(10,$J218),$J218/POW(10,$I218))*MAXIFS(Token!$C:$C,Token!$A:$A,$K218)&gt;0.01),$L218/86400+DATE(1970,1,1)+$G$6,)</f>
        <v/>
      </c>
      <c r="B218" s="27" t="str">
        <f t="shared" si="1"/>
        <v/>
      </c>
      <c r="C218" s="14" t="str">
        <f>IF($A218&lt;&gt;"",MINIFS(Merchant!$A:$A,Merchant!$B:$B,$G$2),)</f>
        <v/>
      </c>
      <c r="D218" s="14" t="str">
        <f t="shared" si="2"/>
        <v/>
      </c>
      <c r="E218" s="14" t="str">
        <f t="shared" si="3"/>
        <v/>
      </c>
      <c r="F218" s="7" t="str">
        <f>IF($A218&lt;&gt;"",MAXIFS(Token!$C:$C,Token!$A:$A,$D218),)</f>
        <v/>
      </c>
    </row>
    <row r="219">
      <c r="A219" s="39" t="str">
        <f>IF(AND($L219*1&gt;=$G$3,$L219*1&lt;=$G$4,$I219*$J219&gt;0,OR($I219&lt;&gt;$I220,$L219-$L220&gt;25),IF(ABS($I219)&gt;10,$I219/POW(10,$J219),$J219/POW(10,$I219))*MAXIFS(Token!$C:$C,Token!$A:$A,$K219)&gt;0.01),$L219/86400+DATE(1970,1,1)+$G$6,)</f>
        <v/>
      </c>
      <c r="B219" s="27" t="str">
        <f t="shared" si="1"/>
        <v/>
      </c>
      <c r="C219" s="14" t="str">
        <f>IF($A219&lt;&gt;"",MINIFS(Merchant!$A:$A,Merchant!$B:$B,$G$2),)</f>
        <v/>
      </c>
      <c r="D219" s="14" t="str">
        <f t="shared" si="2"/>
        <v/>
      </c>
      <c r="E219" s="14" t="str">
        <f t="shared" si="3"/>
        <v/>
      </c>
      <c r="F219" s="7" t="str">
        <f>IF($A219&lt;&gt;"",MAXIFS(Token!$C:$C,Token!$A:$A,$D219),)</f>
        <v/>
      </c>
    </row>
    <row r="220">
      <c r="A220" s="39" t="str">
        <f>IF(AND($L220*1&gt;=$G$3,$L220*1&lt;=$G$4,$I220*$J220&gt;0,OR($I220&lt;&gt;$I221,$L220-$L221&gt;25),IF(ABS($I220)&gt;10,$I220/POW(10,$J220),$J220/POW(10,$I220))*MAXIFS(Token!$C:$C,Token!$A:$A,$K220)&gt;0.01),$L220/86400+DATE(1970,1,1)+$G$6,)</f>
        <v/>
      </c>
      <c r="B220" s="27" t="str">
        <f t="shared" si="1"/>
        <v/>
      </c>
      <c r="C220" s="14" t="str">
        <f>IF($A220&lt;&gt;"",MINIFS(Merchant!$A:$A,Merchant!$B:$B,$G$2),)</f>
        <v/>
      </c>
      <c r="D220" s="14" t="str">
        <f t="shared" si="2"/>
        <v/>
      </c>
      <c r="E220" s="14" t="str">
        <f t="shared" si="3"/>
        <v/>
      </c>
      <c r="F220" s="7" t="str">
        <f>IF($A220&lt;&gt;"",MAXIFS(Token!$C:$C,Token!$A:$A,$D220),)</f>
        <v/>
      </c>
    </row>
    <row r="221">
      <c r="A221" s="39" t="str">
        <f>IF(AND($L221*1&gt;=$G$3,$L221*1&lt;=$G$4,$I221*$J221&gt;0,OR($I221&lt;&gt;$I222,$L221-$L222&gt;25),IF(ABS($I221)&gt;10,$I221/POW(10,$J221),$J221/POW(10,$I221))*MAXIFS(Token!$C:$C,Token!$A:$A,$K221)&gt;0.01),$L221/86400+DATE(1970,1,1)+$G$6,)</f>
        <v/>
      </c>
      <c r="B221" s="27" t="str">
        <f t="shared" si="1"/>
        <v/>
      </c>
      <c r="C221" s="14" t="str">
        <f>IF($A221&lt;&gt;"",MINIFS(Merchant!$A:$A,Merchant!$B:$B,$G$2),)</f>
        <v/>
      </c>
      <c r="D221" s="14" t="str">
        <f t="shared" si="2"/>
        <v/>
      </c>
      <c r="E221" s="14" t="str">
        <f t="shared" si="3"/>
        <v/>
      </c>
      <c r="F221" s="7" t="str">
        <f>IF($A221&lt;&gt;"",MAXIFS(Token!$C:$C,Token!$A:$A,$D221),)</f>
        <v/>
      </c>
    </row>
    <row r="222">
      <c r="A222" s="39" t="str">
        <f>IF(AND($L222*1&gt;=$G$3,$L222*1&lt;=$G$4,$I222*$J222&gt;0,OR($I222&lt;&gt;$I223,$L222-$L223&gt;25),IF(ABS($I222)&gt;10,$I222/POW(10,$J222),$J222/POW(10,$I222))*MAXIFS(Token!$C:$C,Token!$A:$A,$K222)&gt;0.01),$L222/86400+DATE(1970,1,1)+$G$6,)</f>
        <v/>
      </c>
      <c r="B222" s="27" t="str">
        <f t="shared" si="1"/>
        <v/>
      </c>
      <c r="C222" s="14" t="str">
        <f>IF($A222&lt;&gt;"",MINIFS(Merchant!$A:$A,Merchant!$B:$B,$G$2),)</f>
        <v/>
      </c>
      <c r="D222" s="14" t="str">
        <f t="shared" si="2"/>
        <v/>
      </c>
      <c r="E222" s="14" t="str">
        <f t="shared" si="3"/>
        <v/>
      </c>
      <c r="F222" s="7" t="str">
        <f>IF($A222&lt;&gt;"",MAXIFS(Token!$C:$C,Token!$A:$A,$D222),)</f>
        <v/>
      </c>
    </row>
    <row r="223">
      <c r="A223" s="39" t="str">
        <f>IF(AND($L223*1&gt;=$G$3,$L223*1&lt;=$G$4,$I223*$J223&gt;0,OR($I223&lt;&gt;$I224,$L223-$L224&gt;25),IF(ABS($I223)&gt;10,$I223/POW(10,$J223),$J223/POW(10,$I223))*MAXIFS(Token!$C:$C,Token!$A:$A,$K223)&gt;0.01),$L223/86400+DATE(1970,1,1)+$G$6,)</f>
        <v/>
      </c>
      <c r="B223" s="27" t="str">
        <f t="shared" si="1"/>
        <v/>
      </c>
      <c r="C223" s="14" t="str">
        <f>IF($A223&lt;&gt;"",MINIFS(Merchant!$A:$A,Merchant!$B:$B,$G$2),)</f>
        <v/>
      </c>
      <c r="D223" s="14" t="str">
        <f t="shared" si="2"/>
        <v/>
      </c>
      <c r="E223" s="14" t="str">
        <f t="shared" si="3"/>
        <v/>
      </c>
      <c r="F223" s="7" t="str">
        <f>IF($A223&lt;&gt;"",MAXIFS(Token!$C:$C,Token!$A:$A,$D223),)</f>
        <v/>
      </c>
    </row>
    <row r="224">
      <c r="A224" s="39" t="str">
        <f>IF(AND($L224*1&gt;=$G$3,$L224*1&lt;=$G$4,$I224*$J224&gt;0,OR($I224&lt;&gt;$I225,$L224-$L225&gt;25),IF(ABS($I224)&gt;10,$I224/POW(10,$J224),$J224/POW(10,$I224))*MAXIFS(Token!$C:$C,Token!$A:$A,$K224)&gt;0.01),$L224/86400+DATE(1970,1,1)+$G$6,)</f>
        <v/>
      </c>
      <c r="B224" s="27" t="str">
        <f t="shared" si="1"/>
        <v/>
      </c>
      <c r="C224" s="14" t="str">
        <f>IF($A224&lt;&gt;"",MINIFS(Merchant!$A:$A,Merchant!$B:$B,$G$2),)</f>
        <v/>
      </c>
      <c r="D224" s="14" t="str">
        <f t="shared" si="2"/>
        <v/>
      </c>
      <c r="E224" s="14" t="str">
        <f t="shared" si="3"/>
        <v/>
      </c>
      <c r="F224" s="7" t="str">
        <f>IF($A224&lt;&gt;"",MAXIFS(Token!$C:$C,Token!$A:$A,$D224),)</f>
        <v/>
      </c>
    </row>
    <row r="225">
      <c r="A225" s="39" t="str">
        <f>IF(AND($L225*1&gt;=$G$3,$L225*1&lt;=$G$4,$I225*$J225&gt;0,OR($I225&lt;&gt;$I226,$L225-$L226&gt;25),IF(ABS($I225)&gt;10,$I225/POW(10,$J225),$J225/POW(10,$I225))*MAXIFS(Token!$C:$C,Token!$A:$A,$K225)&gt;0.01),$L225/86400+DATE(1970,1,1)+$G$6,)</f>
        <v/>
      </c>
      <c r="B225" s="27" t="str">
        <f t="shared" si="1"/>
        <v/>
      </c>
      <c r="C225" s="14" t="str">
        <f>IF($A225&lt;&gt;"",MINIFS(Merchant!$A:$A,Merchant!$B:$B,$G$2),)</f>
        <v/>
      </c>
      <c r="D225" s="14" t="str">
        <f t="shared" si="2"/>
        <v/>
      </c>
      <c r="E225" s="14" t="str">
        <f t="shared" si="3"/>
        <v/>
      </c>
      <c r="F225" s="7" t="str">
        <f>IF($A225&lt;&gt;"",MAXIFS(Token!$C:$C,Token!$A:$A,$D225),)</f>
        <v/>
      </c>
    </row>
    <row r="226">
      <c r="A226" s="39" t="str">
        <f>IF(AND($L226*1&gt;=$G$3,$L226*1&lt;=$G$4,$I226*$J226&gt;0,OR($I226&lt;&gt;$I227,$L226-$L227&gt;25),IF(ABS($I226)&gt;10,$I226/POW(10,$J226),$J226/POW(10,$I226))*MAXIFS(Token!$C:$C,Token!$A:$A,$K226)&gt;0.01),$L226/86400+DATE(1970,1,1)+$G$6,)</f>
        <v/>
      </c>
      <c r="B226" s="27" t="str">
        <f t="shared" si="1"/>
        <v/>
      </c>
      <c r="C226" s="14" t="str">
        <f>IF($A226&lt;&gt;"",MINIFS(Merchant!$A:$A,Merchant!$B:$B,$G$2),)</f>
        <v/>
      </c>
      <c r="D226" s="14" t="str">
        <f t="shared" si="2"/>
        <v/>
      </c>
      <c r="E226" s="14" t="str">
        <f t="shared" si="3"/>
        <v/>
      </c>
      <c r="F226" s="7" t="str">
        <f>IF($A226&lt;&gt;"",MAXIFS(Token!$C:$C,Token!$A:$A,$D226),)</f>
        <v/>
      </c>
    </row>
    <row r="227">
      <c r="A227" s="39" t="str">
        <f>IF(AND($L227*1&gt;=$G$3,$L227*1&lt;=$G$4,$I227*$J227&gt;0,OR($I227&lt;&gt;$I228,$L227-$L228&gt;25),IF(ABS($I227)&gt;10,$I227/POW(10,$J227),$J227/POW(10,$I227))*MAXIFS(Token!$C:$C,Token!$A:$A,$K227)&gt;0.01),$L227/86400+DATE(1970,1,1)+$G$6,)</f>
        <v/>
      </c>
      <c r="B227" s="27" t="str">
        <f t="shared" si="1"/>
        <v/>
      </c>
      <c r="C227" s="14" t="str">
        <f>IF($A227&lt;&gt;"",MINIFS(Merchant!$A:$A,Merchant!$B:$B,$G$2),)</f>
        <v/>
      </c>
      <c r="D227" s="14" t="str">
        <f t="shared" si="2"/>
        <v/>
      </c>
      <c r="E227" s="14" t="str">
        <f t="shared" si="3"/>
        <v/>
      </c>
      <c r="F227" s="7" t="str">
        <f>IF($A227&lt;&gt;"",MAXIFS(Token!$C:$C,Token!$A:$A,$D227),)</f>
        <v/>
      </c>
    </row>
    <row r="228">
      <c r="A228" s="39" t="str">
        <f>IF(AND($L228*1&gt;=$G$3,$L228*1&lt;=$G$4,$I228*$J228&gt;0,OR($I228&lt;&gt;$I229,$L228-$L229&gt;25),IF(ABS($I228)&gt;10,$I228/POW(10,$J228),$J228/POW(10,$I228))*MAXIFS(Token!$C:$C,Token!$A:$A,$K228)&gt;0.01),$L228/86400+DATE(1970,1,1)+$G$6,)</f>
        <v/>
      </c>
      <c r="B228" s="27" t="str">
        <f t="shared" si="1"/>
        <v/>
      </c>
      <c r="C228" s="14" t="str">
        <f>IF($A228&lt;&gt;"",MINIFS(Merchant!$A:$A,Merchant!$B:$B,$G$2),)</f>
        <v/>
      </c>
      <c r="D228" s="14" t="str">
        <f t="shared" si="2"/>
        <v/>
      </c>
      <c r="E228" s="14" t="str">
        <f t="shared" si="3"/>
        <v/>
      </c>
      <c r="F228" s="7" t="str">
        <f>IF($A228&lt;&gt;"",MAXIFS(Token!$C:$C,Token!$A:$A,$D228),)</f>
        <v/>
      </c>
    </row>
    <row r="229">
      <c r="A229" s="39" t="str">
        <f>IF(AND($L229*1&gt;=$G$3,$L229*1&lt;=$G$4,$I229*$J229&gt;0,OR($I229&lt;&gt;$I230,$L229-$L230&gt;25),IF(ABS($I229)&gt;10,$I229/POW(10,$J229),$J229/POW(10,$I229))*MAXIFS(Token!$C:$C,Token!$A:$A,$K229)&gt;0.01),$L229/86400+DATE(1970,1,1)+$G$6,)</f>
        <v/>
      </c>
      <c r="B229" s="27" t="str">
        <f t="shared" si="1"/>
        <v/>
      </c>
      <c r="C229" s="14" t="str">
        <f>IF($A229&lt;&gt;"",MINIFS(Merchant!$A:$A,Merchant!$B:$B,$G$2),)</f>
        <v/>
      </c>
      <c r="D229" s="14" t="str">
        <f t="shared" si="2"/>
        <v/>
      </c>
      <c r="E229" s="14" t="str">
        <f t="shared" si="3"/>
        <v/>
      </c>
      <c r="F229" s="7" t="str">
        <f>IF($A229&lt;&gt;"",MAXIFS(Token!$C:$C,Token!$A:$A,$D229),)</f>
        <v/>
      </c>
    </row>
    <row r="230">
      <c r="A230" s="39" t="str">
        <f>IF(AND($L230*1&gt;=$G$3,$L230*1&lt;=$G$4,$I230*$J230&gt;0,OR($I230&lt;&gt;$I231,$L230-$L231&gt;25),IF(ABS($I230)&gt;10,$I230/POW(10,$J230),$J230/POW(10,$I230))*MAXIFS(Token!$C:$C,Token!$A:$A,$K230)&gt;0.01),$L230/86400+DATE(1970,1,1)+$G$6,)</f>
        <v/>
      </c>
      <c r="B230" s="27" t="str">
        <f t="shared" si="1"/>
        <v/>
      </c>
      <c r="C230" s="14" t="str">
        <f>IF($A230&lt;&gt;"",MINIFS(Merchant!$A:$A,Merchant!$B:$B,$G$2),)</f>
        <v/>
      </c>
      <c r="D230" s="14" t="str">
        <f t="shared" si="2"/>
        <v/>
      </c>
      <c r="E230" s="14" t="str">
        <f t="shared" si="3"/>
        <v/>
      </c>
      <c r="F230" s="7" t="str">
        <f>IF($A230&lt;&gt;"",MAXIFS(Token!$C:$C,Token!$A:$A,$D230),)</f>
        <v/>
      </c>
    </row>
    <row r="231">
      <c r="A231" s="39" t="str">
        <f>IF(AND($L231*1&gt;=$G$3,$L231*1&lt;=$G$4,$I231*$J231&gt;0,OR($I231&lt;&gt;$I232,$L231-$L232&gt;25),IF(ABS($I231)&gt;10,$I231/POW(10,$J231),$J231/POW(10,$I231))*MAXIFS(Token!$C:$C,Token!$A:$A,$K231)&gt;0.01),$L231/86400+DATE(1970,1,1)+$G$6,)</f>
        <v/>
      </c>
      <c r="B231" s="27" t="str">
        <f t="shared" si="1"/>
        <v/>
      </c>
      <c r="C231" s="14" t="str">
        <f>IF($A231&lt;&gt;"",MINIFS(Merchant!$A:$A,Merchant!$B:$B,$G$2),)</f>
        <v/>
      </c>
      <c r="D231" s="14" t="str">
        <f t="shared" si="2"/>
        <v/>
      </c>
      <c r="E231" s="14" t="str">
        <f t="shared" si="3"/>
        <v/>
      </c>
      <c r="F231" s="7" t="str">
        <f>IF($A231&lt;&gt;"",MAXIFS(Token!$C:$C,Token!$A:$A,$D231),)</f>
        <v/>
      </c>
    </row>
    <row r="232">
      <c r="A232" s="39" t="str">
        <f>IF(AND($L232*1&gt;=$G$3,$L232*1&lt;=$G$4,$I232*$J232&gt;0,OR($I232&lt;&gt;$I233,$L232-$L233&gt;25),IF(ABS($I232)&gt;10,$I232/POW(10,$J232),$J232/POW(10,$I232))*MAXIFS(Token!$C:$C,Token!$A:$A,$K232)&gt;0.01),$L232/86400+DATE(1970,1,1)+$G$6,)</f>
        <v/>
      </c>
      <c r="B232" s="27" t="str">
        <f t="shared" si="1"/>
        <v/>
      </c>
      <c r="C232" s="14" t="str">
        <f>IF($A232&lt;&gt;"",MINIFS(Merchant!$A:$A,Merchant!$B:$B,$G$2),)</f>
        <v/>
      </c>
      <c r="D232" s="14" t="str">
        <f t="shared" si="2"/>
        <v/>
      </c>
      <c r="E232" s="14" t="str">
        <f t="shared" si="3"/>
        <v/>
      </c>
      <c r="F232" s="7" t="str">
        <f>IF($A232&lt;&gt;"",MAXIFS(Token!$C:$C,Token!$A:$A,$D232),)</f>
        <v/>
      </c>
    </row>
    <row r="233">
      <c r="A233" s="39" t="str">
        <f>IF(AND($L233*1&gt;=$G$3,$L233*1&lt;=$G$4,$I233*$J233&gt;0,OR($I233&lt;&gt;$I234,$L233-$L234&gt;25),IF(ABS($I233)&gt;10,$I233/POW(10,$J233),$J233/POW(10,$I233))*MAXIFS(Token!$C:$C,Token!$A:$A,$K233)&gt;0.01),$L233/86400+DATE(1970,1,1)+$G$6,)</f>
        <v/>
      </c>
      <c r="B233" s="27" t="str">
        <f t="shared" si="1"/>
        <v/>
      </c>
      <c r="C233" s="14" t="str">
        <f>IF($A233&lt;&gt;"",MINIFS(Merchant!$A:$A,Merchant!$B:$B,$G$2),)</f>
        <v/>
      </c>
      <c r="D233" s="14" t="str">
        <f t="shared" si="2"/>
        <v/>
      </c>
      <c r="E233" s="14" t="str">
        <f t="shared" si="3"/>
        <v/>
      </c>
      <c r="F233" s="7" t="str">
        <f>IF($A233&lt;&gt;"",MAXIFS(Token!$C:$C,Token!$A:$A,$D233),)</f>
        <v/>
      </c>
    </row>
    <row r="234">
      <c r="A234" s="39" t="str">
        <f>IF(AND($L234*1&gt;=$G$3,$L234*1&lt;=$G$4,$I234*$J234&gt;0,OR($I234&lt;&gt;$I235,$L234-$L235&gt;25),IF(ABS($I234)&gt;10,$I234/POW(10,$J234),$J234/POW(10,$I234))*MAXIFS(Token!$C:$C,Token!$A:$A,$K234)&gt;0.01),$L234/86400+DATE(1970,1,1)+$G$6,)</f>
        <v/>
      </c>
      <c r="B234" s="27" t="str">
        <f t="shared" si="1"/>
        <v/>
      </c>
      <c r="C234" s="14" t="str">
        <f>IF($A234&lt;&gt;"",MINIFS(Merchant!$A:$A,Merchant!$B:$B,$G$2),)</f>
        <v/>
      </c>
      <c r="D234" s="14" t="str">
        <f t="shared" si="2"/>
        <v/>
      </c>
      <c r="E234" s="14" t="str">
        <f t="shared" si="3"/>
        <v/>
      </c>
      <c r="F234" s="7" t="str">
        <f>IF($A234&lt;&gt;"",MAXIFS(Token!$C:$C,Token!$A:$A,$D234),)</f>
        <v/>
      </c>
    </row>
    <row r="235">
      <c r="A235" s="39" t="str">
        <f>IF(AND($L235*1&gt;=$G$3,$L235*1&lt;=$G$4,$I235*$J235&gt;0,OR($I235&lt;&gt;$I236,$L235-$L236&gt;25),IF(ABS($I235)&gt;10,$I235/POW(10,$J235),$J235/POW(10,$I235))*MAXIFS(Token!$C:$C,Token!$A:$A,$K235)&gt;0.01),$L235/86400+DATE(1970,1,1)+$G$6,)</f>
        <v/>
      </c>
      <c r="B235" s="27" t="str">
        <f t="shared" si="1"/>
        <v/>
      </c>
      <c r="C235" s="14" t="str">
        <f>IF($A235&lt;&gt;"",MINIFS(Merchant!$A:$A,Merchant!$B:$B,$G$2),)</f>
        <v/>
      </c>
      <c r="D235" s="14" t="str">
        <f t="shared" si="2"/>
        <v/>
      </c>
      <c r="E235" s="14" t="str">
        <f t="shared" si="3"/>
        <v/>
      </c>
      <c r="F235" s="7" t="str">
        <f>IF($A235&lt;&gt;"",MAXIFS(Token!$C:$C,Token!$A:$A,$D235),)</f>
        <v/>
      </c>
    </row>
    <row r="236">
      <c r="A236" s="39" t="str">
        <f>IF(AND($L236*1&gt;=$G$3,$L236*1&lt;=$G$4,$I236*$J236&gt;0,OR($I236&lt;&gt;$I237,$L236-$L237&gt;25),IF(ABS($I236)&gt;10,$I236/POW(10,$J236),$J236/POW(10,$I236))*MAXIFS(Token!$C:$C,Token!$A:$A,$K236)&gt;0.01),$L236/86400+DATE(1970,1,1)+$G$6,)</f>
        <v/>
      </c>
      <c r="B236" s="27" t="str">
        <f t="shared" si="1"/>
        <v/>
      </c>
      <c r="C236" s="14" t="str">
        <f>IF($A236&lt;&gt;"",MINIFS(Merchant!$A:$A,Merchant!$B:$B,$G$2),)</f>
        <v/>
      </c>
      <c r="D236" s="14" t="str">
        <f t="shared" si="2"/>
        <v/>
      </c>
      <c r="E236" s="14" t="str">
        <f t="shared" si="3"/>
        <v/>
      </c>
      <c r="F236" s="7" t="str">
        <f>IF($A236&lt;&gt;"",MAXIFS(Token!$C:$C,Token!$A:$A,$D236),)</f>
        <v/>
      </c>
    </row>
    <row r="237">
      <c r="A237" s="39" t="str">
        <f>IF(AND($L237*1&gt;=$G$3,$L237*1&lt;=$G$4,$I237*$J237&gt;0,OR($I237&lt;&gt;$I238,$L237-$L238&gt;25),IF(ABS($I237)&gt;10,$I237/POW(10,$J237),$J237/POW(10,$I237))*MAXIFS(Token!$C:$C,Token!$A:$A,$K237)&gt;0.01),$L237/86400+DATE(1970,1,1)+$G$6,)</f>
        <v/>
      </c>
      <c r="B237" s="27" t="str">
        <f t="shared" si="1"/>
        <v/>
      </c>
      <c r="C237" s="14" t="str">
        <f>IF($A237&lt;&gt;"",MINIFS(Merchant!$A:$A,Merchant!$B:$B,$G$2),)</f>
        <v/>
      </c>
      <c r="D237" s="14" t="str">
        <f t="shared" si="2"/>
        <v/>
      </c>
      <c r="E237" s="14" t="str">
        <f t="shared" si="3"/>
        <v/>
      </c>
      <c r="F237" s="7" t="str">
        <f>IF($A237&lt;&gt;"",MAXIFS(Token!$C:$C,Token!$A:$A,$D237),)</f>
        <v/>
      </c>
    </row>
    <row r="238">
      <c r="A238" s="39" t="str">
        <f>IF(AND($L238*1&gt;=$G$3,$L238*1&lt;=$G$4,$I238*$J238&gt;0,OR($I238&lt;&gt;$I239,$L238-$L239&gt;25),IF(ABS($I238)&gt;10,$I238/POW(10,$J238),$J238/POW(10,$I238))*MAXIFS(Token!$C:$C,Token!$A:$A,$K238)&gt;0.01),$L238/86400+DATE(1970,1,1)+$G$6,)</f>
        <v/>
      </c>
      <c r="B238" s="27" t="str">
        <f t="shared" si="1"/>
        <v/>
      </c>
      <c r="C238" s="14" t="str">
        <f>IF($A238&lt;&gt;"",MINIFS(Merchant!$A:$A,Merchant!$B:$B,$G$2),)</f>
        <v/>
      </c>
      <c r="D238" s="14" t="str">
        <f t="shared" si="2"/>
        <v/>
      </c>
      <c r="E238" s="14" t="str">
        <f t="shared" si="3"/>
        <v/>
      </c>
      <c r="F238" s="7" t="str">
        <f>IF($A238&lt;&gt;"",MAXIFS(Token!$C:$C,Token!$A:$A,$D238),)</f>
        <v/>
      </c>
    </row>
    <row r="239">
      <c r="A239" s="39" t="str">
        <f>IF(AND($L239*1&gt;=$G$3,$L239*1&lt;=$G$4,$I239*$J239&gt;0,OR($I239&lt;&gt;$I240,$L239-$L240&gt;25),IF(ABS($I239)&gt;10,$I239/POW(10,$J239),$J239/POW(10,$I239))*MAXIFS(Token!$C:$C,Token!$A:$A,$K239)&gt;0.01),$L239/86400+DATE(1970,1,1)+$G$6,)</f>
        <v/>
      </c>
      <c r="B239" s="27" t="str">
        <f t="shared" si="1"/>
        <v/>
      </c>
      <c r="C239" s="14" t="str">
        <f>IF($A239&lt;&gt;"",MINIFS(Merchant!$A:$A,Merchant!$B:$B,$G$2),)</f>
        <v/>
      </c>
      <c r="D239" s="14" t="str">
        <f t="shared" si="2"/>
        <v/>
      </c>
      <c r="E239" s="14" t="str">
        <f t="shared" si="3"/>
        <v/>
      </c>
      <c r="F239" s="7" t="str">
        <f>IF($A239&lt;&gt;"",MAXIFS(Token!$C:$C,Token!$A:$A,$D239),)</f>
        <v/>
      </c>
    </row>
    <row r="240">
      <c r="A240" s="39" t="str">
        <f>IF(AND($L240*1&gt;=$G$3,$L240*1&lt;=$G$4,$I240*$J240&gt;0,OR($I240&lt;&gt;$I241,$L240-$L241&gt;25),IF(ABS($I240)&gt;10,$I240/POW(10,$J240),$J240/POW(10,$I240))*MAXIFS(Token!$C:$C,Token!$A:$A,$K240)&gt;0.01),$L240/86400+DATE(1970,1,1)+$G$6,)</f>
        <v/>
      </c>
      <c r="B240" s="27" t="str">
        <f t="shared" si="1"/>
        <v/>
      </c>
      <c r="C240" s="14" t="str">
        <f>IF($A240&lt;&gt;"",MINIFS(Merchant!$A:$A,Merchant!$B:$B,$G$2),)</f>
        <v/>
      </c>
      <c r="D240" s="14" t="str">
        <f t="shared" si="2"/>
        <v/>
      </c>
      <c r="E240" s="14" t="str">
        <f t="shared" si="3"/>
        <v/>
      </c>
      <c r="F240" s="7" t="str">
        <f>IF($A240&lt;&gt;"",MAXIFS(Token!$C:$C,Token!$A:$A,$D240),)</f>
        <v/>
      </c>
    </row>
    <row r="241">
      <c r="A241" s="39" t="str">
        <f>IF(AND($L241*1&gt;=$G$3,$L241*1&lt;=$G$4,$I241*$J241&gt;0,OR($I241&lt;&gt;$I242,$L241-$L242&gt;25),IF(ABS($I241)&gt;10,$I241/POW(10,$J241),$J241/POW(10,$I241))*MAXIFS(Token!$C:$C,Token!$A:$A,$K241)&gt;0.01),$L241/86400+DATE(1970,1,1)+$G$6,)</f>
        <v/>
      </c>
      <c r="B241" s="27" t="str">
        <f t="shared" si="1"/>
        <v/>
      </c>
      <c r="C241" s="14" t="str">
        <f>IF($A241&lt;&gt;"",MINIFS(Merchant!$A:$A,Merchant!$B:$B,$G$2),)</f>
        <v/>
      </c>
      <c r="D241" s="14" t="str">
        <f t="shared" si="2"/>
        <v/>
      </c>
      <c r="E241" s="14" t="str">
        <f t="shared" si="3"/>
        <v/>
      </c>
      <c r="F241" s="7" t="str">
        <f>IF($A241&lt;&gt;"",MAXIFS(Token!$C:$C,Token!$A:$A,$D241),)</f>
        <v/>
      </c>
    </row>
    <row r="242">
      <c r="A242" s="39" t="str">
        <f>IF(AND($L242*1&gt;=$G$3,$L242*1&lt;=$G$4,$I242*$J242&gt;0,OR($I242&lt;&gt;$I243,$L242-$L243&gt;25),IF(ABS($I242)&gt;10,$I242/POW(10,$J242),$J242/POW(10,$I242))*MAXIFS(Token!$C:$C,Token!$A:$A,$K242)&gt;0.01),$L242/86400+DATE(1970,1,1)+$G$6,)</f>
        <v/>
      </c>
      <c r="B242" s="27" t="str">
        <f t="shared" si="1"/>
        <v/>
      </c>
      <c r="C242" s="14" t="str">
        <f>IF($A242&lt;&gt;"",MINIFS(Merchant!$A:$A,Merchant!$B:$B,$G$2),)</f>
        <v/>
      </c>
      <c r="D242" s="14" t="str">
        <f t="shared" si="2"/>
        <v/>
      </c>
      <c r="E242" s="14" t="str">
        <f t="shared" si="3"/>
        <v/>
      </c>
      <c r="F242" s="7" t="str">
        <f>IF($A242&lt;&gt;"",MAXIFS(Token!$C:$C,Token!$A:$A,$D242),)</f>
        <v/>
      </c>
    </row>
    <row r="243">
      <c r="A243" s="39" t="str">
        <f>IF(AND($L243*1&gt;=$G$3,$L243*1&lt;=$G$4,$I243*$J243&gt;0,OR($I243&lt;&gt;$I244,$L243-$L244&gt;25),IF(ABS($I243)&gt;10,$I243/POW(10,$J243),$J243/POW(10,$I243))*MAXIFS(Token!$C:$C,Token!$A:$A,$K243)&gt;0.01),$L243/86400+DATE(1970,1,1)+$G$6,)</f>
        <v/>
      </c>
      <c r="B243" s="27" t="str">
        <f t="shared" si="1"/>
        <v/>
      </c>
      <c r="C243" s="14" t="str">
        <f>IF($A243&lt;&gt;"",MINIFS(Merchant!$A:$A,Merchant!$B:$B,$G$2),)</f>
        <v/>
      </c>
      <c r="D243" s="14" t="str">
        <f t="shared" si="2"/>
        <v/>
      </c>
      <c r="E243" s="14" t="str">
        <f t="shared" si="3"/>
        <v/>
      </c>
      <c r="F243" s="7" t="str">
        <f>IF($A243&lt;&gt;"",MAXIFS(Token!$C:$C,Token!$A:$A,$D243),)</f>
        <v/>
      </c>
    </row>
    <row r="244">
      <c r="A244" s="39" t="str">
        <f>IF(AND($L244*1&gt;=$G$3,$L244*1&lt;=$G$4,$I244*$J244&gt;0,OR($I244&lt;&gt;$I245,$L244-$L245&gt;25),IF(ABS($I244)&gt;10,$I244/POW(10,$J244),$J244/POW(10,$I244))*MAXIFS(Token!$C:$C,Token!$A:$A,$K244)&gt;0.01),$L244/86400+DATE(1970,1,1)+$G$6,)</f>
        <v/>
      </c>
      <c r="B244" s="27" t="str">
        <f t="shared" si="1"/>
        <v/>
      </c>
      <c r="C244" s="14" t="str">
        <f>IF($A244&lt;&gt;"",MINIFS(Merchant!$A:$A,Merchant!$B:$B,$G$2),)</f>
        <v/>
      </c>
      <c r="D244" s="14" t="str">
        <f t="shared" si="2"/>
        <v/>
      </c>
      <c r="E244" s="14" t="str">
        <f t="shared" si="3"/>
        <v/>
      </c>
      <c r="F244" s="7" t="str">
        <f>IF($A244&lt;&gt;"",MAXIFS(Token!$C:$C,Token!$A:$A,$D244),)</f>
        <v/>
      </c>
    </row>
    <row r="245">
      <c r="A245" s="39" t="str">
        <f>IF(AND($L245*1&gt;=$G$3,$L245*1&lt;=$G$4,$I245*$J245&gt;0,OR($I245&lt;&gt;$I246,$L245-$L246&gt;25),IF(ABS($I245)&gt;10,$I245/POW(10,$J245),$J245/POW(10,$I245))*MAXIFS(Token!$C:$C,Token!$A:$A,$K245)&gt;0.01),$L245/86400+DATE(1970,1,1)+$G$6,)</f>
        <v/>
      </c>
      <c r="B245" s="27" t="str">
        <f t="shared" si="1"/>
        <v/>
      </c>
      <c r="C245" s="14" t="str">
        <f>IF($A245&lt;&gt;"",MINIFS(Merchant!$A:$A,Merchant!$B:$B,$G$2),)</f>
        <v/>
      </c>
      <c r="D245" s="14" t="str">
        <f t="shared" si="2"/>
        <v/>
      </c>
      <c r="E245" s="14" t="str">
        <f t="shared" si="3"/>
        <v/>
      </c>
      <c r="F245" s="7" t="str">
        <f>IF($A245&lt;&gt;"",MAXIFS(Token!$C:$C,Token!$A:$A,$D245),)</f>
        <v/>
      </c>
    </row>
    <row r="246">
      <c r="A246" s="39" t="str">
        <f>IF(AND($L246*1&gt;=$G$3,$L246*1&lt;=$G$4,$I246*$J246&gt;0,OR($I246&lt;&gt;$I247,$L246-$L247&gt;25),IF(ABS($I246)&gt;10,$I246/POW(10,$J246),$J246/POW(10,$I246))*MAXIFS(Token!$C:$C,Token!$A:$A,$K246)&gt;0.01),$L246/86400+DATE(1970,1,1)+$G$6,)</f>
        <v/>
      </c>
      <c r="B246" s="27" t="str">
        <f t="shared" si="1"/>
        <v/>
      </c>
      <c r="C246" s="14" t="str">
        <f>IF($A246&lt;&gt;"",MINIFS(Merchant!$A:$A,Merchant!$B:$B,$G$2),)</f>
        <v/>
      </c>
      <c r="D246" s="14" t="str">
        <f t="shared" si="2"/>
        <v/>
      </c>
      <c r="E246" s="14" t="str">
        <f t="shared" si="3"/>
        <v/>
      </c>
      <c r="F246" s="7" t="str">
        <f>IF($A246&lt;&gt;"",MAXIFS(Token!$C:$C,Token!$A:$A,$D246),)</f>
        <v/>
      </c>
    </row>
    <row r="247">
      <c r="A247" s="39" t="str">
        <f>IF(AND($L247*1&gt;=$G$3,$L247*1&lt;=$G$4,$I247*$J247&gt;0,OR($I247&lt;&gt;$I248,$L247-$L248&gt;25),IF(ABS($I247)&gt;10,$I247/POW(10,$J247),$J247/POW(10,$I247))*MAXIFS(Token!$C:$C,Token!$A:$A,$K247)&gt;0.01),$L247/86400+DATE(1970,1,1)+$G$6,)</f>
        <v/>
      </c>
      <c r="B247" s="27" t="str">
        <f t="shared" si="1"/>
        <v/>
      </c>
      <c r="C247" s="14" t="str">
        <f>IF($A247&lt;&gt;"",MINIFS(Merchant!$A:$A,Merchant!$B:$B,$G$2),)</f>
        <v/>
      </c>
      <c r="D247" s="14" t="str">
        <f t="shared" si="2"/>
        <v/>
      </c>
      <c r="E247" s="14" t="str">
        <f t="shared" si="3"/>
        <v/>
      </c>
      <c r="F247" s="7" t="str">
        <f>IF($A247&lt;&gt;"",MAXIFS(Token!$C:$C,Token!$A:$A,$D247),)</f>
        <v/>
      </c>
    </row>
    <row r="248">
      <c r="A248" s="39" t="str">
        <f>IF(AND($L248*1&gt;=$G$3,$L248*1&lt;=$G$4,$I248*$J248&gt;0,OR($I248&lt;&gt;$I249,$L248-$L249&gt;25),IF(ABS($I248)&gt;10,$I248/POW(10,$J248),$J248/POW(10,$I248))*MAXIFS(Token!$C:$C,Token!$A:$A,$K248)&gt;0.01),$L248/86400+DATE(1970,1,1)+$G$6,)</f>
        <v/>
      </c>
      <c r="B248" s="27" t="str">
        <f t="shared" si="1"/>
        <v/>
      </c>
      <c r="C248" s="14" t="str">
        <f>IF($A248&lt;&gt;"",MINIFS(Merchant!$A:$A,Merchant!$B:$B,$G$2),)</f>
        <v/>
      </c>
      <c r="D248" s="14" t="str">
        <f t="shared" si="2"/>
        <v/>
      </c>
      <c r="E248" s="14" t="str">
        <f t="shared" si="3"/>
        <v/>
      </c>
      <c r="F248" s="7" t="str">
        <f>IF($A248&lt;&gt;"",MAXIFS(Token!$C:$C,Token!$A:$A,$D248),)</f>
        <v/>
      </c>
    </row>
    <row r="249">
      <c r="A249" s="39" t="str">
        <f>IF(AND($L249*1&gt;=$G$3,$L249*1&lt;=$G$4,$I249*$J249&gt;0,OR($I249&lt;&gt;$I250,$L249-$L250&gt;25),IF(ABS($I249)&gt;10,$I249/POW(10,$J249),$J249/POW(10,$I249))*MAXIFS(Token!$C:$C,Token!$A:$A,$K249)&gt;0.01),$L249/86400+DATE(1970,1,1)+$G$6,)</f>
        <v/>
      </c>
      <c r="B249" s="27" t="str">
        <f t="shared" si="1"/>
        <v/>
      </c>
      <c r="C249" s="14" t="str">
        <f>IF($A249&lt;&gt;"",MINIFS(Merchant!$A:$A,Merchant!$B:$B,$G$2),)</f>
        <v/>
      </c>
      <c r="D249" s="14" t="str">
        <f t="shared" si="2"/>
        <v/>
      </c>
      <c r="E249" s="14" t="str">
        <f t="shared" si="3"/>
        <v/>
      </c>
      <c r="F249" s="7" t="str">
        <f>IF($A249&lt;&gt;"",MAXIFS(Token!$C:$C,Token!$A:$A,$D249),)</f>
        <v/>
      </c>
    </row>
    <row r="250">
      <c r="A250" s="39" t="str">
        <f>IF(AND($L250*1&gt;=$G$3,$L250*1&lt;=$G$4,$I250*$J250&gt;0,OR($I250&lt;&gt;$I251,$L250-$L251&gt;25),IF(ABS($I250)&gt;10,$I250/POW(10,$J250),$J250/POW(10,$I250))*MAXIFS(Token!$C:$C,Token!$A:$A,$K250)&gt;0.01),$L250/86400+DATE(1970,1,1)+$G$6,)</f>
        <v/>
      </c>
      <c r="B250" s="27" t="str">
        <f t="shared" si="1"/>
        <v/>
      </c>
      <c r="C250" s="14" t="str">
        <f>IF($A250&lt;&gt;"",MINIFS(Merchant!$A:$A,Merchant!$B:$B,$G$2),)</f>
        <v/>
      </c>
      <c r="D250" s="14" t="str">
        <f t="shared" si="2"/>
        <v/>
      </c>
      <c r="E250" s="14" t="str">
        <f t="shared" si="3"/>
        <v/>
      </c>
      <c r="F250" s="7" t="str">
        <f>IF($A250&lt;&gt;"",MAXIFS(Token!$C:$C,Token!$A:$A,$D250),)</f>
        <v/>
      </c>
    </row>
    <row r="251">
      <c r="A251" s="39" t="str">
        <f>IF(AND($L251*1&gt;=$G$3,$L251*1&lt;=$G$4,$I251*$J251&gt;0,OR($I251&lt;&gt;$I252,$L251-$L252&gt;25),IF(ABS($I251)&gt;10,$I251/POW(10,$J251),$J251/POW(10,$I251))*MAXIFS(Token!$C:$C,Token!$A:$A,$K251)&gt;0.01),$L251/86400+DATE(1970,1,1)+$G$6,)</f>
        <v/>
      </c>
      <c r="B251" s="27" t="str">
        <f t="shared" si="1"/>
        <v/>
      </c>
      <c r="C251" s="14" t="str">
        <f>IF($A251&lt;&gt;"",MINIFS(Merchant!$A:$A,Merchant!$B:$B,$G$2),)</f>
        <v/>
      </c>
      <c r="D251" s="14" t="str">
        <f t="shared" si="2"/>
        <v/>
      </c>
      <c r="E251" s="14" t="str">
        <f t="shared" si="3"/>
        <v/>
      </c>
      <c r="F251" s="7" t="str">
        <f>IF($A251&lt;&gt;"",MAXIFS(Token!$C:$C,Token!$A:$A,$D251),)</f>
        <v/>
      </c>
    </row>
    <row r="252">
      <c r="A252" s="39" t="str">
        <f>IF(AND($L252*1&gt;=$G$3,$L252*1&lt;=$G$4,$I252*$J252&gt;0,OR($I252&lt;&gt;$I253,$L252-$L253&gt;25),IF(ABS($I252)&gt;10,$I252/POW(10,$J252),$J252/POW(10,$I252))*MAXIFS(Token!$C:$C,Token!$A:$A,$K252)&gt;0.01),$L252/86400+DATE(1970,1,1)+$G$6,)</f>
        <v/>
      </c>
      <c r="B252" s="27" t="str">
        <f t="shared" si="1"/>
        <v/>
      </c>
      <c r="C252" s="14" t="str">
        <f>IF($A252&lt;&gt;"",MINIFS(Merchant!$A:$A,Merchant!$B:$B,$G$2),)</f>
        <v/>
      </c>
      <c r="D252" s="14" t="str">
        <f t="shared" si="2"/>
        <v/>
      </c>
      <c r="E252" s="14" t="str">
        <f t="shared" si="3"/>
        <v/>
      </c>
      <c r="F252" s="7" t="str">
        <f>IF($A252&lt;&gt;"",MAXIFS(Token!$C:$C,Token!$A:$A,$D252),)</f>
        <v/>
      </c>
    </row>
    <row r="253">
      <c r="A253" s="39" t="str">
        <f>IF(AND($L253*1&gt;=$G$3,$L253*1&lt;=$G$4,$I253*$J253&gt;0,OR($I253&lt;&gt;$I254,$L253-$L254&gt;25),IF(ABS($I253)&gt;10,$I253/POW(10,$J253),$J253/POW(10,$I253))*MAXIFS(Token!$C:$C,Token!$A:$A,$K253)&gt;0.01),$L253/86400+DATE(1970,1,1)+$G$6,)</f>
        <v/>
      </c>
      <c r="B253" s="27" t="str">
        <f t="shared" si="1"/>
        <v/>
      </c>
      <c r="C253" s="14" t="str">
        <f>IF($A253&lt;&gt;"",MINIFS(Merchant!$A:$A,Merchant!$B:$B,$G$2),)</f>
        <v/>
      </c>
      <c r="D253" s="14" t="str">
        <f t="shared" si="2"/>
        <v/>
      </c>
      <c r="E253" s="14" t="str">
        <f t="shared" si="3"/>
        <v/>
      </c>
      <c r="F253" s="7" t="str">
        <f>IF($A253&lt;&gt;"",MAXIFS(Token!$C:$C,Token!$A:$A,$D253),)</f>
        <v/>
      </c>
    </row>
    <row r="254">
      <c r="A254" s="39" t="str">
        <f>IF(AND($L254*1&gt;=$G$3,$L254*1&lt;=$G$4,$I254*$J254&gt;0,OR($I254&lt;&gt;$I255,$L254-$L255&gt;25),IF(ABS($I254)&gt;10,$I254/POW(10,$J254),$J254/POW(10,$I254))*MAXIFS(Token!$C:$C,Token!$A:$A,$K254)&gt;0.01),$L254/86400+DATE(1970,1,1)+$G$6,)</f>
        <v/>
      </c>
      <c r="B254" s="27" t="str">
        <f t="shared" si="1"/>
        <v/>
      </c>
      <c r="C254" s="14" t="str">
        <f>IF($A254&lt;&gt;"",MINIFS(Merchant!$A:$A,Merchant!$B:$B,$G$2),)</f>
        <v/>
      </c>
      <c r="D254" s="14" t="str">
        <f t="shared" si="2"/>
        <v/>
      </c>
      <c r="E254" s="14" t="str">
        <f t="shared" si="3"/>
        <v/>
      </c>
      <c r="F254" s="7" t="str">
        <f>IF($A254&lt;&gt;"",MAXIFS(Token!$C:$C,Token!$A:$A,$D254),)</f>
        <v/>
      </c>
    </row>
    <row r="255">
      <c r="A255" s="39" t="str">
        <f>IF(AND($L255*1&gt;=$G$3,$L255*1&lt;=$G$4,$I255*$J255&gt;0,OR($I255&lt;&gt;$I256,$L255-$L256&gt;25),IF(ABS($I255)&gt;10,$I255/POW(10,$J255),$J255/POW(10,$I255))*MAXIFS(Token!$C:$C,Token!$A:$A,$K255)&gt;0.01),$L255/86400+DATE(1970,1,1)+$G$6,)</f>
        <v/>
      </c>
      <c r="B255" s="27" t="str">
        <f t="shared" si="1"/>
        <v/>
      </c>
      <c r="C255" s="14" t="str">
        <f>IF($A255&lt;&gt;"",MINIFS(Merchant!$A:$A,Merchant!$B:$B,$G$2),)</f>
        <v/>
      </c>
      <c r="D255" s="14" t="str">
        <f t="shared" si="2"/>
        <v/>
      </c>
      <c r="E255" s="14" t="str">
        <f t="shared" si="3"/>
        <v/>
      </c>
      <c r="F255" s="7" t="str">
        <f>IF($A255&lt;&gt;"",MAXIFS(Token!$C:$C,Token!$A:$A,$D255),)</f>
        <v/>
      </c>
    </row>
    <row r="256">
      <c r="A256" s="39" t="str">
        <f>IF(AND($L256*1&gt;=$G$3,$L256*1&lt;=$G$4,$I256*$J256&gt;0,OR($I256&lt;&gt;$I257,$L256-$L257&gt;25),IF(ABS($I256)&gt;10,$I256/POW(10,$J256),$J256/POW(10,$I256))*MAXIFS(Token!$C:$C,Token!$A:$A,$K256)&gt;0.01),$L256/86400+DATE(1970,1,1)+$G$6,)</f>
        <v/>
      </c>
      <c r="B256" s="27" t="str">
        <f t="shared" si="1"/>
        <v/>
      </c>
      <c r="C256" s="14" t="str">
        <f>IF($A256&lt;&gt;"",MINIFS(Merchant!$A:$A,Merchant!$B:$B,$G$2),)</f>
        <v/>
      </c>
      <c r="D256" s="14" t="str">
        <f t="shared" si="2"/>
        <v/>
      </c>
      <c r="E256" s="14" t="str">
        <f t="shared" si="3"/>
        <v/>
      </c>
      <c r="F256" s="7" t="str">
        <f>IF($A256&lt;&gt;"",MAXIFS(Token!$C:$C,Token!$A:$A,$D256),)</f>
        <v/>
      </c>
    </row>
    <row r="257">
      <c r="A257" s="39" t="str">
        <f>IF(AND($L257*1&gt;=$G$3,$L257*1&lt;=$G$4,$I257*$J257&gt;0,OR($I257&lt;&gt;$I258,$L257-$L258&gt;25),IF(ABS($I257)&gt;10,$I257/POW(10,$J257),$J257/POW(10,$I257))*MAXIFS(Token!$C:$C,Token!$A:$A,$K257)&gt;0.01),$L257/86400+DATE(1970,1,1)+$G$6,)</f>
        <v/>
      </c>
      <c r="B257" s="27" t="str">
        <f t="shared" si="1"/>
        <v/>
      </c>
      <c r="C257" s="14" t="str">
        <f>IF($A257&lt;&gt;"",MINIFS(Merchant!$A:$A,Merchant!$B:$B,$G$2),)</f>
        <v/>
      </c>
      <c r="D257" s="14" t="str">
        <f t="shared" si="2"/>
        <v/>
      </c>
      <c r="E257" s="14" t="str">
        <f t="shared" si="3"/>
        <v/>
      </c>
      <c r="F257" s="7" t="str">
        <f>IF($A257&lt;&gt;"",MAXIFS(Token!$C:$C,Token!$A:$A,$D257),)</f>
        <v/>
      </c>
    </row>
    <row r="258">
      <c r="A258" s="39" t="str">
        <f>IF(AND($L258*1&gt;=$G$3,$L258*1&lt;=$G$4,$I258*$J258&gt;0,OR($I258&lt;&gt;$I259,$L258-$L259&gt;25),IF(ABS($I258)&gt;10,$I258/POW(10,$J258),$J258/POW(10,$I258))*MAXIFS(Token!$C:$C,Token!$A:$A,$K258)&gt;0.01),$L258/86400+DATE(1970,1,1)+$G$6,)</f>
        <v/>
      </c>
      <c r="B258" s="27" t="str">
        <f t="shared" si="1"/>
        <v/>
      </c>
      <c r="C258" s="14" t="str">
        <f>IF($A258&lt;&gt;"",MINIFS(Merchant!$A:$A,Merchant!$B:$B,$G$2),)</f>
        <v/>
      </c>
      <c r="D258" s="14" t="str">
        <f t="shared" si="2"/>
        <v/>
      </c>
      <c r="E258" s="14" t="str">
        <f t="shared" si="3"/>
        <v/>
      </c>
      <c r="F258" s="7" t="str">
        <f>IF($A258&lt;&gt;"",MAXIFS(Token!$C:$C,Token!$A:$A,$D258),)</f>
        <v/>
      </c>
    </row>
    <row r="259">
      <c r="A259" s="39" t="str">
        <f>IF(AND($L259*1&gt;=$G$3,$L259*1&lt;=$G$4,$I259*$J259&gt;0,OR($I259&lt;&gt;$I260,$L259-$L260&gt;25),IF(ABS($I259)&gt;10,$I259/POW(10,$J259),$J259/POW(10,$I259))*MAXIFS(Token!$C:$C,Token!$A:$A,$K259)&gt;0.01),$L259/86400+DATE(1970,1,1)+$G$6,)</f>
        <v/>
      </c>
      <c r="B259" s="27" t="str">
        <f t="shared" si="1"/>
        <v/>
      </c>
      <c r="C259" s="14" t="str">
        <f>IF($A259&lt;&gt;"",MINIFS(Merchant!$A:$A,Merchant!$B:$B,$G$2),)</f>
        <v/>
      </c>
      <c r="D259" s="14" t="str">
        <f t="shared" si="2"/>
        <v/>
      </c>
      <c r="E259" s="14" t="str">
        <f t="shared" si="3"/>
        <v/>
      </c>
      <c r="F259" s="7" t="str">
        <f>IF($A259&lt;&gt;"",MAXIFS(Token!$C:$C,Token!$A:$A,$D259),)</f>
        <v/>
      </c>
    </row>
    <row r="260">
      <c r="A260" s="39" t="str">
        <f>IF(AND($L260*1&gt;=$G$3,$L260*1&lt;=$G$4,$I260*$J260&gt;0,OR($I260&lt;&gt;$I261,$L260-$L261&gt;25),IF(ABS($I260)&gt;10,$I260/POW(10,$J260),$J260/POW(10,$I260))*MAXIFS(Token!$C:$C,Token!$A:$A,$K260)&gt;0.01),$L260/86400+DATE(1970,1,1)+$G$6,)</f>
        <v/>
      </c>
      <c r="B260" s="27" t="str">
        <f t="shared" si="1"/>
        <v/>
      </c>
      <c r="C260" s="14" t="str">
        <f>IF($A260&lt;&gt;"",MINIFS(Merchant!$A:$A,Merchant!$B:$B,$G$2),)</f>
        <v/>
      </c>
      <c r="D260" s="14" t="str">
        <f t="shared" si="2"/>
        <v/>
      </c>
      <c r="E260" s="14" t="str">
        <f t="shared" si="3"/>
        <v/>
      </c>
      <c r="F260" s="7" t="str">
        <f>IF($A260&lt;&gt;"",MAXIFS(Token!$C:$C,Token!$A:$A,$D260),)</f>
        <v/>
      </c>
    </row>
    <row r="261">
      <c r="A261" s="39" t="str">
        <f>IF(AND($L261*1&gt;=$G$3,$L261*1&lt;=$G$4,$I261*$J261&gt;0,OR($I261&lt;&gt;$I262,$L261-$L262&gt;25),IF(ABS($I261)&gt;10,$I261/POW(10,$J261),$J261/POW(10,$I261))*MAXIFS(Token!$C:$C,Token!$A:$A,$K261)&gt;0.01),$L261/86400+DATE(1970,1,1)+$G$6,)</f>
        <v/>
      </c>
      <c r="B261" s="27" t="str">
        <f t="shared" si="1"/>
        <v/>
      </c>
      <c r="C261" s="14" t="str">
        <f>IF($A261&lt;&gt;"",MINIFS(Merchant!$A:$A,Merchant!$B:$B,$G$2),)</f>
        <v/>
      </c>
      <c r="D261" s="14" t="str">
        <f t="shared" si="2"/>
        <v/>
      </c>
      <c r="E261" s="14" t="str">
        <f t="shared" si="3"/>
        <v/>
      </c>
      <c r="F261" s="7" t="str">
        <f>IF($A261&lt;&gt;"",MAXIFS(Token!$C:$C,Token!$A:$A,$D261),)</f>
        <v/>
      </c>
    </row>
    <row r="262">
      <c r="A262" s="39" t="str">
        <f>IF(AND($L262*1&gt;=$G$3,$L262*1&lt;=$G$4,$I262*$J262&gt;0,OR($I262&lt;&gt;$I263,$L262-$L263&gt;25),IF(ABS($I262)&gt;10,$I262/POW(10,$J262),$J262/POW(10,$I262))*MAXIFS(Token!$C:$C,Token!$A:$A,$K262)&gt;0.01),$L262/86400+DATE(1970,1,1)+$G$6,)</f>
        <v/>
      </c>
      <c r="B262" s="27" t="str">
        <f t="shared" si="1"/>
        <v/>
      </c>
      <c r="C262" s="14" t="str">
        <f>IF($A262&lt;&gt;"",MINIFS(Merchant!$A:$A,Merchant!$B:$B,$G$2),)</f>
        <v/>
      </c>
      <c r="D262" s="14" t="str">
        <f t="shared" si="2"/>
        <v/>
      </c>
      <c r="E262" s="14" t="str">
        <f t="shared" si="3"/>
        <v/>
      </c>
      <c r="F262" s="7" t="str">
        <f>IF($A262&lt;&gt;"",MAXIFS(Token!$C:$C,Token!$A:$A,$D262),)</f>
        <v/>
      </c>
    </row>
    <row r="263">
      <c r="A263" s="39" t="str">
        <f>IF(AND($L263*1&gt;=$G$3,$L263*1&lt;=$G$4,$I263*$J263&gt;0,OR($I263&lt;&gt;$I264,$L263-$L264&gt;25),IF(ABS($I263)&gt;10,$I263/POW(10,$J263),$J263/POW(10,$I263))*MAXIFS(Token!$C:$C,Token!$A:$A,$K263)&gt;0.01),$L263/86400+DATE(1970,1,1)+$G$6,)</f>
        <v/>
      </c>
      <c r="B263" s="27" t="str">
        <f t="shared" si="1"/>
        <v/>
      </c>
      <c r="C263" s="14" t="str">
        <f>IF($A263&lt;&gt;"",MINIFS(Merchant!$A:$A,Merchant!$B:$B,$G$2),)</f>
        <v/>
      </c>
      <c r="D263" s="14" t="str">
        <f t="shared" si="2"/>
        <v/>
      </c>
      <c r="E263" s="14" t="str">
        <f t="shared" si="3"/>
        <v/>
      </c>
      <c r="F263" s="7" t="str">
        <f>IF($A263&lt;&gt;"",MAXIFS(Token!$C:$C,Token!$A:$A,$D263),)</f>
        <v/>
      </c>
    </row>
    <row r="264">
      <c r="A264" s="39" t="str">
        <f>IF(AND($L264*1&gt;=$G$3,$L264*1&lt;=$G$4,$I264*$J264&gt;0,OR($I264&lt;&gt;$I265,$L264-$L265&gt;25),IF(ABS($I264)&gt;10,$I264/POW(10,$J264),$J264/POW(10,$I264))*MAXIFS(Token!$C:$C,Token!$A:$A,$K264)&gt;0.01),$L264/86400+DATE(1970,1,1)+$G$6,)</f>
        <v/>
      </c>
      <c r="B264" s="27" t="str">
        <f t="shared" si="1"/>
        <v/>
      </c>
      <c r="C264" s="14" t="str">
        <f>IF($A264&lt;&gt;"",MINIFS(Merchant!$A:$A,Merchant!$B:$B,$G$2),)</f>
        <v/>
      </c>
      <c r="D264" s="14" t="str">
        <f t="shared" si="2"/>
        <v/>
      </c>
      <c r="E264" s="14" t="str">
        <f t="shared" si="3"/>
        <v/>
      </c>
      <c r="F264" s="7" t="str">
        <f>IF($A264&lt;&gt;"",MAXIFS(Token!$C:$C,Token!$A:$A,$D264),)</f>
        <v/>
      </c>
    </row>
    <row r="265">
      <c r="A265" s="39" t="str">
        <f>IF(AND($L265*1&gt;=$G$3,$L265*1&lt;=$G$4,$I265*$J265&gt;0,OR($I265&lt;&gt;$I266,$L265-$L266&gt;25),IF(ABS($I265)&gt;10,$I265/POW(10,$J265),$J265/POW(10,$I265))*MAXIFS(Token!$C:$C,Token!$A:$A,$K265)&gt;0.01),$L265/86400+DATE(1970,1,1)+$G$6,)</f>
        <v/>
      </c>
      <c r="B265" s="27" t="str">
        <f t="shared" si="1"/>
        <v/>
      </c>
      <c r="C265" s="14" t="str">
        <f>IF($A265&lt;&gt;"",MINIFS(Merchant!$A:$A,Merchant!$B:$B,$G$2),)</f>
        <v/>
      </c>
      <c r="D265" s="14" t="str">
        <f t="shared" si="2"/>
        <v/>
      </c>
      <c r="E265" s="14" t="str">
        <f t="shared" si="3"/>
        <v/>
      </c>
      <c r="F265" s="7" t="str">
        <f>IF($A265&lt;&gt;"",MAXIFS(Token!$C:$C,Token!$A:$A,$D265),)</f>
        <v/>
      </c>
    </row>
    <row r="266">
      <c r="A266" s="39" t="str">
        <f>IF(AND($L266*1&gt;=$G$3,$L266*1&lt;=$G$4,$I266*$J266&gt;0,OR($I266&lt;&gt;$I267,$L266-$L267&gt;25),IF(ABS($I266)&gt;10,$I266/POW(10,$J266),$J266/POW(10,$I266))*MAXIFS(Token!$C:$C,Token!$A:$A,$K266)&gt;0.01),$L266/86400+DATE(1970,1,1)+$G$6,)</f>
        <v/>
      </c>
      <c r="B266" s="27" t="str">
        <f t="shared" si="1"/>
        <v/>
      </c>
      <c r="C266" s="14" t="str">
        <f>IF($A266&lt;&gt;"",MINIFS(Merchant!$A:$A,Merchant!$B:$B,$G$2),)</f>
        <v/>
      </c>
      <c r="D266" s="14" t="str">
        <f t="shared" si="2"/>
        <v/>
      </c>
      <c r="E266" s="14" t="str">
        <f t="shared" si="3"/>
        <v/>
      </c>
      <c r="F266" s="7" t="str">
        <f>IF($A266&lt;&gt;"",MAXIFS(Token!$C:$C,Token!$A:$A,$D266),)</f>
        <v/>
      </c>
    </row>
    <row r="267">
      <c r="A267" s="39" t="str">
        <f>IF(AND($L267*1&gt;=$G$3,$L267*1&lt;=$G$4,$I267*$J267&gt;0,OR($I267&lt;&gt;$I268,$L267-$L268&gt;25),IF(ABS($I267)&gt;10,$I267/POW(10,$J267),$J267/POW(10,$I267))*MAXIFS(Token!$C:$C,Token!$A:$A,$K267)&gt;0.01),$L267/86400+DATE(1970,1,1)+$G$6,)</f>
        <v/>
      </c>
      <c r="B267" s="27" t="str">
        <f t="shared" si="1"/>
        <v/>
      </c>
      <c r="C267" s="14" t="str">
        <f>IF($A267&lt;&gt;"",MINIFS(Merchant!$A:$A,Merchant!$B:$B,$G$2),)</f>
        <v/>
      </c>
      <c r="D267" s="14" t="str">
        <f t="shared" si="2"/>
        <v/>
      </c>
      <c r="E267" s="14" t="str">
        <f t="shared" si="3"/>
        <v/>
      </c>
      <c r="F267" s="7" t="str">
        <f>IF($A267&lt;&gt;"",MAXIFS(Token!$C:$C,Token!$A:$A,$D267),)</f>
        <v/>
      </c>
    </row>
    <row r="268">
      <c r="A268" s="39" t="str">
        <f>IF(AND($L268*1&gt;=$G$3,$L268*1&lt;=$G$4,$I268*$J268&gt;0,OR($I268&lt;&gt;$I269,$L268-$L269&gt;25),IF(ABS($I268)&gt;10,$I268/POW(10,$J268),$J268/POW(10,$I268))*MAXIFS(Token!$C:$C,Token!$A:$A,$K268)&gt;0.01),$L268/86400+DATE(1970,1,1)+$G$6,)</f>
        <v/>
      </c>
      <c r="B268" s="27" t="str">
        <f t="shared" si="1"/>
        <v/>
      </c>
      <c r="C268" s="14" t="str">
        <f>IF($A268&lt;&gt;"",MINIFS(Merchant!$A:$A,Merchant!$B:$B,$G$2),)</f>
        <v/>
      </c>
      <c r="D268" s="14" t="str">
        <f t="shared" si="2"/>
        <v/>
      </c>
      <c r="E268" s="14" t="str">
        <f t="shared" si="3"/>
        <v/>
      </c>
      <c r="F268" s="7" t="str">
        <f>IF($A268&lt;&gt;"",MAXIFS(Token!$C:$C,Token!$A:$A,$D268),)</f>
        <v/>
      </c>
    </row>
    <row r="269">
      <c r="A269" s="39" t="str">
        <f>IF(AND($L269*1&gt;=$G$3,$L269*1&lt;=$G$4,$I269*$J269&gt;0,OR($I269&lt;&gt;$I270,$L269-$L270&gt;25),IF(ABS($I269)&gt;10,$I269/POW(10,$J269),$J269/POW(10,$I269))*MAXIFS(Token!$C:$C,Token!$A:$A,$K269)&gt;0.01),$L269/86400+DATE(1970,1,1)+$G$6,)</f>
        <v/>
      </c>
      <c r="B269" s="27" t="str">
        <f t="shared" si="1"/>
        <v/>
      </c>
      <c r="C269" s="14" t="str">
        <f>IF($A269&lt;&gt;"",MINIFS(Merchant!$A:$A,Merchant!$B:$B,$G$2),)</f>
        <v/>
      </c>
      <c r="D269" s="14" t="str">
        <f t="shared" si="2"/>
        <v/>
      </c>
      <c r="E269" s="14" t="str">
        <f t="shared" si="3"/>
        <v/>
      </c>
      <c r="F269" s="7" t="str">
        <f>IF($A269&lt;&gt;"",MAXIFS(Token!$C:$C,Token!$A:$A,$D269),)</f>
        <v/>
      </c>
    </row>
    <row r="270">
      <c r="A270" s="39" t="str">
        <f>IF(AND($L270*1&gt;=$G$3,$L270*1&lt;=$G$4,$I270*$J270&gt;0,OR($I270&lt;&gt;$I271,$L270-$L271&gt;25),IF(ABS($I270)&gt;10,$I270/POW(10,$J270),$J270/POW(10,$I270))*MAXIFS(Token!$C:$C,Token!$A:$A,$K270)&gt;0.01),$L270/86400+DATE(1970,1,1)+$G$6,)</f>
        <v/>
      </c>
      <c r="B270" s="27" t="str">
        <f t="shared" si="1"/>
        <v/>
      </c>
      <c r="C270" s="14" t="str">
        <f>IF($A270&lt;&gt;"",MINIFS(Merchant!$A:$A,Merchant!$B:$B,$G$2),)</f>
        <v/>
      </c>
      <c r="D270" s="14" t="str">
        <f t="shared" si="2"/>
        <v/>
      </c>
      <c r="E270" s="14" t="str">
        <f t="shared" si="3"/>
        <v/>
      </c>
      <c r="F270" s="7" t="str">
        <f>IF($A270&lt;&gt;"",MAXIFS(Token!$C:$C,Token!$A:$A,$D270),)</f>
        <v/>
      </c>
    </row>
    <row r="271">
      <c r="A271" s="39" t="str">
        <f>IF(AND($L271*1&gt;=$G$3,$L271*1&lt;=$G$4,$I271*$J271&gt;0,OR($I271&lt;&gt;$I272,$L271-$L272&gt;25),IF(ABS($I271)&gt;10,$I271/POW(10,$J271),$J271/POW(10,$I271))*MAXIFS(Token!$C:$C,Token!$A:$A,$K271)&gt;0.01),$L271/86400+DATE(1970,1,1)+$G$6,)</f>
        <v/>
      </c>
      <c r="B271" s="27" t="str">
        <f t="shared" si="1"/>
        <v/>
      </c>
      <c r="C271" s="14" t="str">
        <f>IF($A271&lt;&gt;"",MINIFS(Merchant!$A:$A,Merchant!$B:$B,$G$2),)</f>
        <v/>
      </c>
      <c r="D271" s="14" t="str">
        <f t="shared" si="2"/>
        <v/>
      </c>
      <c r="E271" s="14" t="str">
        <f t="shared" si="3"/>
        <v/>
      </c>
      <c r="F271" s="7" t="str">
        <f>IF($A271&lt;&gt;"",MAXIFS(Token!$C:$C,Token!$A:$A,$D271),)</f>
        <v/>
      </c>
    </row>
    <row r="272">
      <c r="A272" s="39" t="str">
        <f>IF(AND($L272*1&gt;=$G$3,$L272*1&lt;=$G$4,$I272*$J272&gt;0,OR($I272&lt;&gt;$I273,$L272-$L273&gt;25),IF(ABS($I272)&gt;10,$I272/POW(10,$J272),$J272/POW(10,$I272))*MAXIFS(Token!$C:$C,Token!$A:$A,$K272)&gt;0.01),$L272/86400+DATE(1970,1,1)+$G$6,)</f>
        <v/>
      </c>
      <c r="B272" s="27" t="str">
        <f t="shared" si="1"/>
        <v/>
      </c>
      <c r="C272" s="14" t="str">
        <f>IF($A272&lt;&gt;"",MINIFS(Merchant!$A:$A,Merchant!$B:$B,$G$2),)</f>
        <v/>
      </c>
      <c r="D272" s="14" t="str">
        <f t="shared" si="2"/>
        <v/>
      </c>
      <c r="E272" s="14" t="str">
        <f t="shared" si="3"/>
        <v/>
      </c>
      <c r="F272" s="7" t="str">
        <f>IF($A272&lt;&gt;"",MAXIFS(Token!$C:$C,Token!$A:$A,$D272),)</f>
        <v/>
      </c>
    </row>
    <row r="273">
      <c r="A273" s="39" t="str">
        <f>IF(AND($L273*1&gt;=$G$3,$L273*1&lt;=$G$4,$I273*$J273&gt;0,OR($I273&lt;&gt;$I274,$L273-$L274&gt;25),IF(ABS($I273)&gt;10,$I273/POW(10,$J273),$J273/POW(10,$I273))*MAXIFS(Token!$C:$C,Token!$A:$A,$K273)&gt;0.01),$L273/86400+DATE(1970,1,1)+$G$6,)</f>
        <v/>
      </c>
      <c r="B273" s="27" t="str">
        <f t="shared" si="1"/>
        <v/>
      </c>
      <c r="C273" s="14" t="str">
        <f>IF($A273&lt;&gt;"",MINIFS(Merchant!$A:$A,Merchant!$B:$B,$G$2),)</f>
        <v/>
      </c>
      <c r="D273" s="14" t="str">
        <f t="shared" si="2"/>
        <v/>
      </c>
      <c r="E273" s="14" t="str">
        <f t="shared" si="3"/>
        <v/>
      </c>
      <c r="F273" s="7" t="str">
        <f>IF($A273&lt;&gt;"",MAXIFS(Token!$C:$C,Token!$A:$A,$D273),)</f>
        <v/>
      </c>
    </row>
    <row r="274">
      <c r="A274" s="39" t="str">
        <f>IF(AND($L274*1&gt;=$G$3,$L274*1&lt;=$G$4,$I274*$J274&gt;0,OR($I274&lt;&gt;$I275,$L274-$L275&gt;25),IF(ABS($I274)&gt;10,$I274/POW(10,$J274),$J274/POW(10,$I274))*MAXIFS(Token!$C:$C,Token!$A:$A,$K274)&gt;0.01),$L274/86400+DATE(1970,1,1)+$G$6,)</f>
        <v/>
      </c>
      <c r="B274" s="27" t="str">
        <f t="shared" si="1"/>
        <v/>
      </c>
      <c r="C274" s="14" t="str">
        <f>IF($A274&lt;&gt;"",MINIFS(Merchant!$A:$A,Merchant!$B:$B,$G$2),)</f>
        <v/>
      </c>
      <c r="D274" s="14" t="str">
        <f t="shared" si="2"/>
        <v/>
      </c>
      <c r="E274" s="14" t="str">
        <f t="shared" si="3"/>
        <v/>
      </c>
      <c r="F274" s="7" t="str">
        <f>IF($A274&lt;&gt;"",MAXIFS(Token!$C:$C,Token!$A:$A,$D274),)</f>
        <v/>
      </c>
    </row>
    <row r="275">
      <c r="A275" s="39" t="str">
        <f>IF(AND($L275*1&gt;=$G$3,$L275*1&lt;=$G$4,$I275*$J275&gt;0,OR($I275&lt;&gt;$I276,$L275-$L276&gt;25),IF(ABS($I275)&gt;10,$I275/POW(10,$J275),$J275/POW(10,$I275))*MAXIFS(Token!$C:$C,Token!$A:$A,$K275)&gt;0.01),$L275/86400+DATE(1970,1,1)+$G$6,)</f>
        <v/>
      </c>
      <c r="B275" s="27" t="str">
        <f t="shared" si="1"/>
        <v/>
      </c>
      <c r="C275" s="14" t="str">
        <f>IF($A275&lt;&gt;"",MINIFS(Merchant!$A:$A,Merchant!$B:$B,$G$2),)</f>
        <v/>
      </c>
      <c r="D275" s="14" t="str">
        <f t="shared" si="2"/>
        <v/>
      </c>
      <c r="E275" s="14" t="str">
        <f t="shared" si="3"/>
        <v/>
      </c>
      <c r="F275" s="7" t="str">
        <f>IF($A275&lt;&gt;"",MAXIFS(Token!$C:$C,Token!$A:$A,$D275),)</f>
        <v/>
      </c>
    </row>
    <row r="276">
      <c r="A276" s="39" t="str">
        <f>IF(AND($L276*1&gt;=$G$3,$L276*1&lt;=$G$4,$I276*$J276&gt;0,OR($I276&lt;&gt;$I277,$L276-$L277&gt;25),IF(ABS($I276)&gt;10,$I276/POW(10,$J276),$J276/POW(10,$I276))*MAXIFS(Token!$C:$C,Token!$A:$A,$K276)&gt;0.01),$L276/86400+DATE(1970,1,1)+$G$6,)</f>
        <v/>
      </c>
      <c r="B276" s="27" t="str">
        <f t="shared" si="1"/>
        <v/>
      </c>
      <c r="C276" s="14" t="str">
        <f>IF($A276&lt;&gt;"",MINIFS(Merchant!$A:$A,Merchant!$B:$B,$G$2),)</f>
        <v/>
      </c>
      <c r="D276" s="14" t="str">
        <f t="shared" si="2"/>
        <v/>
      </c>
      <c r="E276" s="14" t="str">
        <f t="shared" si="3"/>
        <v/>
      </c>
      <c r="F276" s="7" t="str">
        <f>IF($A276&lt;&gt;"",MAXIFS(Token!$C:$C,Token!$A:$A,$D276),)</f>
        <v/>
      </c>
    </row>
    <row r="277">
      <c r="A277" s="39" t="str">
        <f>IF(AND($L277*1&gt;=$G$3,$L277*1&lt;=$G$4,$I277*$J277&gt;0,OR($I277&lt;&gt;$I278,$L277-$L278&gt;25),IF(ABS($I277)&gt;10,$I277/POW(10,$J277),$J277/POW(10,$I277))*MAXIFS(Token!$C:$C,Token!$A:$A,$K277)&gt;0.01),$L277/86400+DATE(1970,1,1)+$G$6,)</f>
        <v/>
      </c>
      <c r="B277" s="27" t="str">
        <f t="shared" si="1"/>
        <v/>
      </c>
      <c r="C277" s="14" t="str">
        <f>IF($A277&lt;&gt;"",MINIFS(Merchant!$A:$A,Merchant!$B:$B,$G$2),)</f>
        <v/>
      </c>
      <c r="D277" s="14" t="str">
        <f t="shared" si="2"/>
        <v/>
      </c>
      <c r="E277" s="14" t="str">
        <f t="shared" si="3"/>
        <v/>
      </c>
      <c r="F277" s="7" t="str">
        <f>IF($A277&lt;&gt;"",MAXIFS(Token!$C:$C,Token!$A:$A,$D277),)</f>
        <v/>
      </c>
    </row>
    <row r="278">
      <c r="A278" s="39" t="str">
        <f>IF(AND($L278*1&gt;=$G$3,$L278*1&lt;=$G$4,$I278*$J278&gt;0,OR($I278&lt;&gt;$I279,$L278-$L279&gt;25),IF(ABS($I278)&gt;10,$I278/POW(10,$J278),$J278/POW(10,$I278))*MAXIFS(Token!$C:$C,Token!$A:$A,$K278)&gt;0.01),$L278/86400+DATE(1970,1,1)+$G$6,)</f>
        <v/>
      </c>
      <c r="B278" s="27" t="str">
        <f t="shared" si="1"/>
        <v/>
      </c>
      <c r="C278" s="14" t="str">
        <f>IF($A278&lt;&gt;"",MINIFS(Merchant!$A:$A,Merchant!$B:$B,$G$2),)</f>
        <v/>
      </c>
      <c r="D278" s="14" t="str">
        <f t="shared" si="2"/>
        <v/>
      </c>
      <c r="E278" s="14" t="str">
        <f t="shared" si="3"/>
        <v/>
      </c>
      <c r="F278" s="7" t="str">
        <f>IF($A278&lt;&gt;"",MAXIFS(Token!$C:$C,Token!$A:$A,$D278),)</f>
        <v/>
      </c>
    </row>
    <row r="279">
      <c r="A279" s="39" t="str">
        <f>IF(AND($L279*1&gt;=$G$3,$L279*1&lt;=$G$4,$I279*$J279&gt;0,OR($I279&lt;&gt;$I280,$L279-$L280&gt;25),IF(ABS($I279)&gt;10,$I279/POW(10,$J279),$J279/POW(10,$I279))*MAXIFS(Token!$C:$C,Token!$A:$A,$K279)&gt;0.01),$L279/86400+DATE(1970,1,1)+$G$6,)</f>
        <v/>
      </c>
      <c r="B279" s="27" t="str">
        <f t="shared" si="1"/>
        <v/>
      </c>
      <c r="C279" s="14" t="str">
        <f>IF($A279&lt;&gt;"",MINIFS(Merchant!$A:$A,Merchant!$B:$B,$G$2),)</f>
        <v/>
      </c>
      <c r="D279" s="14" t="str">
        <f t="shared" si="2"/>
        <v/>
      </c>
      <c r="E279" s="14" t="str">
        <f t="shared" si="3"/>
        <v/>
      </c>
      <c r="F279" s="7" t="str">
        <f>IF($A279&lt;&gt;"",MAXIFS(Token!$C:$C,Token!$A:$A,$D279),)</f>
        <v/>
      </c>
    </row>
    <row r="280">
      <c r="A280" s="39" t="str">
        <f>IF(AND($L280*1&gt;=$G$3,$L280*1&lt;=$G$4,$I280*$J280&gt;0,OR($I280&lt;&gt;$I281,$L280-$L281&gt;25),IF(ABS($I280)&gt;10,$I280/POW(10,$J280),$J280/POW(10,$I280))*MAXIFS(Token!$C:$C,Token!$A:$A,$K280)&gt;0.01),$L280/86400+DATE(1970,1,1)+$G$6,)</f>
        <v/>
      </c>
      <c r="B280" s="27" t="str">
        <f t="shared" si="1"/>
        <v/>
      </c>
      <c r="C280" s="14" t="str">
        <f>IF($A280&lt;&gt;"",MINIFS(Merchant!$A:$A,Merchant!$B:$B,$G$2),)</f>
        <v/>
      </c>
      <c r="D280" s="14" t="str">
        <f t="shared" si="2"/>
        <v/>
      </c>
      <c r="E280" s="14" t="str">
        <f t="shared" si="3"/>
        <v/>
      </c>
      <c r="F280" s="7" t="str">
        <f>IF($A280&lt;&gt;"",MAXIFS(Token!$C:$C,Token!$A:$A,$D280),)</f>
        <v/>
      </c>
    </row>
    <row r="281">
      <c r="A281" s="39" t="str">
        <f>IF(AND($L281*1&gt;=$G$3,$L281*1&lt;=$G$4,$I281*$J281&gt;0,OR($I281&lt;&gt;$I282,$L281-$L282&gt;25),IF(ABS($I281)&gt;10,$I281/POW(10,$J281),$J281/POW(10,$I281))*MAXIFS(Token!$C:$C,Token!$A:$A,$K281)&gt;0.01),$L281/86400+DATE(1970,1,1)+$G$6,)</f>
        <v/>
      </c>
      <c r="B281" s="27" t="str">
        <f t="shared" si="1"/>
        <v/>
      </c>
      <c r="C281" s="14" t="str">
        <f>IF($A281&lt;&gt;"",MINIFS(Merchant!$A:$A,Merchant!$B:$B,$G$2),)</f>
        <v/>
      </c>
      <c r="D281" s="14" t="str">
        <f t="shared" si="2"/>
        <v/>
      </c>
      <c r="E281" s="14" t="str">
        <f t="shared" si="3"/>
        <v/>
      </c>
      <c r="F281" s="7" t="str">
        <f>IF($A281&lt;&gt;"",MAXIFS(Token!$C:$C,Token!$A:$A,$D281),)</f>
        <v/>
      </c>
    </row>
    <row r="282">
      <c r="A282" s="39" t="str">
        <f>IF(AND($L282*1&gt;=$G$3,$L282*1&lt;=$G$4,$I282*$J282&gt;0,OR($I282&lt;&gt;$I283,$L282-$L283&gt;25),IF(ABS($I282)&gt;10,$I282/POW(10,$J282),$J282/POW(10,$I282))*MAXIFS(Token!$C:$C,Token!$A:$A,$K282)&gt;0.01),$L282/86400+DATE(1970,1,1)+$G$6,)</f>
        <v/>
      </c>
      <c r="B282" s="27" t="str">
        <f t="shared" si="1"/>
        <v/>
      </c>
      <c r="C282" s="14" t="str">
        <f>IF($A282&lt;&gt;"",MINIFS(Merchant!$A:$A,Merchant!$B:$B,$G$2),)</f>
        <v/>
      </c>
      <c r="D282" s="14" t="str">
        <f t="shared" si="2"/>
        <v/>
      </c>
      <c r="E282" s="14" t="str">
        <f t="shared" si="3"/>
        <v/>
      </c>
      <c r="F282" s="7" t="str">
        <f>IF($A282&lt;&gt;"",MAXIFS(Token!$C:$C,Token!$A:$A,$D282),)</f>
        <v/>
      </c>
    </row>
    <row r="283">
      <c r="A283" s="39" t="str">
        <f>IF(AND($L283*1&gt;=$G$3,$L283*1&lt;=$G$4,$I283*$J283&gt;0,OR($I283&lt;&gt;$I284,$L283-$L284&gt;25),IF(ABS($I283)&gt;10,$I283/POW(10,$J283),$J283/POW(10,$I283))*MAXIFS(Token!$C:$C,Token!$A:$A,$K283)&gt;0.01),$L283/86400+DATE(1970,1,1)+$G$6,)</f>
        <v/>
      </c>
      <c r="B283" s="27" t="str">
        <f t="shared" si="1"/>
        <v/>
      </c>
      <c r="C283" s="14" t="str">
        <f>IF($A283&lt;&gt;"",MINIFS(Merchant!$A:$A,Merchant!$B:$B,$G$2),)</f>
        <v/>
      </c>
      <c r="D283" s="14" t="str">
        <f t="shared" si="2"/>
        <v/>
      </c>
      <c r="E283" s="14" t="str">
        <f t="shared" si="3"/>
        <v/>
      </c>
      <c r="F283" s="7" t="str">
        <f>IF($A283&lt;&gt;"",MAXIFS(Token!$C:$C,Token!$A:$A,$D283),)</f>
        <v/>
      </c>
    </row>
    <row r="284">
      <c r="A284" s="39" t="str">
        <f>IF(AND($L284*1&gt;=$G$3,$L284*1&lt;=$G$4,$I284*$J284&gt;0,OR($I284&lt;&gt;$I285,$L284-$L285&gt;25),IF(ABS($I284)&gt;10,$I284/POW(10,$J284),$J284/POW(10,$I284))*MAXIFS(Token!$C:$C,Token!$A:$A,$K284)&gt;0.01),$L284/86400+DATE(1970,1,1)+$G$6,)</f>
        <v/>
      </c>
      <c r="B284" s="27" t="str">
        <f t="shared" si="1"/>
        <v/>
      </c>
      <c r="C284" s="14" t="str">
        <f>IF($A284&lt;&gt;"",MINIFS(Merchant!$A:$A,Merchant!$B:$B,$G$2),)</f>
        <v/>
      </c>
      <c r="D284" s="14" t="str">
        <f t="shared" si="2"/>
        <v/>
      </c>
      <c r="E284" s="14" t="str">
        <f t="shared" si="3"/>
        <v/>
      </c>
      <c r="F284" s="7" t="str">
        <f>IF($A284&lt;&gt;"",MAXIFS(Token!$C:$C,Token!$A:$A,$D284),)</f>
        <v/>
      </c>
    </row>
    <row r="285">
      <c r="A285" s="39" t="str">
        <f>IF(AND($L285*1&gt;=$G$3,$L285*1&lt;=$G$4,$I285*$J285&gt;0,OR($I285&lt;&gt;$I286,$L285-$L286&gt;25),IF(ABS($I285)&gt;10,$I285/POW(10,$J285),$J285/POW(10,$I285))*MAXIFS(Token!$C:$C,Token!$A:$A,$K285)&gt;0.01),$L285/86400+DATE(1970,1,1)+$G$6,)</f>
        <v/>
      </c>
      <c r="B285" s="27" t="str">
        <f t="shared" si="1"/>
        <v/>
      </c>
      <c r="C285" s="14" t="str">
        <f>IF($A285&lt;&gt;"",MINIFS(Merchant!$A:$A,Merchant!$B:$B,$G$2),)</f>
        <v/>
      </c>
      <c r="D285" s="14" t="str">
        <f t="shared" si="2"/>
        <v/>
      </c>
      <c r="E285" s="14" t="str">
        <f t="shared" si="3"/>
        <v/>
      </c>
      <c r="F285" s="7" t="str">
        <f>IF($A285&lt;&gt;"",MAXIFS(Token!$C:$C,Token!$A:$A,$D285),)</f>
        <v/>
      </c>
    </row>
    <row r="286">
      <c r="A286" s="39" t="str">
        <f>IF(AND($L286*1&gt;=$G$3,$L286*1&lt;=$G$4,$I286*$J286&gt;0,OR($I286&lt;&gt;$I287,$L286-$L287&gt;25),IF(ABS($I286)&gt;10,$I286/POW(10,$J286),$J286/POW(10,$I286))*MAXIFS(Token!$C:$C,Token!$A:$A,$K286)&gt;0.01),$L286/86400+DATE(1970,1,1)+$G$6,)</f>
        <v/>
      </c>
      <c r="B286" s="27" t="str">
        <f t="shared" si="1"/>
        <v/>
      </c>
      <c r="C286" s="14" t="str">
        <f>IF($A286&lt;&gt;"",MINIFS(Merchant!$A:$A,Merchant!$B:$B,$G$2),)</f>
        <v/>
      </c>
      <c r="D286" s="14" t="str">
        <f t="shared" si="2"/>
        <v/>
      </c>
      <c r="E286" s="14" t="str">
        <f t="shared" si="3"/>
        <v/>
      </c>
      <c r="F286" s="7" t="str">
        <f>IF($A286&lt;&gt;"",MAXIFS(Token!$C:$C,Token!$A:$A,$D286),)</f>
        <v/>
      </c>
    </row>
    <row r="287">
      <c r="A287" s="39" t="str">
        <f>IF(AND($L287*1&gt;=$G$3,$L287*1&lt;=$G$4,$I287*$J287&gt;0,OR($I287&lt;&gt;$I288,$L287-$L288&gt;25),IF(ABS($I287)&gt;10,$I287/POW(10,$J287),$J287/POW(10,$I287))*MAXIFS(Token!$C:$C,Token!$A:$A,$K287)&gt;0.01),$L287/86400+DATE(1970,1,1)+$G$6,)</f>
        <v/>
      </c>
      <c r="B287" s="27" t="str">
        <f t="shared" si="1"/>
        <v/>
      </c>
      <c r="C287" s="14" t="str">
        <f>IF($A287&lt;&gt;"",MINIFS(Merchant!$A:$A,Merchant!$B:$B,$G$2),)</f>
        <v/>
      </c>
      <c r="D287" s="14" t="str">
        <f t="shared" si="2"/>
        <v/>
      </c>
      <c r="E287" s="14" t="str">
        <f t="shared" si="3"/>
        <v/>
      </c>
      <c r="F287" s="7" t="str">
        <f>IF($A287&lt;&gt;"",MAXIFS(Token!$C:$C,Token!$A:$A,$D287),)</f>
        <v/>
      </c>
    </row>
    <row r="288">
      <c r="A288" s="39" t="str">
        <f>IF(AND($L288*1&gt;=$G$3,$L288*1&lt;=$G$4,$I288*$J288&gt;0,OR($I288&lt;&gt;$I289,$L288-$L289&gt;25),IF(ABS($I288)&gt;10,$I288/POW(10,$J288),$J288/POW(10,$I288))*MAXIFS(Token!$C:$C,Token!$A:$A,$K288)&gt;0.01),$L288/86400+DATE(1970,1,1)+$G$6,)</f>
        <v/>
      </c>
      <c r="B288" s="27" t="str">
        <f t="shared" si="1"/>
        <v/>
      </c>
      <c r="C288" s="14" t="str">
        <f>IF($A288&lt;&gt;"",MINIFS(Merchant!$A:$A,Merchant!$B:$B,$G$2),)</f>
        <v/>
      </c>
      <c r="D288" s="14" t="str">
        <f t="shared" si="2"/>
        <v/>
      </c>
      <c r="E288" s="14" t="str">
        <f t="shared" si="3"/>
        <v/>
      </c>
      <c r="F288" s="7" t="str">
        <f>IF($A288&lt;&gt;"",MAXIFS(Token!$C:$C,Token!$A:$A,$D288),)</f>
        <v/>
      </c>
    </row>
    <row r="289">
      <c r="A289" s="39" t="str">
        <f>IF(AND($L289*1&gt;=$G$3,$L289*1&lt;=$G$4,$I289*$J289&gt;0,OR($I289&lt;&gt;$I290,$L289-$L290&gt;25),IF(ABS($I289)&gt;10,$I289/POW(10,$J289),$J289/POW(10,$I289))*MAXIFS(Token!$C:$C,Token!$A:$A,$K289)&gt;0.01),$L289/86400+DATE(1970,1,1)+$G$6,)</f>
        <v/>
      </c>
      <c r="B289" s="27" t="str">
        <f t="shared" si="1"/>
        <v/>
      </c>
      <c r="C289" s="14" t="str">
        <f>IF($A289&lt;&gt;"",MINIFS(Merchant!$A:$A,Merchant!$B:$B,$G$2),)</f>
        <v/>
      </c>
      <c r="D289" s="14" t="str">
        <f t="shared" si="2"/>
        <v/>
      </c>
      <c r="E289" s="14" t="str">
        <f t="shared" si="3"/>
        <v/>
      </c>
      <c r="F289" s="7" t="str">
        <f>IF($A289&lt;&gt;"",MAXIFS(Token!$C:$C,Token!$A:$A,$D289),)</f>
        <v/>
      </c>
    </row>
    <row r="290">
      <c r="A290" s="39" t="str">
        <f>IF(AND($L290*1&gt;=$G$3,$L290*1&lt;=$G$4,$I290*$J290&gt;0,OR($I290&lt;&gt;$I291,$L290-$L291&gt;25),IF(ABS($I290)&gt;10,$I290/POW(10,$J290),$J290/POW(10,$I290))*MAXIFS(Token!$C:$C,Token!$A:$A,$K290)&gt;0.01),$L290/86400+DATE(1970,1,1)+$G$6,)</f>
        <v/>
      </c>
      <c r="B290" s="27" t="str">
        <f t="shared" si="1"/>
        <v/>
      </c>
      <c r="C290" s="14" t="str">
        <f>IF($A290&lt;&gt;"",MINIFS(Merchant!$A:$A,Merchant!$B:$B,$G$2),)</f>
        <v/>
      </c>
      <c r="D290" s="14" t="str">
        <f t="shared" si="2"/>
        <v/>
      </c>
      <c r="E290" s="14" t="str">
        <f t="shared" si="3"/>
        <v/>
      </c>
      <c r="F290" s="7" t="str">
        <f>IF($A290&lt;&gt;"",MAXIFS(Token!$C:$C,Token!$A:$A,$D290),)</f>
        <v/>
      </c>
    </row>
    <row r="291">
      <c r="A291" s="39" t="str">
        <f>IF(AND($L291*1&gt;=$G$3,$L291*1&lt;=$G$4,$I291*$J291&gt;0,OR($I291&lt;&gt;$I292,$L291-$L292&gt;25),IF(ABS($I291)&gt;10,$I291/POW(10,$J291),$J291/POW(10,$I291))*MAXIFS(Token!$C:$C,Token!$A:$A,$K291)&gt;0.01),$L291/86400+DATE(1970,1,1)+$G$6,)</f>
        <v/>
      </c>
      <c r="B291" s="27" t="str">
        <f t="shared" si="1"/>
        <v/>
      </c>
      <c r="C291" s="14" t="str">
        <f>IF($A291&lt;&gt;"",MINIFS(Merchant!$A:$A,Merchant!$B:$B,$G$2),)</f>
        <v/>
      </c>
      <c r="D291" s="14" t="str">
        <f t="shared" si="2"/>
        <v/>
      </c>
      <c r="E291" s="14" t="str">
        <f t="shared" si="3"/>
        <v/>
      </c>
      <c r="F291" s="7" t="str">
        <f>IF($A291&lt;&gt;"",MAXIFS(Token!$C:$C,Token!$A:$A,$D291),)</f>
        <v/>
      </c>
    </row>
    <row r="292">
      <c r="A292" s="39" t="str">
        <f>IF(AND($L292*1&gt;=$G$3,$L292*1&lt;=$G$4,$I292*$J292&gt;0,OR($I292&lt;&gt;$I293,$L292-$L293&gt;25),IF(ABS($I292)&gt;10,$I292/POW(10,$J292),$J292/POW(10,$I292))*MAXIFS(Token!$C:$C,Token!$A:$A,$K292)&gt;0.01),$L292/86400+DATE(1970,1,1)+$G$6,)</f>
        <v/>
      </c>
      <c r="B292" s="27" t="str">
        <f t="shared" si="1"/>
        <v/>
      </c>
      <c r="C292" s="14" t="str">
        <f>IF($A292&lt;&gt;"",MINIFS(Merchant!$A:$A,Merchant!$B:$B,$G$2),)</f>
        <v/>
      </c>
      <c r="D292" s="14" t="str">
        <f t="shared" si="2"/>
        <v/>
      </c>
      <c r="E292" s="14" t="str">
        <f t="shared" si="3"/>
        <v/>
      </c>
      <c r="F292" s="7" t="str">
        <f>IF($A292&lt;&gt;"",MAXIFS(Token!$C:$C,Token!$A:$A,$D292),)</f>
        <v/>
      </c>
    </row>
    <row r="293">
      <c r="A293" s="39" t="str">
        <f>IF(AND($L293*1&gt;=$G$3,$L293*1&lt;=$G$4,$I293*$J293&gt;0,OR($I293&lt;&gt;$I294,$L293-$L294&gt;25),IF(ABS($I293)&gt;10,$I293/POW(10,$J293),$J293/POW(10,$I293))*MAXIFS(Token!$C:$C,Token!$A:$A,$K293)&gt;0.01),$L293/86400+DATE(1970,1,1)+$G$6,)</f>
        <v/>
      </c>
      <c r="B293" s="27" t="str">
        <f t="shared" si="1"/>
        <v/>
      </c>
      <c r="C293" s="14" t="str">
        <f>IF($A293&lt;&gt;"",MINIFS(Merchant!$A:$A,Merchant!$B:$B,$G$2),)</f>
        <v/>
      </c>
      <c r="D293" s="14" t="str">
        <f t="shared" si="2"/>
        <v/>
      </c>
      <c r="E293" s="14" t="str">
        <f t="shared" si="3"/>
        <v/>
      </c>
      <c r="F293" s="7" t="str">
        <f>IF($A293&lt;&gt;"",MAXIFS(Token!$C:$C,Token!$A:$A,$D293),)</f>
        <v/>
      </c>
    </row>
    <row r="294">
      <c r="A294" s="39" t="str">
        <f>IF(AND($L294*1&gt;=$G$3,$L294*1&lt;=$G$4,$I294*$J294&gt;0,OR($I294&lt;&gt;$I295,$L294-$L295&gt;25),IF(ABS($I294)&gt;10,$I294/POW(10,$J294),$J294/POW(10,$I294))*MAXIFS(Token!$C:$C,Token!$A:$A,$K294)&gt;0.01),$L294/86400+DATE(1970,1,1)+$G$6,)</f>
        <v/>
      </c>
      <c r="B294" s="27" t="str">
        <f t="shared" si="1"/>
        <v/>
      </c>
      <c r="C294" s="14" t="str">
        <f>IF($A294&lt;&gt;"",MINIFS(Merchant!$A:$A,Merchant!$B:$B,$G$2),)</f>
        <v/>
      </c>
      <c r="D294" s="14" t="str">
        <f t="shared" si="2"/>
        <v/>
      </c>
      <c r="E294" s="14" t="str">
        <f t="shared" si="3"/>
        <v/>
      </c>
      <c r="F294" s="7" t="str">
        <f>IF($A294&lt;&gt;"",MAXIFS(Token!$C:$C,Token!$A:$A,$D294),)</f>
        <v/>
      </c>
    </row>
    <row r="295">
      <c r="A295" s="39" t="str">
        <f>IF(AND($L295*1&gt;=$G$3,$L295*1&lt;=$G$4,$I295*$J295&gt;0,OR($I295&lt;&gt;$I296,$L295-$L296&gt;25),IF(ABS($I295)&gt;10,$I295/POW(10,$J295),$J295/POW(10,$I295))*MAXIFS(Token!$C:$C,Token!$A:$A,$K295)&gt;0.01),$L295/86400+DATE(1970,1,1)+$G$6,)</f>
        <v/>
      </c>
      <c r="B295" s="27" t="str">
        <f t="shared" si="1"/>
        <v/>
      </c>
      <c r="C295" s="14" t="str">
        <f>IF($A295&lt;&gt;"",MINIFS(Merchant!$A:$A,Merchant!$B:$B,$G$2),)</f>
        <v/>
      </c>
      <c r="D295" s="14" t="str">
        <f t="shared" si="2"/>
        <v/>
      </c>
      <c r="E295" s="14" t="str">
        <f t="shared" si="3"/>
        <v/>
      </c>
      <c r="F295" s="7" t="str">
        <f>IF($A295&lt;&gt;"",MAXIFS(Token!$C:$C,Token!$A:$A,$D295),)</f>
        <v/>
      </c>
    </row>
    <row r="296">
      <c r="A296" s="39" t="str">
        <f>IF(AND($L296*1&gt;=$G$3,$L296*1&lt;=$G$4,$I296*$J296&gt;0,OR($I296&lt;&gt;$I297,$L296-$L297&gt;25),IF(ABS($I296)&gt;10,$I296/POW(10,$J296),$J296/POW(10,$I296))*MAXIFS(Token!$C:$C,Token!$A:$A,$K296)&gt;0.01),$L296/86400+DATE(1970,1,1)+$G$6,)</f>
        <v/>
      </c>
      <c r="B296" s="27" t="str">
        <f t="shared" si="1"/>
        <v/>
      </c>
      <c r="C296" s="14" t="str">
        <f>IF($A296&lt;&gt;"",MINIFS(Merchant!$A:$A,Merchant!$B:$B,$G$2),)</f>
        <v/>
      </c>
      <c r="D296" s="14" t="str">
        <f t="shared" si="2"/>
        <v/>
      </c>
      <c r="E296" s="14" t="str">
        <f t="shared" si="3"/>
        <v/>
      </c>
      <c r="F296" s="7" t="str">
        <f>IF($A296&lt;&gt;"",MAXIFS(Token!$C:$C,Token!$A:$A,$D296),)</f>
        <v/>
      </c>
    </row>
    <row r="297">
      <c r="A297" s="39" t="str">
        <f>IF(AND($L297*1&gt;=$G$3,$L297*1&lt;=$G$4,$I297*$J297&gt;0,OR($I297&lt;&gt;$I298,$L297-$L298&gt;25),IF(ABS($I297)&gt;10,$I297/POW(10,$J297),$J297/POW(10,$I297))*MAXIFS(Token!$C:$C,Token!$A:$A,$K297)&gt;0.01),$L297/86400+DATE(1970,1,1)+$G$6,)</f>
        <v/>
      </c>
      <c r="B297" s="27" t="str">
        <f t="shared" si="1"/>
        <v/>
      </c>
      <c r="C297" s="14" t="str">
        <f>IF($A297&lt;&gt;"",MINIFS(Merchant!$A:$A,Merchant!$B:$B,$G$2),)</f>
        <v/>
      </c>
      <c r="D297" s="14" t="str">
        <f t="shared" si="2"/>
        <v/>
      </c>
      <c r="E297" s="14" t="str">
        <f t="shared" si="3"/>
        <v/>
      </c>
      <c r="F297" s="7" t="str">
        <f>IF($A297&lt;&gt;"",MAXIFS(Token!$C:$C,Token!$A:$A,$D297),)</f>
        <v/>
      </c>
    </row>
    <row r="298">
      <c r="A298" s="39" t="str">
        <f>IF(AND($L298*1&gt;=$G$3,$L298*1&lt;=$G$4,$I298*$J298&gt;0,OR($I298&lt;&gt;$I299,$L298-$L299&gt;25),IF(ABS($I298)&gt;10,$I298/POW(10,$J298),$J298/POW(10,$I298))*MAXIFS(Token!$C:$C,Token!$A:$A,$K298)&gt;0.01),$L298/86400+DATE(1970,1,1)+$G$6,)</f>
        <v/>
      </c>
      <c r="B298" s="27" t="str">
        <f t="shared" si="1"/>
        <v/>
      </c>
      <c r="C298" s="14" t="str">
        <f>IF($A298&lt;&gt;"",MINIFS(Merchant!$A:$A,Merchant!$B:$B,$G$2),)</f>
        <v/>
      </c>
      <c r="D298" s="14" t="str">
        <f t="shared" si="2"/>
        <v/>
      </c>
      <c r="E298" s="14" t="str">
        <f t="shared" si="3"/>
        <v/>
      </c>
      <c r="F298" s="7" t="str">
        <f>IF($A298&lt;&gt;"",MAXIFS(Token!$C:$C,Token!$A:$A,$D298),)</f>
        <v/>
      </c>
    </row>
    <row r="299">
      <c r="A299" s="39" t="str">
        <f>IF(AND($L299*1&gt;=$G$3,$L299*1&lt;=$G$4,$I299*$J299&gt;0,OR($I299&lt;&gt;$I300,$L299-$L300&gt;25),IF(ABS($I299)&gt;10,$I299/POW(10,$J299),$J299/POW(10,$I299))*MAXIFS(Token!$C:$C,Token!$A:$A,$K299)&gt;0.01),$L299/86400+DATE(1970,1,1)+$G$6,)</f>
        <v/>
      </c>
      <c r="B299" s="27" t="str">
        <f t="shared" si="1"/>
        <v/>
      </c>
      <c r="C299" s="14" t="str">
        <f>IF($A299&lt;&gt;"",MINIFS(Merchant!$A:$A,Merchant!$B:$B,$G$2),)</f>
        <v/>
      </c>
      <c r="D299" s="14" t="str">
        <f t="shared" si="2"/>
        <v/>
      </c>
      <c r="E299" s="14" t="str">
        <f t="shared" si="3"/>
        <v/>
      </c>
      <c r="F299" s="7" t="str">
        <f>IF($A299&lt;&gt;"",MAXIFS(Token!$C:$C,Token!$A:$A,$D299),)</f>
        <v/>
      </c>
    </row>
    <row r="300">
      <c r="A300" s="39" t="str">
        <f>IF(AND($L300*1&gt;=$G$3,$L300*1&lt;=$G$4,$I300*$J300&gt;0,OR($I300&lt;&gt;$I301,$L300-$L301&gt;25),IF(ABS($I300)&gt;10,$I300/POW(10,$J300),$J300/POW(10,$I300))*MAXIFS(Token!$C:$C,Token!$A:$A,$K300)&gt;0.01),$L300/86400+DATE(1970,1,1)+$G$6,)</f>
        <v/>
      </c>
      <c r="B300" s="27" t="str">
        <f t="shared" si="1"/>
        <v/>
      </c>
      <c r="C300" s="14" t="str">
        <f>IF($A300&lt;&gt;"",MINIFS(Merchant!$A:$A,Merchant!$B:$B,$G$2),)</f>
        <v/>
      </c>
      <c r="D300" s="14" t="str">
        <f t="shared" si="2"/>
        <v/>
      </c>
      <c r="E300" s="14" t="str">
        <f t="shared" si="3"/>
        <v/>
      </c>
      <c r="F300" s="7" t="str">
        <f>IF($A300&lt;&gt;"",MAXIFS(Token!$C:$C,Token!$A:$A,$D300),)</f>
        <v/>
      </c>
    </row>
    <row r="301">
      <c r="A301" s="39" t="str">
        <f>IF(AND($L301*1&gt;=$G$3,$L301*1&lt;=$G$4,$I301*$J301&gt;0,OR($I301&lt;&gt;$I302,$L301-$L302&gt;25),IF(ABS($I301)&gt;10,$I301/POW(10,$J301),$J301/POW(10,$I301))*MAXIFS(Token!$C:$C,Token!$A:$A,$K301)&gt;0.01),$L301/86400+DATE(1970,1,1)+$G$6,)</f>
        <v/>
      </c>
      <c r="B301" s="27" t="str">
        <f t="shared" si="1"/>
        <v/>
      </c>
      <c r="C301" s="14" t="str">
        <f>IF($A301&lt;&gt;"",MINIFS(Merchant!$A:$A,Merchant!$B:$B,$G$2),)</f>
        <v/>
      </c>
      <c r="D301" s="14" t="str">
        <f t="shared" si="2"/>
        <v/>
      </c>
      <c r="E301" s="14" t="str">
        <f t="shared" si="3"/>
        <v/>
      </c>
      <c r="F301" s="7" t="str">
        <f>IF($A301&lt;&gt;"",MAXIFS(Token!$C:$C,Token!$A:$A,$D301),)</f>
        <v/>
      </c>
    </row>
    <row r="302">
      <c r="A302" s="39" t="str">
        <f>IF(AND($L302*1&gt;=$G$3,$L302*1&lt;=$G$4,$I302*$J302&gt;0,OR($I302&lt;&gt;$I303,$L302-$L303&gt;25),IF(ABS($I302)&gt;10,$I302/POW(10,$J302),$J302/POW(10,$I302))*MAXIFS(Token!$C:$C,Token!$A:$A,$K302)&gt;0.01),$L302/86400+DATE(1970,1,1)+$G$6,)</f>
        <v/>
      </c>
      <c r="B302" s="27" t="str">
        <f t="shared" si="1"/>
        <v/>
      </c>
      <c r="C302" s="14" t="str">
        <f>IF($A302&lt;&gt;"",MINIFS(Merchant!$A:$A,Merchant!$B:$B,$G$2),)</f>
        <v/>
      </c>
      <c r="D302" s="14" t="str">
        <f t="shared" si="2"/>
        <v/>
      </c>
      <c r="E302" s="14" t="str">
        <f t="shared" si="3"/>
        <v/>
      </c>
      <c r="F302" s="7" t="str">
        <f>IF($A302&lt;&gt;"",MAXIFS(Token!$C:$C,Token!$A:$A,$D302),)</f>
        <v/>
      </c>
    </row>
    <row r="303">
      <c r="A303" s="39" t="str">
        <f>IF(AND($L303*1&gt;=$G$3,$L303*1&lt;=$G$4,$I303*$J303&gt;0,OR($I303&lt;&gt;$I304,$L303-$L304&gt;25),IF(ABS($I303)&gt;10,$I303/POW(10,$J303),$J303/POW(10,$I303))*MAXIFS(Token!$C:$C,Token!$A:$A,$K303)&gt;0.01),$L303/86400+DATE(1970,1,1)+$G$6,)</f>
        <v/>
      </c>
      <c r="B303" s="27" t="str">
        <f t="shared" si="1"/>
        <v/>
      </c>
      <c r="C303" s="14" t="str">
        <f>IF($A303&lt;&gt;"",MINIFS(Merchant!$A:$A,Merchant!$B:$B,$G$2),)</f>
        <v/>
      </c>
      <c r="D303" s="14" t="str">
        <f t="shared" si="2"/>
        <v/>
      </c>
      <c r="E303" s="14" t="str">
        <f t="shared" si="3"/>
        <v/>
      </c>
      <c r="F303" s="7" t="str">
        <f>IF($A303&lt;&gt;"",MAXIFS(Token!$C:$C,Token!$A:$A,$D303),)</f>
        <v/>
      </c>
    </row>
    <row r="304">
      <c r="A304" s="39" t="str">
        <f>IF(AND($L304*1&gt;=$G$3,$L304*1&lt;=$G$4,$I304*$J304&gt;0,OR($I304&lt;&gt;$I305,$L304-$L305&gt;25),IF(ABS($I304)&gt;10,$I304/POW(10,$J304),$J304/POW(10,$I304))*MAXIFS(Token!$C:$C,Token!$A:$A,$K304)&gt;0.01),$L304/86400+DATE(1970,1,1)+$G$6,)</f>
        <v/>
      </c>
      <c r="B304" s="27" t="str">
        <f t="shared" si="1"/>
        <v/>
      </c>
      <c r="C304" s="14" t="str">
        <f>IF($A304&lt;&gt;"",MINIFS(Merchant!$A:$A,Merchant!$B:$B,$G$2),)</f>
        <v/>
      </c>
      <c r="D304" s="14" t="str">
        <f t="shared" si="2"/>
        <v/>
      </c>
      <c r="E304" s="14" t="str">
        <f t="shared" si="3"/>
        <v/>
      </c>
      <c r="F304" s="7" t="str">
        <f>IF($A304&lt;&gt;"",MAXIFS(Token!$C:$C,Token!$A:$A,$D304),)</f>
        <v/>
      </c>
    </row>
    <row r="305">
      <c r="A305" s="39" t="str">
        <f>IF(AND($L305*1&gt;=$G$3,$L305*1&lt;=$G$4,$I305*$J305&gt;0,OR($I305&lt;&gt;$I306,$L305-$L306&gt;25),IF(ABS($I305)&gt;10,$I305/POW(10,$J305),$J305/POW(10,$I305))*MAXIFS(Token!$C:$C,Token!$A:$A,$K305)&gt;0.01),$L305/86400+DATE(1970,1,1)+$G$6,)</f>
        <v/>
      </c>
      <c r="B305" s="27" t="str">
        <f t="shared" si="1"/>
        <v/>
      </c>
      <c r="C305" s="14" t="str">
        <f>IF($A305&lt;&gt;"",MINIFS(Merchant!$A:$A,Merchant!$B:$B,$G$2),)</f>
        <v/>
      </c>
      <c r="D305" s="14" t="str">
        <f t="shared" si="2"/>
        <v/>
      </c>
      <c r="E305" s="14" t="str">
        <f t="shared" si="3"/>
        <v/>
      </c>
      <c r="F305" s="7" t="str">
        <f>IF($A305&lt;&gt;"",MAXIFS(Token!$C:$C,Token!$A:$A,$D305),)</f>
        <v/>
      </c>
    </row>
    <row r="306">
      <c r="A306" s="39" t="str">
        <f>IF(AND($L306*1&gt;=$G$3,$L306*1&lt;=$G$4,$I306*$J306&gt;0,OR($I306&lt;&gt;$I307,$L306-$L307&gt;25),IF(ABS($I306)&gt;10,$I306/POW(10,$J306),$J306/POW(10,$I306))*MAXIFS(Token!$C:$C,Token!$A:$A,$K306)&gt;0.01),$L306/86400+DATE(1970,1,1)+$G$6,)</f>
        <v/>
      </c>
      <c r="B306" s="27" t="str">
        <f t="shared" si="1"/>
        <v/>
      </c>
      <c r="C306" s="14" t="str">
        <f>IF($A306&lt;&gt;"",MINIFS(Merchant!$A:$A,Merchant!$B:$B,$G$2),)</f>
        <v/>
      </c>
      <c r="D306" s="14" t="str">
        <f t="shared" si="2"/>
        <v/>
      </c>
      <c r="E306" s="14" t="str">
        <f t="shared" si="3"/>
        <v/>
      </c>
      <c r="F306" s="7" t="str">
        <f>IF($A306&lt;&gt;"",MAXIFS(Token!$C:$C,Token!$A:$A,$D306),)</f>
        <v/>
      </c>
    </row>
    <row r="307">
      <c r="A307" s="39" t="str">
        <f>IF(AND($L307*1&gt;=$G$3,$L307*1&lt;=$G$4,$I307*$J307&gt;0,OR($I307&lt;&gt;$I308,$L307-$L308&gt;25),IF(ABS($I307)&gt;10,$I307/POW(10,$J307),$J307/POW(10,$I307))*MAXIFS(Token!$C:$C,Token!$A:$A,$K307)&gt;0.01),$L307/86400+DATE(1970,1,1)+$G$6,)</f>
        <v/>
      </c>
      <c r="B307" s="27" t="str">
        <f t="shared" si="1"/>
        <v/>
      </c>
      <c r="C307" s="14" t="str">
        <f>IF($A307&lt;&gt;"",MINIFS(Merchant!$A:$A,Merchant!$B:$B,$G$2),)</f>
        <v/>
      </c>
      <c r="D307" s="14" t="str">
        <f t="shared" si="2"/>
        <v/>
      </c>
      <c r="E307" s="14" t="str">
        <f t="shared" si="3"/>
        <v/>
      </c>
      <c r="F307" s="7" t="str">
        <f>IF($A307&lt;&gt;"",MAXIFS(Token!$C:$C,Token!$A:$A,$D307),)</f>
        <v/>
      </c>
    </row>
    <row r="308">
      <c r="A308" s="39" t="str">
        <f>IF(AND($L308*1&gt;=$G$3,$L308*1&lt;=$G$4,$I308*$J308&gt;0,OR($I308&lt;&gt;$I309,$L308-$L309&gt;25),IF(ABS($I308)&gt;10,$I308/POW(10,$J308),$J308/POW(10,$I308))*MAXIFS(Token!$C:$C,Token!$A:$A,$K308)&gt;0.01),$L308/86400+DATE(1970,1,1)+$G$6,)</f>
        <v/>
      </c>
      <c r="B308" s="27" t="str">
        <f t="shared" si="1"/>
        <v/>
      </c>
      <c r="C308" s="14" t="str">
        <f>IF($A308&lt;&gt;"",MINIFS(Merchant!$A:$A,Merchant!$B:$B,$G$2),)</f>
        <v/>
      </c>
      <c r="D308" s="14" t="str">
        <f t="shared" si="2"/>
        <v/>
      </c>
      <c r="E308" s="14" t="str">
        <f t="shared" si="3"/>
        <v/>
      </c>
      <c r="F308" s="7" t="str">
        <f>IF($A308&lt;&gt;"",MAXIFS(Token!$C:$C,Token!$A:$A,$D308),)</f>
        <v/>
      </c>
    </row>
    <row r="309">
      <c r="A309" s="39" t="str">
        <f>IF(AND($L309*1&gt;=$G$3,$L309*1&lt;=$G$4,$I309*$J309&gt;0,OR($I309&lt;&gt;$I310,$L309-$L310&gt;25),IF(ABS($I309)&gt;10,$I309/POW(10,$J309),$J309/POW(10,$I309))*MAXIFS(Token!$C:$C,Token!$A:$A,$K309)&gt;0.01),$L309/86400+DATE(1970,1,1)+$G$6,)</f>
        <v/>
      </c>
      <c r="B309" s="27" t="str">
        <f t="shared" si="1"/>
        <v/>
      </c>
      <c r="C309" s="14" t="str">
        <f>IF($A309&lt;&gt;"",MINIFS(Merchant!$A:$A,Merchant!$B:$B,$G$2),)</f>
        <v/>
      </c>
      <c r="D309" s="14" t="str">
        <f t="shared" si="2"/>
        <v/>
      </c>
      <c r="E309" s="14" t="str">
        <f t="shared" si="3"/>
        <v/>
      </c>
      <c r="F309" s="7" t="str">
        <f>IF($A309&lt;&gt;"",MAXIFS(Token!$C:$C,Token!$A:$A,$D309),)</f>
        <v/>
      </c>
    </row>
    <row r="310">
      <c r="A310" s="39" t="str">
        <f>IF(AND($L310*1&gt;=$G$3,$L310*1&lt;=$G$4,$I310*$J310&gt;0,OR($I310&lt;&gt;$I311,$L310-$L311&gt;25),IF(ABS($I310)&gt;10,$I310/POW(10,$J310),$J310/POW(10,$I310))*MAXIFS(Token!$C:$C,Token!$A:$A,$K310)&gt;0.01),$L310/86400+DATE(1970,1,1)+$G$6,)</f>
        <v/>
      </c>
      <c r="B310" s="27" t="str">
        <f t="shared" si="1"/>
        <v/>
      </c>
      <c r="C310" s="14" t="str">
        <f>IF($A310&lt;&gt;"",MINIFS(Merchant!$A:$A,Merchant!$B:$B,$G$2),)</f>
        <v/>
      </c>
      <c r="D310" s="14" t="str">
        <f t="shared" si="2"/>
        <v/>
      </c>
      <c r="E310" s="14" t="str">
        <f t="shared" si="3"/>
        <v/>
      </c>
      <c r="F310" s="7" t="str">
        <f>IF($A310&lt;&gt;"",MAXIFS(Token!$C:$C,Token!$A:$A,$D310),)</f>
        <v/>
      </c>
    </row>
    <row r="311">
      <c r="A311" s="39" t="str">
        <f>IF(AND($L311*1&gt;=$G$3,$L311*1&lt;=$G$4,$I311*$J311&gt;0,OR($I311&lt;&gt;$I312,$L311-$L312&gt;25),IF(ABS($I311)&gt;10,$I311/POW(10,$J311),$J311/POW(10,$I311))*MAXIFS(Token!$C:$C,Token!$A:$A,$K311)&gt;0.01),$L311/86400+DATE(1970,1,1)+$G$6,)</f>
        <v/>
      </c>
      <c r="B311" s="27" t="str">
        <f t="shared" si="1"/>
        <v/>
      </c>
      <c r="C311" s="14" t="str">
        <f>IF($A311&lt;&gt;"",MINIFS(Merchant!$A:$A,Merchant!$B:$B,$G$2),)</f>
        <v/>
      </c>
      <c r="D311" s="14" t="str">
        <f t="shared" si="2"/>
        <v/>
      </c>
      <c r="E311" s="14" t="str">
        <f t="shared" si="3"/>
        <v/>
      </c>
      <c r="F311" s="7" t="str">
        <f>IF($A311&lt;&gt;"",MAXIFS(Token!$C:$C,Token!$A:$A,$D311),)</f>
        <v/>
      </c>
    </row>
    <row r="312">
      <c r="A312" s="39" t="str">
        <f>IF(AND($L312*1&gt;=$G$3,$L312*1&lt;=$G$4,$I312*$J312&gt;0,OR($I312&lt;&gt;$I313,$L312-$L313&gt;25),IF(ABS($I312)&gt;10,$I312/POW(10,$J312),$J312/POW(10,$I312))*MAXIFS(Token!$C:$C,Token!$A:$A,$K312)&gt;0.01),$L312/86400+DATE(1970,1,1)+$G$6,)</f>
        <v/>
      </c>
      <c r="B312" s="27" t="str">
        <f t="shared" si="1"/>
        <v/>
      </c>
      <c r="C312" s="14" t="str">
        <f>IF($A312&lt;&gt;"",MINIFS(Merchant!$A:$A,Merchant!$B:$B,$G$2),)</f>
        <v/>
      </c>
      <c r="D312" s="14" t="str">
        <f t="shared" si="2"/>
        <v/>
      </c>
      <c r="E312" s="14" t="str">
        <f t="shared" si="3"/>
        <v/>
      </c>
      <c r="F312" s="7" t="str">
        <f>IF($A312&lt;&gt;"",MAXIFS(Token!$C:$C,Token!$A:$A,$D312),)</f>
        <v/>
      </c>
    </row>
    <row r="313">
      <c r="A313" s="39" t="str">
        <f>IF(AND($L313*1&gt;=$G$3,$L313*1&lt;=$G$4,$I313*$J313&gt;0,OR($I313&lt;&gt;$I314,$L313-$L314&gt;25),IF(ABS($I313)&gt;10,$I313/POW(10,$J313),$J313/POW(10,$I313))*MAXIFS(Token!$C:$C,Token!$A:$A,$K313)&gt;0.01),$L313/86400+DATE(1970,1,1)+$G$6,)</f>
        <v/>
      </c>
      <c r="B313" s="27" t="str">
        <f t="shared" si="1"/>
        <v/>
      </c>
      <c r="C313" s="14" t="str">
        <f>IF($A313&lt;&gt;"",MINIFS(Merchant!$A:$A,Merchant!$B:$B,$G$2),)</f>
        <v/>
      </c>
      <c r="D313" s="14" t="str">
        <f t="shared" si="2"/>
        <v/>
      </c>
      <c r="E313" s="14" t="str">
        <f t="shared" si="3"/>
        <v/>
      </c>
      <c r="F313" s="7" t="str">
        <f>IF($A313&lt;&gt;"",MAXIFS(Token!$C:$C,Token!$A:$A,$D313),)</f>
        <v/>
      </c>
    </row>
    <row r="314">
      <c r="A314" s="39" t="str">
        <f>IF(AND($L314*1&gt;=$G$3,$L314*1&lt;=$G$4,$I314*$J314&gt;0,OR($I314&lt;&gt;$I315,$L314-$L315&gt;25),IF(ABS($I314)&gt;10,$I314/POW(10,$J314),$J314/POW(10,$I314))*MAXIFS(Token!$C:$C,Token!$A:$A,$K314)&gt;0.01),$L314/86400+DATE(1970,1,1)+$G$6,)</f>
        <v/>
      </c>
      <c r="B314" s="27" t="str">
        <f t="shared" si="1"/>
        <v/>
      </c>
      <c r="C314" s="14" t="str">
        <f>IF($A314&lt;&gt;"",MINIFS(Merchant!$A:$A,Merchant!$B:$B,$G$2),)</f>
        <v/>
      </c>
      <c r="D314" s="14" t="str">
        <f t="shared" si="2"/>
        <v/>
      </c>
      <c r="E314" s="14" t="str">
        <f t="shared" si="3"/>
        <v/>
      </c>
      <c r="F314" s="7" t="str">
        <f>IF($A314&lt;&gt;"",MAXIFS(Token!$C:$C,Token!$A:$A,$D314),)</f>
        <v/>
      </c>
    </row>
    <row r="315">
      <c r="A315" s="39" t="str">
        <f>IF(AND($L315*1&gt;=$G$3,$L315*1&lt;=$G$4,$I315*$J315&gt;0,OR($I315&lt;&gt;$I316,$L315-$L316&gt;25),IF(ABS($I315)&gt;10,$I315/POW(10,$J315),$J315/POW(10,$I315))*MAXIFS(Token!$C:$C,Token!$A:$A,$K315)&gt;0.01),$L315/86400+DATE(1970,1,1)+$G$6,)</f>
        <v/>
      </c>
      <c r="B315" s="27" t="str">
        <f t="shared" si="1"/>
        <v/>
      </c>
      <c r="C315" s="14" t="str">
        <f>IF($A315&lt;&gt;"",MINIFS(Merchant!$A:$A,Merchant!$B:$B,$G$2),)</f>
        <v/>
      </c>
      <c r="D315" s="14" t="str">
        <f t="shared" si="2"/>
        <v/>
      </c>
      <c r="E315" s="14" t="str">
        <f t="shared" si="3"/>
        <v/>
      </c>
      <c r="F315" s="7" t="str">
        <f>IF($A315&lt;&gt;"",MAXIFS(Token!$C:$C,Token!$A:$A,$D315),)</f>
        <v/>
      </c>
    </row>
    <row r="316">
      <c r="A316" s="39" t="str">
        <f>IF(AND($L316*1&gt;=$G$3,$L316*1&lt;=$G$4,$I316*$J316&gt;0,OR($I316&lt;&gt;$I317,$L316-$L317&gt;25),IF(ABS($I316)&gt;10,$I316/POW(10,$J316),$J316/POW(10,$I316))*MAXIFS(Token!$C:$C,Token!$A:$A,$K316)&gt;0.01),$L316/86400+DATE(1970,1,1)+$G$6,)</f>
        <v/>
      </c>
      <c r="B316" s="27" t="str">
        <f t="shared" si="1"/>
        <v/>
      </c>
      <c r="C316" s="14" t="str">
        <f>IF($A316&lt;&gt;"",MINIFS(Merchant!$A:$A,Merchant!$B:$B,$G$2),)</f>
        <v/>
      </c>
      <c r="D316" s="14" t="str">
        <f t="shared" si="2"/>
        <v/>
      </c>
      <c r="E316" s="14" t="str">
        <f t="shared" si="3"/>
        <v/>
      </c>
      <c r="F316" s="7" t="str">
        <f>IF($A316&lt;&gt;"",MAXIFS(Token!$C:$C,Token!$A:$A,$D316),)</f>
        <v/>
      </c>
    </row>
    <row r="317">
      <c r="A317" s="39" t="str">
        <f>IF(AND($L317*1&gt;=$G$3,$L317*1&lt;=$G$4,$I317*$J317&gt;0,OR($I317&lt;&gt;$I318,$L317-$L318&gt;25),IF(ABS($I317)&gt;10,$I317/POW(10,$J317),$J317/POW(10,$I317))*MAXIFS(Token!$C:$C,Token!$A:$A,$K317)&gt;0.01),$L317/86400+DATE(1970,1,1)+$G$6,)</f>
        <v/>
      </c>
      <c r="B317" s="27" t="str">
        <f t="shared" si="1"/>
        <v/>
      </c>
      <c r="C317" s="14" t="str">
        <f>IF($A317&lt;&gt;"",MINIFS(Merchant!$A:$A,Merchant!$B:$B,$G$2),)</f>
        <v/>
      </c>
      <c r="D317" s="14" t="str">
        <f t="shared" si="2"/>
        <v/>
      </c>
      <c r="E317" s="14" t="str">
        <f t="shared" si="3"/>
        <v/>
      </c>
      <c r="F317" s="7" t="str">
        <f>IF($A317&lt;&gt;"",MAXIFS(Token!$C:$C,Token!$A:$A,$D317),)</f>
        <v/>
      </c>
    </row>
    <row r="318">
      <c r="A318" s="39" t="str">
        <f>IF(AND($L318*1&gt;=$G$3,$L318*1&lt;=$G$4,$I318*$J318&gt;0,OR($I318&lt;&gt;$I319,$L318-$L319&gt;25),IF(ABS($I318)&gt;10,$I318/POW(10,$J318),$J318/POW(10,$I318))*MAXIFS(Token!$C:$C,Token!$A:$A,$K318)&gt;0.01),$L318/86400+DATE(1970,1,1)+$G$6,)</f>
        <v/>
      </c>
      <c r="B318" s="27" t="str">
        <f t="shared" si="1"/>
        <v/>
      </c>
      <c r="C318" s="14" t="str">
        <f>IF($A318&lt;&gt;"",MINIFS(Merchant!$A:$A,Merchant!$B:$B,$G$2),)</f>
        <v/>
      </c>
      <c r="D318" s="14" t="str">
        <f t="shared" si="2"/>
        <v/>
      </c>
      <c r="E318" s="14" t="str">
        <f t="shared" si="3"/>
        <v/>
      </c>
      <c r="F318" s="7" t="str">
        <f>IF($A318&lt;&gt;"",MAXIFS(Token!$C:$C,Token!$A:$A,$D318),)</f>
        <v/>
      </c>
    </row>
    <row r="319">
      <c r="A319" s="39" t="str">
        <f>IF(AND($L319*1&gt;=$G$3,$L319*1&lt;=$G$4,$I319*$J319&gt;0,OR($I319&lt;&gt;$I320,$L319-$L320&gt;25),IF(ABS($I319)&gt;10,$I319/POW(10,$J319),$J319/POW(10,$I319))*MAXIFS(Token!$C:$C,Token!$A:$A,$K319)&gt;0.01),$L319/86400+DATE(1970,1,1)+$G$6,)</f>
        <v/>
      </c>
      <c r="B319" s="27" t="str">
        <f t="shared" si="1"/>
        <v/>
      </c>
      <c r="C319" s="14" t="str">
        <f>IF($A319&lt;&gt;"",MINIFS(Merchant!$A:$A,Merchant!$B:$B,$G$2),)</f>
        <v/>
      </c>
      <c r="D319" s="14" t="str">
        <f t="shared" si="2"/>
        <v/>
      </c>
      <c r="E319" s="14" t="str">
        <f t="shared" si="3"/>
        <v/>
      </c>
      <c r="F319" s="7" t="str">
        <f>IF($A319&lt;&gt;"",MAXIFS(Token!$C:$C,Token!$A:$A,$D319),)</f>
        <v/>
      </c>
    </row>
    <row r="320">
      <c r="A320" s="39" t="str">
        <f>IF(AND($L320*1&gt;=$G$3,$L320*1&lt;=$G$4,$I320*$J320&gt;0,OR($I320&lt;&gt;$I321,$L320-$L321&gt;25),IF(ABS($I320)&gt;10,$I320/POW(10,$J320),$J320/POW(10,$I320))*MAXIFS(Token!$C:$C,Token!$A:$A,$K320)&gt;0.01),$L320/86400+DATE(1970,1,1)+$G$6,)</f>
        <v/>
      </c>
      <c r="B320" s="27" t="str">
        <f t="shared" si="1"/>
        <v/>
      </c>
      <c r="C320" s="14" t="str">
        <f>IF($A320&lt;&gt;"",MINIFS(Merchant!$A:$A,Merchant!$B:$B,$G$2),)</f>
        <v/>
      </c>
      <c r="D320" s="14" t="str">
        <f t="shared" si="2"/>
        <v/>
      </c>
      <c r="E320" s="14" t="str">
        <f t="shared" si="3"/>
        <v/>
      </c>
      <c r="F320" s="7" t="str">
        <f>IF($A320&lt;&gt;"",MAXIFS(Token!$C:$C,Token!$A:$A,$D320),)</f>
        <v/>
      </c>
    </row>
    <row r="321">
      <c r="A321" s="39" t="str">
        <f>IF(AND($L321*1&gt;=$G$3,$L321*1&lt;=$G$4,$I321*$J321&gt;0,OR($I321&lt;&gt;$I322,$L321-$L322&gt;25),IF(ABS($I321)&gt;10,$I321/POW(10,$J321),$J321/POW(10,$I321))*MAXIFS(Token!$C:$C,Token!$A:$A,$K321)&gt;0.01),$L321/86400+DATE(1970,1,1)+$G$6,)</f>
        <v/>
      </c>
      <c r="B321" s="27" t="str">
        <f t="shared" si="1"/>
        <v/>
      </c>
      <c r="C321" s="14" t="str">
        <f>IF($A321&lt;&gt;"",MINIFS(Merchant!$A:$A,Merchant!$B:$B,$G$2),)</f>
        <v/>
      </c>
      <c r="D321" s="14" t="str">
        <f t="shared" si="2"/>
        <v/>
      </c>
      <c r="E321" s="14" t="str">
        <f t="shared" si="3"/>
        <v/>
      </c>
      <c r="F321" s="7" t="str">
        <f>IF($A321&lt;&gt;"",MAXIFS(Token!$C:$C,Token!$A:$A,$D321),)</f>
        <v/>
      </c>
    </row>
    <row r="322">
      <c r="A322" s="39" t="str">
        <f>IF(AND($L322*1&gt;=$G$3,$L322*1&lt;=$G$4,$I322*$J322&gt;0,OR($I322&lt;&gt;$I323,$L322-$L323&gt;25),IF(ABS($I322)&gt;10,$I322/POW(10,$J322),$J322/POW(10,$I322))*MAXIFS(Token!$C:$C,Token!$A:$A,$K322)&gt;0.01),$L322/86400+DATE(1970,1,1)+$G$6,)</f>
        <v/>
      </c>
      <c r="B322" s="27" t="str">
        <f t="shared" si="1"/>
        <v/>
      </c>
      <c r="C322" s="14" t="str">
        <f>IF($A322&lt;&gt;"",MINIFS(Merchant!$A:$A,Merchant!$B:$B,$G$2),)</f>
        <v/>
      </c>
      <c r="D322" s="14" t="str">
        <f t="shared" si="2"/>
        <v/>
      </c>
      <c r="E322" s="14" t="str">
        <f t="shared" si="3"/>
        <v/>
      </c>
      <c r="F322" s="7" t="str">
        <f>IF($A322&lt;&gt;"",MAXIFS(Token!$C:$C,Token!$A:$A,$D322),)</f>
        <v/>
      </c>
    </row>
    <row r="323">
      <c r="A323" s="39" t="str">
        <f>IF(AND($L323*1&gt;=$G$3,$L323*1&lt;=$G$4,$I323*$J323&gt;0,OR($I323&lt;&gt;$I324,$L323-$L324&gt;25),IF(ABS($I323)&gt;10,$I323/POW(10,$J323),$J323/POW(10,$I323))*MAXIFS(Token!$C:$C,Token!$A:$A,$K323)&gt;0.01),$L323/86400+DATE(1970,1,1)+$G$6,)</f>
        <v/>
      </c>
      <c r="B323" s="27" t="str">
        <f t="shared" si="1"/>
        <v/>
      </c>
      <c r="C323" s="14" t="str">
        <f>IF($A323&lt;&gt;"",MINIFS(Merchant!$A:$A,Merchant!$B:$B,$G$2),)</f>
        <v/>
      </c>
      <c r="D323" s="14" t="str">
        <f t="shared" si="2"/>
        <v/>
      </c>
      <c r="E323" s="14" t="str">
        <f t="shared" si="3"/>
        <v/>
      </c>
      <c r="F323" s="7" t="str">
        <f>IF($A323&lt;&gt;"",MAXIFS(Token!$C:$C,Token!$A:$A,$D323),)</f>
        <v/>
      </c>
    </row>
    <row r="324">
      <c r="A324" s="39" t="str">
        <f>IF(AND($L324*1&gt;=$G$3,$L324*1&lt;=$G$4,$I324*$J324&gt;0,OR($I324&lt;&gt;$I325,$L324-$L325&gt;25),IF(ABS($I324)&gt;10,$I324/POW(10,$J324),$J324/POW(10,$I324))*MAXIFS(Token!$C:$C,Token!$A:$A,$K324)&gt;0.01),$L324/86400+DATE(1970,1,1)+$G$6,)</f>
        <v/>
      </c>
      <c r="B324" s="27" t="str">
        <f t="shared" si="1"/>
        <v/>
      </c>
      <c r="C324" s="14" t="str">
        <f>IF($A324&lt;&gt;"",MINIFS(Merchant!$A:$A,Merchant!$B:$B,$G$2),)</f>
        <v/>
      </c>
      <c r="D324" s="14" t="str">
        <f t="shared" si="2"/>
        <v/>
      </c>
      <c r="E324" s="14" t="str">
        <f t="shared" si="3"/>
        <v/>
      </c>
      <c r="F324" s="7" t="str">
        <f>IF($A324&lt;&gt;"",MAXIFS(Token!$C:$C,Token!$A:$A,$D324),)</f>
        <v/>
      </c>
    </row>
    <row r="325">
      <c r="A325" s="39" t="str">
        <f>IF(AND($L325*1&gt;=$G$3,$L325*1&lt;=$G$4,$I325*$J325&gt;0,OR($I325&lt;&gt;$I326,$L325-$L326&gt;25),IF(ABS($I325)&gt;10,$I325/POW(10,$J325),$J325/POW(10,$I325))*MAXIFS(Token!$C:$C,Token!$A:$A,$K325)&gt;0.01),$L325/86400+DATE(1970,1,1)+$G$6,)</f>
        <v/>
      </c>
      <c r="B325" s="27" t="str">
        <f t="shared" si="1"/>
        <v/>
      </c>
      <c r="C325" s="14" t="str">
        <f>IF($A325&lt;&gt;"",MINIFS(Merchant!$A:$A,Merchant!$B:$B,$G$2),)</f>
        <v/>
      </c>
      <c r="D325" s="14" t="str">
        <f t="shared" si="2"/>
        <v/>
      </c>
      <c r="E325" s="14" t="str">
        <f t="shared" si="3"/>
        <v/>
      </c>
      <c r="F325" s="7" t="str">
        <f>IF($A325&lt;&gt;"",MAXIFS(Token!$C:$C,Token!$A:$A,$D325),)</f>
        <v/>
      </c>
    </row>
    <row r="326">
      <c r="A326" s="39" t="str">
        <f>IF(AND($L326*1&gt;=$G$3,$L326*1&lt;=$G$4,$I326*$J326&gt;0,OR($I326&lt;&gt;$I327,$L326-$L327&gt;25),IF(ABS($I326)&gt;10,$I326/POW(10,$J326),$J326/POW(10,$I326))*MAXIFS(Token!$C:$C,Token!$A:$A,$K326)&gt;0.01),$L326/86400+DATE(1970,1,1)+$G$6,)</f>
        <v/>
      </c>
      <c r="B326" s="27" t="str">
        <f t="shared" si="1"/>
        <v/>
      </c>
      <c r="C326" s="14" t="str">
        <f>IF($A326&lt;&gt;"",MINIFS(Merchant!$A:$A,Merchant!$B:$B,$G$2),)</f>
        <v/>
      </c>
      <c r="D326" s="14" t="str">
        <f t="shared" si="2"/>
        <v/>
      </c>
      <c r="E326" s="14" t="str">
        <f t="shared" si="3"/>
        <v/>
      </c>
      <c r="F326" s="7" t="str">
        <f>IF($A326&lt;&gt;"",MAXIFS(Token!$C:$C,Token!$A:$A,$D326),)</f>
        <v/>
      </c>
    </row>
    <row r="327">
      <c r="A327" s="39" t="str">
        <f>IF(AND($L327*1&gt;=$G$3,$L327*1&lt;=$G$4,$I327*$J327&gt;0,OR($I327&lt;&gt;$I328,$L327-$L328&gt;25),IF(ABS($I327)&gt;10,$I327/POW(10,$J327),$J327/POW(10,$I327))*MAXIFS(Token!$C:$C,Token!$A:$A,$K327)&gt;0.01),$L327/86400+DATE(1970,1,1)+$G$6,)</f>
        <v/>
      </c>
      <c r="B327" s="27" t="str">
        <f t="shared" si="1"/>
        <v/>
      </c>
      <c r="C327" s="14" t="str">
        <f>IF($A327&lt;&gt;"",MINIFS(Merchant!$A:$A,Merchant!$B:$B,$G$2),)</f>
        <v/>
      </c>
      <c r="D327" s="14" t="str">
        <f t="shared" si="2"/>
        <v/>
      </c>
      <c r="E327" s="14" t="str">
        <f t="shared" si="3"/>
        <v/>
      </c>
      <c r="F327" s="7" t="str">
        <f>IF($A327&lt;&gt;"",MAXIFS(Token!$C:$C,Token!$A:$A,$D327),)</f>
        <v/>
      </c>
    </row>
    <row r="328">
      <c r="A328" s="39" t="str">
        <f>IF(AND($L328*1&gt;=$G$3,$L328*1&lt;=$G$4,$I328*$J328&gt;0,OR($I328&lt;&gt;$I329,$L328-$L329&gt;25),IF(ABS($I328)&gt;10,$I328/POW(10,$J328),$J328/POW(10,$I328))*MAXIFS(Token!$C:$C,Token!$A:$A,$K328)&gt;0.01),$L328/86400+DATE(1970,1,1)+$G$6,)</f>
        <v/>
      </c>
      <c r="B328" s="27" t="str">
        <f t="shared" si="1"/>
        <v/>
      </c>
      <c r="C328" s="14" t="str">
        <f>IF($A328&lt;&gt;"",MINIFS(Merchant!$A:$A,Merchant!$B:$B,$G$2),)</f>
        <v/>
      </c>
      <c r="D328" s="14" t="str">
        <f t="shared" si="2"/>
        <v/>
      </c>
      <c r="E328" s="14" t="str">
        <f t="shared" si="3"/>
        <v/>
      </c>
      <c r="F328" s="7" t="str">
        <f>IF($A328&lt;&gt;"",MAXIFS(Token!$C:$C,Token!$A:$A,$D328),)</f>
        <v/>
      </c>
    </row>
    <row r="329">
      <c r="A329" s="39" t="str">
        <f>IF(AND($L329*1&gt;=$G$3,$L329*1&lt;=$G$4,$I329*$J329&gt;0,OR($I329&lt;&gt;$I330,$L329-$L330&gt;25),IF(ABS($I329)&gt;10,$I329/POW(10,$J329),$J329/POW(10,$I329))*MAXIFS(Token!$C:$C,Token!$A:$A,$K329)&gt;0.01),$L329/86400+DATE(1970,1,1)+$G$6,)</f>
        <v/>
      </c>
      <c r="B329" s="27" t="str">
        <f t="shared" si="1"/>
        <v/>
      </c>
      <c r="C329" s="14" t="str">
        <f>IF($A329&lt;&gt;"",MINIFS(Merchant!$A:$A,Merchant!$B:$B,$G$2),)</f>
        <v/>
      </c>
      <c r="D329" s="14" t="str">
        <f t="shared" si="2"/>
        <v/>
      </c>
      <c r="E329" s="14" t="str">
        <f t="shared" si="3"/>
        <v/>
      </c>
      <c r="F329" s="7" t="str">
        <f>IF($A329&lt;&gt;"",MAXIFS(Token!$C:$C,Token!$A:$A,$D329),)</f>
        <v/>
      </c>
    </row>
    <row r="330">
      <c r="A330" s="39" t="str">
        <f>IF(AND($L330*1&gt;=$G$3,$L330*1&lt;=$G$4,$I330*$J330&gt;0,OR($I330&lt;&gt;$I331,$L330-$L331&gt;25),IF(ABS($I330)&gt;10,$I330/POW(10,$J330),$J330/POW(10,$I330))*MAXIFS(Token!$C:$C,Token!$A:$A,$K330)&gt;0.01),$L330/86400+DATE(1970,1,1)+$G$6,)</f>
        <v/>
      </c>
      <c r="B330" s="27" t="str">
        <f t="shared" si="1"/>
        <v/>
      </c>
      <c r="C330" s="14" t="str">
        <f>IF($A330&lt;&gt;"",MINIFS(Merchant!$A:$A,Merchant!$B:$B,$G$2),)</f>
        <v/>
      </c>
      <c r="D330" s="14" t="str">
        <f t="shared" si="2"/>
        <v/>
      </c>
      <c r="E330" s="14" t="str">
        <f t="shared" si="3"/>
        <v/>
      </c>
      <c r="F330" s="7" t="str">
        <f>IF($A330&lt;&gt;"",MAXIFS(Token!$C:$C,Token!$A:$A,$D330),)</f>
        <v/>
      </c>
    </row>
    <row r="331">
      <c r="A331" s="39" t="str">
        <f>IF(AND($L331*1&gt;=$G$3,$L331*1&lt;=$G$4,$I331*$J331&gt;0,OR($I331&lt;&gt;$I332,$L331-$L332&gt;25),IF(ABS($I331)&gt;10,$I331/POW(10,$J331),$J331/POW(10,$I331))*MAXIFS(Token!$C:$C,Token!$A:$A,$K331)&gt;0.01),$L331/86400+DATE(1970,1,1)+$G$6,)</f>
        <v/>
      </c>
      <c r="B331" s="27" t="str">
        <f t="shared" si="1"/>
        <v/>
      </c>
      <c r="C331" s="14" t="str">
        <f>IF($A331&lt;&gt;"",MINIFS(Merchant!$A:$A,Merchant!$B:$B,$G$2),)</f>
        <v/>
      </c>
      <c r="D331" s="14" t="str">
        <f t="shared" si="2"/>
        <v/>
      </c>
      <c r="E331" s="14" t="str">
        <f t="shared" si="3"/>
        <v/>
      </c>
      <c r="F331" s="7" t="str">
        <f>IF($A331&lt;&gt;"",MAXIFS(Token!$C:$C,Token!$A:$A,$D331),)</f>
        <v/>
      </c>
    </row>
    <row r="332">
      <c r="A332" s="39" t="str">
        <f>IF(AND($L332*1&gt;=$G$3,$L332*1&lt;=$G$4,$I332*$J332&gt;0,OR($I332&lt;&gt;$I333,$L332-$L333&gt;25),IF(ABS($I332)&gt;10,$I332/POW(10,$J332),$J332/POW(10,$I332))*MAXIFS(Token!$C:$C,Token!$A:$A,$K332)&gt;0.01),$L332/86400+DATE(1970,1,1)+$G$6,)</f>
        <v/>
      </c>
      <c r="B332" s="27" t="str">
        <f t="shared" si="1"/>
        <v/>
      </c>
      <c r="C332" s="14" t="str">
        <f>IF($A332&lt;&gt;"",MINIFS(Merchant!$A:$A,Merchant!$B:$B,$G$2),)</f>
        <v/>
      </c>
      <c r="D332" s="14" t="str">
        <f t="shared" si="2"/>
        <v/>
      </c>
      <c r="E332" s="14" t="str">
        <f t="shared" si="3"/>
        <v/>
      </c>
      <c r="F332" s="7" t="str">
        <f>IF($A332&lt;&gt;"",MAXIFS(Token!$C:$C,Token!$A:$A,$D332),)</f>
        <v/>
      </c>
    </row>
    <row r="333">
      <c r="A333" s="39" t="str">
        <f>IF(AND($L333*1&gt;=$G$3,$L333*1&lt;=$G$4,$I333*$J333&gt;0,OR($I333&lt;&gt;$I334,$L333-$L334&gt;25),IF(ABS($I333)&gt;10,$I333/POW(10,$J333),$J333/POW(10,$I333))*MAXIFS(Token!$C:$C,Token!$A:$A,$K333)&gt;0.01),$L333/86400+DATE(1970,1,1)+$G$6,)</f>
        <v/>
      </c>
      <c r="B333" s="27" t="str">
        <f t="shared" si="1"/>
        <v/>
      </c>
      <c r="C333" s="14" t="str">
        <f>IF($A333&lt;&gt;"",MINIFS(Merchant!$A:$A,Merchant!$B:$B,$G$2),)</f>
        <v/>
      </c>
      <c r="D333" s="14" t="str">
        <f t="shared" si="2"/>
        <v/>
      </c>
      <c r="E333" s="14" t="str">
        <f t="shared" si="3"/>
        <v/>
      </c>
      <c r="F333" s="7" t="str">
        <f>IF($A333&lt;&gt;"",MAXIFS(Token!$C:$C,Token!$A:$A,$D333),)</f>
        <v/>
      </c>
    </row>
    <row r="334">
      <c r="A334" s="39" t="str">
        <f>IF(AND($L334*1&gt;=$G$3,$L334*1&lt;=$G$4,$I334*$J334&gt;0,OR($I334&lt;&gt;$I335,$L334-$L335&gt;25),IF(ABS($I334)&gt;10,$I334/POW(10,$J334),$J334/POW(10,$I334))*MAXIFS(Token!$C:$C,Token!$A:$A,$K334)&gt;0.01),$L334/86400+DATE(1970,1,1)+$G$6,)</f>
        <v/>
      </c>
      <c r="B334" s="27" t="str">
        <f t="shared" si="1"/>
        <v/>
      </c>
      <c r="C334" s="14" t="str">
        <f>IF($A334&lt;&gt;"",MINIFS(Merchant!$A:$A,Merchant!$B:$B,$G$2),)</f>
        <v/>
      </c>
      <c r="D334" s="14" t="str">
        <f t="shared" si="2"/>
        <v/>
      </c>
      <c r="E334" s="14" t="str">
        <f t="shared" si="3"/>
        <v/>
      </c>
      <c r="F334" s="7" t="str">
        <f>IF($A334&lt;&gt;"",MAXIFS(Token!$C:$C,Token!$A:$A,$D334),)</f>
        <v/>
      </c>
    </row>
    <row r="335">
      <c r="A335" s="39" t="str">
        <f>IF(AND($L335*1&gt;=$G$3,$L335*1&lt;=$G$4,$I335*$J335&gt;0,OR($I335&lt;&gt;$I336,$L335-$L336&gt;25),IF(ABS($I335)&gt;10,$I335/POW(10,$J335),$J335/POW(10,$I335))*MAXIFS(Token!$C:$C,Token!$A:$A,$K335)&gt;0.01),$L335/86400+DATE(1970,1,1)+$G$6,)</f>
        <v/>
      </c>
      <c r="B335" s="27" t="str">
        <f t="shared" si="1"/>
        <v/>
      </c>
      <c r="C335" s="14" t="str">
        <f>IF($A335&lt;&gt;"",MINIFS(Merchant!$A:$A,Merchant!$B:$B,$G$2),)</f>
        <v/>
      </c>
      <c r="D335" s="14" t="str">
        <f t="shared" si="2"/>
        <v/>
      </c>
      <c r="E335" s="14" t="str">
        <f t="shared" si="3"/>
        <v/>
      </c>
      <c r="F335" s="7" t="str">
        <f>IF($A335&lt;&gt;"",MAXIFS(Token!$C:$C,Token!$A:$A,$D335),)</f>
        <v/>
      </c>
    </row>
    <row r="336">
      <c r="A336" s="39" t="str">
        <f>IF(AND($L336*1&gt;=$G$3,$L336*1&lt;=$G$4,$I336*$J336&gt;0,OR($I336&lt;&gt;$I337,$L336-$L337&gt;25),IF(ABS($I336)&gt;10,$I336/POW(10,$J336),$J336/POW(10,$I336))*MAXIFS(Token!$C:$C,Token!$A:$A,$K336)&gt;0.01),$L336/86400+DATE(1970,1,1)+$G$6,)</f>
        <v/>
      </c>
      <c r="B336" s="27" t="str">
        <f t="shared" si="1"/>
        <v/>
      </c>
      <c r="C336" s="14" t="str">
        <f>IF($A336&lt;&gt;"",MINIFS(Merchant!$A:$A,Merchant!$B:$B,$G$2),)</f>
        <v/>
      </c>
      <c r="D336" s="14" t="str">
        <f t="shared" si="2"/>
        <v/>
      </c>
      <c r="E336" s="14" t="str">
        <f t="shared" si="3"/>
        <v/>
      </c>
      <c r="F336" s="7" t="str">
        <f>IF($A336&lt;&gt;"",MAXIFS(Token!$C:$C,Token!$A:$A,$D336),)</f>
        <v/>
      </c>
    </row>
    <row r="337">
      <c r="A337" s="39" t="str">
        <f>IF(AND($L337*1&gt;=$G$3,$L337*1&lt;=$G$4,$I337*$J337&gt;0,OR($I337&lt;&gt;$I338,$L337-$L338&gt;25),IF(ABS($I337)&gt;10,$I337/POW(10,$J337),$J337/POW(10,$I337))*MAXIFS(Token!$C:$C,Token!$A:$A,$K337)&gt;0.01),$L337/86400+DATE(1970,1,1)+$G$6,)</f>
        <v/>
      </c>
      <c r="B337" s="27" t="str">
        <f t="shared" si="1"/>
        <v/>
      </c>
      <c r="C337" s="14" t="str">
        <f>IF($A337&lt;&gt;"",MINIFS(Merchant!$A:$A,Merchant!$B:$B,$G$2),)</f>
        <v/>
      </c>
      <c r="D337" s="14" t="str">
        <f t="shared" si="2"/>
        <v/>
      </c>
      <c r="E337" s="14" t="str">
        <f t="shared" si="3"/>
        <v/>
      </c>
      <c r="F337" s="7" t="str">
        <f>IF($A337&lt;&gt;"",MAXIFS(Token!$C:$C,Token!$A:$A,$D337),)</f>
        <v/>
      </c>
    </row>
    <row r="338">
      <c r="A338" s="39" t="str">
        <f>IF(AND($L338*1&gt;=$G$3,$L338*1&lt;=$G$4,$I338*$J338&gt;0,OR($I338&lt;&gt;$I339,$L338-$L339&gt;25),IF(ABS($I338)&gt;10,$I338/POW(10,$J338),$J338/POW(10,$I338))*MAXIFS(Token!$C:$C,Token!$A:$A,$K338)&gt;0.01),$L338/86400+DATE(1970,1,1)+$G$6,)</f>
        <v/>
      </c>
      <c r="B338" s="27" t="str">
        <f t="shared" si="1"/>
        <v/>
      </c>
      <c r="C338" s="14" t="str">
        <f>IF($A338&lt;&gt;"",MINIFS(Merchant!$A:$A,Merchant!$B:$B,$G$2),)</f>
        <v/>
      </c>
      <c r="D338" s="14" t="str">
        <f t="shared" si="2"/>
        <v/>
      </c>
      <c r="E338" s="14" t="str">
        <f t="shared" si="3"/>
        <v/>
      </c>
      <c r="F338" s="7" t="str">
        <f>IF($A338&lt;&gt;"",MAXIFS(Token!$C:$C,Token!$A:$A,$D338),)</f>
        <v/>
      </c>
    </row>
    <row r="339">
      <c r="A339" s="39" t="str">
        <f>IF(AND($L339*1&gt;=$G$3,$L339*1&lt;=$G$4,$I339*$J339&gt;0,OR($I339&lt;&gt;$I340,$L339-$L340&gt;25),IF(ABS($I339)&gt;10,$I339/POW(10,$J339),$J339/POW(10,$I339))*MAXIFS(Token!$C:$C,Token!$A:$A,$K339)&gt;0.01),$L339/86400+DATE(1970,1,1)+$G$6,)</f>
        <v/>
      </c>
      <c r="B339" s="27" t="str">
        <f t="shared" si="1"/>
        <v/>
      </c>
      <c r="C339" s="14" t="str">
        <f>IF($A339&lt;&gt;"",MINIFS(Merchant!$A:$A,Merchant!$B:$B,$G$2),)</f>
        <v/>
      </c>
      <c r="D339" s="14" t="str">
        <f t="shared" si="2"/>
        <v/>
      </c>
      <c r="E339" s="14" t="str">
        <f t="shared" si="3"/>
        <v/>
      </c>
      <c r="F339" s="7" t="str">
        <f>IF($A339&lt;&gt;"",MAXIFS(Token!$C:$C,Token!$A:$A,$D339),)</f>
        <v/>
      </c>
    </row>
    <row r="340">
      <c r="A340" s="39" t="str">
        <f>IF(AND($L340*1&gt;=$G$3,$L340*1&lt;=$G$4,$I340*$J340&gt;0,OR($I340&lt;&gt;$I341,$L340-$L341&gt;25),IF(ABS($I340)&gt;10,$I340/POW(10,$J340),$J340/POW(10,$I340))*MAXIFS(Token!$C:$C,Token!$A:$A,$K340)&gt;0.01),$L340/86400+DATE(1970,1,1)+$G$6,)</f>
        <v/>
      </c>
      <c r="B340" s="27" t="str">
        <f t="shared" si="1"/>
        <v/>
      </c>
      <c r="C340" s="14" t="str">
        <f>IF($A340&lt;&gt;"",MINIFS(Merchant!$A:$A,Merchant!$B:$B,$G$2),)</f>
        <v/>
      </c>
      <c r="D340" s="14" t="str">
        <f t="shared" si="2"/>
        <v/>
      </c>
      <c r="E340" s="14" t="str">
        <f t="shared" si="3"/>
        <v/>
      </c>
      <c r="F340" s="7" t="str">
        <f>IF($A340&lt;&gt;"",MAXIFS(Token!$C:$C,Token!$A:$A,$D340),)</f>
        <v/>
      </c>
    </row>
    <row r="341">
      <c r="A341" s="39" t="str">
        <f>IF(AND($L341*1&gt;=$G$3,$L341*1&lt;=$G$4,$I341*$J341&gt;0,OR($I341&lt;&gt;$I342,$L341-$L342&gt;25),IF(ABS($I341)&gt;10,$I341/POW(10,$J341),$J341/POW(10,$I341))*MAXIFS(Token!$C:$C,Token!$A:$A,$K341)&gt;0.01),$L341/86400+DATE(1970,1,1)+$G$6,)</f>
        <v/>
      </c>
      <c r="B341" s="27" t="str">
        <f t="shared" si="1"/>
        <v/>
      </c>
      <c r="C341" s="14" t="str">
        <f>IF($A341&lt;&gt;"",MINIFS(Merchant!$A:$A,Merchant!$B:$B,$G$2),)</f>
        <v/>
      </c>
      <c r="D341" s="14" t="str">
        <f t="shared" si="2"/>
        <v/>
      </c>
      <c r="E341" s="14" t="str">
        <f t="shared" si="3"/>
        <v/>
      </c>
      <c r="F341" s="7" t="str">
        <f>IF($A341&lt;&gt;"",MAXIFS(Token!$C:$C,Token!$A:$A,$D341),)</f>
        <v/>
      </c>
    </row>
    <row r="342">
      <c r="A342" s="39" t="str">
        <f>IF(AND($L342*1&gt;=$G$3,$L342*1&lt;=$G$4,$I342*$J342&gt;0,OR($I342&lt;&gt;$I343,$L342-$L343&gt;25),IF(ABS($I342)&gt;10,$I342/POW(10,$J342),$J342/POW(10,$I342))*MAXIFS(Token!$C:$C,Token!$A:$A,$K342)&gt;0.01),$L342/86400+DATE(1970,1,1)+$G$6,)</f>
        <v/>
      </c>
      <c r="B342" s="27" t="str">
        <f t="shared" si="1"/>
        <v/>
      </c>
      <c r="C342" s="14" t="str">
        <f>IF($A342&lt;&gt;"",MINIFS(Merchant!$A:$A,Merchant!$B:$B,$G$2),)</f>
        <v/>
      </c>
      <c r="D342" s="14" t="str">
        <f t="shared" si="2"/>
        <v/>
      </c>
      <c r="E342" s="14" t="str">
        <f t="shared" si="3"/>
        <v/>
      </c>
      <c r="F342" s="7" t="str">
        <f>IF($A342&lt;&gt;"",MAXIFS(Token!$C:$C,Token!$A:$A,$D342),)</f>
        <v/>
      </c>
    </row>
    <row r="343">
      <c r="A343" s="39" t="str">
        <f>IF(AND($L343*1&gt;=$G$3,$L343*1&lt;=$G$4,$I343*$J343&gt;0,OR($I343&lt;&gt;$I344,$L343-$L344&gt;25),IF(ABS($I343)&gt;10,$I343/POW(10,$J343),$J343/POW(10,$I343))*MAXIFS(Token!$C:$C,Token!$A:$A,$K343)&gt;0.01),$L343/86400+DATE(1970,1,1)+$G$6,)</f>
        <v/>
      </c>
      <c r="B343" s="27" t="str">
        <f t="shared" si="1"/>
        <v/>
      </c>
      <c r="C343" s="14" t="str">
        <f>IF($A343&lt;&gt;"",MINIFS(Merchant!$A:$A,Merchant!$B:$B,$G$2),)</f>
        <v/>
      </c>
      <c r="D343" s="14" t="str">
        <f t="shared" si="2"/>
        <v/>
      </c>
      <c r="E343" s="14" t="str">
        <f t="shared" si="3"/>
        <v/>
      </c>
      <c r="F343" s="7" t="str">
        <f>IF($A343&lt;&gt;"",MAXIFS(Token!$C:$C,Token!$A:$A,$D343),)</f>
        <v/>
      </c>
    </row>
    <row r="344">
      <c r="A344" s="39" t="str">
        <f>IF(AND($L344*1&gt;=$G$3,$L344*1&lt;=$G$4,$I344*$J344&gt;0,OR($I344&lt;&gt;$I345,$L344-$L345&gt;25),IF(ABS($I344)&gt;10,$I344/POW(10,$J344),$J344/POW(10,$I344))*MAXIFS(Token!$C:$C,Token!$A:$A,$K344)&gt;0.01),$L344/86400+DATE(1970,1,1)+$G$6,)</f>
        <v/>
      </c>
      <c r="B344" s="27" t="str">
        <f t="shared" si="1"/>
        <v/>
      </c>
      <c r="C344" s="14" t="str">
        <f>IF($A344&lt;&gt;"",MINIFS(Merchant!$A:$A,Merchant!$B:$B,$G$2),)</f>
        <v/>
      </c>
      <c r="D344" s="14" t="str">
        <f t="shared" si="2"/>
        <v/>
      </c>
      <c r="E344" s="14" t="str">
        <f t="shared" si="3"/>
        <v/>
      </c>
      <c r="F344" s="7" t="str">
        <f>IF($A344&lt;&gt;"",MAXIFS(Token!$C:$C,Token!$A:$A,$D344),)</f>
        <v/>
      </c>
    </row>
    <row r="345">
      <c r="A345" s="39" t="str">
        <f>IF(AND($L345*1&gt;=$G$3,$L345*1&lt;=$G$4,$I345*$J345&gt;0,OR($I345&lt;&gt;$I346,$L345-$L346&gt;25),IF(ABS($I345)&gt;10,$I345/POW(10,$J345),$J345/POW(10,$I345))*MAXIFS(Token!$C:$C,Token!$A:$A,$K345)&gt;0.01),$L345/86400+DATE(1970,1,1)+$G$6,)</f>
        <v/>
      </c>
      <c r="B345" s="27" t="str">
        <f t="shared" si="1"/>
        <v/>
      </c>
      <c r="C345" s="14" t="str">
        <f>IF($A345&lt;&gt;"",MINIFS(Merchant!$A:$A,Merchant!$B:$B,$G$2),)</f>
        <v/>
      </c>
      <c r="D345" s="14" t="str">
        <f t="shared" si="2"/>
        <v/>
      </c>
      <c r="E345" s="14" t="str">
        <f t="shared" si="3"/>
        <v/>
      </c>
      <c r="F345" s="7" t="str">
        <f>IF($A345&lt;&gt;"",MAXIFS(Token!$C:$C,Token!$A:$A,$D345),)</f>
        <v/>
      </c>
    </row>
    <row r="346">
      <c r="A346" s="39" t="str">
        <f>IF(AND($L346*1&gt;=$G$3,$L346*1&lt;=$G$4,$I346*$J346&gt;0,OR($I346&lt;&gt;$I347,$L346-$L347&gt;25),IF(ABS($I346)&gt;10,$I346/POW(10,$J346),$J346/POW(10,$I346))*MAXIFS(Token!$C:$C,Token!$A:$A,$K346)&gt;0.01),$L346/86400+DATE(1970,1,1)+$G$6,)</f>
        <v/>
      </c>
      <c r="B346" s="27" t="str">
        <f t="shared" si="1"/>
        <v/>
      </c>
      <c r="C346" s="14" t="str">
        <f>IF($A346&lt;&gt;"",MINIFS(Merchant!$A:$A,Merchant!$B:$B,$G$2),)</f>
        <v/>
      </c>
      <c r="D346" s="14" t="str">
        <f t="shared" si="2"/>
        <v/>
      </c>
      <c r="E346" s="14" t="str">
        <f t="shared" si="3"/>
        <v/>
      </c>
      <c r="F346" s="7" t="str">
        <f>IF($A346&lt;&gt;"",MAXIFS(Token!$C:$C,Token!$A:$A,$D346),)</f>
        <v/>
      </c>
    </row>
    <row r="347">
      <c r="A347" s="39" t="str">
        <f>IF(AND($L347*1&gt;=$G$3,$L347*1&lt;=$G$4,$I347*$J347&gt;0,OR($I347&lt;&gt;$I348,$L347-$L348&gt;25),IF(ABS($I347)&gt;10,$I347/POW(10,$J347),$J347/POW(10,$I347))*MAXIFS(Token!$C:$C,Token!$A:$A,$K347)&gt;0.01),$L347/86400+DATE(1970,1,1)+$G$6,)</f>
        <v/>
      </c>
      <c r="B347" s="27" t="str">
        <f t="shared" si="1"/>
        <v/>
      </c>
      <c r="C347" s="14" t="str">
        <f>IF($A347&lt;&gt;"",MINIFS(Merchant!$A:$A,Merchant!$B:$B,$G$2),)</f>
        <v/>
      </c>
      <c r="D347" s="14" t="str">
        <f t="shared" si="2"/>
        <v/>
      </c>
      <c r="E347" s="14" t="str">
        <f t="shared" si="3"/>
        <v/>
      </c>
      <c r="F347" s="7" t="str">
        <f>IF($A347&lt;&gt;"",MAXIFS(Token!$C:$C,Token!$A:$A,$D347),)</f>
        <v/>
      </c>
    </row>
    <row r="348">
      <c r="A348" s="39" t="str">
        <f>IF(AND($L348*1&gt;=$G$3,$L348*1&lt;=$G$4,$I348*$J348&gt;0,OR($I348&lt;&gt;$I349,$L348-$L349&gt;25),IF(ABS($I348)&gt;10,$I348/POW(10,$J348),$J348/POW(10,$I348))*MAXIFS(Token!$C:$C,Token!$A:$A,$K348)&gt;0.01),$L348/86400+DATE(1970,1,1)+$G$6,)</f>
        <v/>
      </c>
      <c r="B348" s="27" t="str">
        <f t="shared" si="1"/>
        <v/>
      </c>
      <c r="C348" s="14" t="str">
        <f>IF($A348&lt;&gt;"",MINIFS(Merchant!$A:$A,Merchant!$B:$B,$G$2),)</f>
        <v/>
      </c>
      <c r="D348" s="14" t="str">
        <f t="shared" si="2"/>
        <v/>
      </c>
      <c r="E348" s="14" t="str">
        <f t="shared" si="3"/>
        <v/>
      </c>
      <c r="F348" s="7" t="str">
        <f>IF($A348&lt;&gt;"",MAXIFS(Token!$C:$C,Token!$A:$A,$D348),)</f>
        <v/>
      </c>
    </row>
    <row r="349">
      <c r="A349" s="39" t="str">
        <f>IF(AND($L349*1&gt;=$G$3,$L349*1&lt;=$G$4,$I349*$J349&gt;0,OR($I349&lt;&gt;$I350,$L349-$L350&gt;25),IF(ABS($I349)&gt;10,$I349/POW(10,$J349),$J349/POW(10,$I349))*MAXIFS(Token!$C:$C,Token!$A:$A,$K349)&gt;0.01),$L349/86400+DATE(1970,1,1)+$G$6,)</f>
        <v/>
      </c>
      <c r="B349" s="27" t="str">
        <f t="shared" si="1"/>
        <v/>
      </c>
      <c r="C349" s="14" t="str">
        <f>IF($A349&lt;&gt;"",MINIFS(Merchant!$A:$A,Merchant!$B:$B,$G$2),)</f>
        <v/>
      </c>
      <c r="D349" s="14" t="str">
        <f t="shared" si="2"/>
        <v/>
      </c>
      <c r="E349" s="14" t="str">
        <f t="shared" si="3"/>
        <v/>
      </c>
      <c r="F349" s="7" t="str">
        <f>IF($A349&lt;&gt;"",MAXIFS(Token!$C:$C,Token!$A:$A,$D349),)</f>
        <v/>
      </c>
    </row>
    <row r="350">
      <c r="A350" s="39" t="str">
        <f>IF(AND($L350*1&gt;=$G$3,$L350*1&lt;=$G$4,$I350*$J350&gt;0,OR($I350&lt;&gt;$I351,$L350-$L351&gt;25),IF(ABS($I350)&gt;10,$I350/POW(10,$J350),$J350/POW(10,$I350))*MAXIFS(Token!$C:$C,Token!$A:$A,$K350)&gt;0.01),$L350/86400+DATE(1970,1,1)+$G$6,)</f>
        <v/>
      </c>
      <c r="B350" s="27" t="str">
        <f t="shared" si="1"/>
        <v/>
      </c>
      <c r="C350" s="14" t="str">
        <f>IF($A350&lt;&gt;"",MINIFS(Merchant!$A:$A,Merchant!$B:$B,$G$2),)</f>
        <v/>
      </c>
      <c r="D350" s="14" t="str">
        <f t="shared" si="2"/>
        <v/>
      </c>
      <c r="E350" s="14" t="str">
        <f t="shared" si="3"/>
        <v/>
      </c>
      <c r="F350" s="7" t="str">
        <f>IF($A350&lt;&gt;"",MAXIFS(Token!$C:$C,Token!$A:$A,$D350),)</f>
        <v/>
      </c>
    </row>
    <row r="351">
      <c r="A351" s="39" t="str">
        <f>IF(AND($L351*1&gt;=$G$3,$L351*1&lt;=$G$4,$I351*$J351&gt;0,OR($I351&lt;&gt;$I352,$L351-$L352&gt;25),IF(ABS($I351)&gt;10,$I351/POW(10,$J351),$J351/POW(10,$I351))*MAXIFS(Token!$C:$C,Token!$A:$A,$K351)&gt;0.01),$L351/86400+DATE(1970,1,1)+$G$6,)</f>
        <v/>
      </c>
      <c r="B351" s="27" t="str">
        <f t="shared" si="1"/>
        <v/>
      </c>
      <c r="C351" s="14" t="str">
        <f>IF($A351&lt;&gt;"",MINIFS(Merchant!$A:$A,Merchant!$B:$B,$G$2),)</f>
        <v/>
      </c>
      <c r="D351" s="14" t="str">
        <f t="shared" si="2"/>
        <v/>
      </c>
      <c r="E351" s="14" t="str">
        <f t="shared" si="3"/>
        <v/>
      </c>
      <c r="F351" s="7" t="str">
        <f>IF($A351&lt;&gt;"",MAXIFS(Token!$C:$C,Token!$A:$A,$D351),)</f>
        <v/>
      </c>
    </row>
    <row r="352">
      <c r="A352" s="39" t="str">
        <f>IF(AND($L352*1&gt;=$G$3,$L352*1&lt;=$G$4,$I352*$J352&gt;0,OR($I352&lt;&gt;$I353,$L352-$L353&gt;25),IF(ABS($I352)&gt;10,$I352/POW(10,$J352),$J352/POW(10,$I352))*MAXIFS(Token!$C:$C,Token!$A:$A,$K352)&gt;0.01),$L352/86400+DATE(1970,1,1)+$G$6,)</f>
        <v/>
      </c>
      <c r="B352" s="27" t="str">
        <f t="shared" si="1"/>
        <v/>
      </c>
      <c r="C352" s="14" t="str">
        <f>IF($A352&lt;&gt;"",MINIFS(Merchant!$A:$A,Merchant!$B:$B,$G$2),)</f>
        <v/>
      </c>
      <c r="D352" s="14" t="str">
        <f t="shared" si="2"/>
        <v/>
      </c>
      <c r="E352" s="14" t="str">
        <f t="shared" si="3"/>
        <v/>
      </c>
      <c r="F352" s="7" t="str">
        <f>IF($A352&lt;&gt;"",MAXIFS(Token!$C:$C,Token!$A:$A,$D352),)</f>
        <v/>
      </c>
    </row>
    <row r="353">
      <c r="A353" s="39" t="str">
        <f>IF(AND($L353*1&gt;=$G$3,$L353*1&lt;=$G$4,$I353*$J353&gt;0,OR($I353&lt;&gt;$I354,$L353-$L354&gt;25),IF(ABS($I353)&gt;10,$I353/POW(10,$J353),$J353/POW(10,$I353))*MAXIFS(Token!$C:$C,Token!$A:$A,$K353)&gt;0.01),$L353/86400+DATE(1970,1,1)+$G$6,)</f>
        <v/>
      </c>
      <c r="B353" s="27" t="str">
        <f t="shared" si="1"/>
        <v/>
      </c>
      <c r="C353" s="14" t="str">
        <f>IF($A353&lt;&gt;"",MINIFS(Merchant!$A:$A,Merchant!$B:$B,$G$2),)</f>
        <v/>
      </c>
      <c r="D353" s="14" t="str">
        <f t="shared" si="2"/>
        <v/>
      </c>
      <c r="E353" s="14" t="str">
        <f t="shared" si="3"/>
        <v/>
      </c>
      <c r="F353" s="7" t="str">
        <f>IF($A353&lt;&gt;"",MAXIFS(Token!$C:$C,Token!$A:$A,$D353),)</f>
        <v/>
      </c>
    </row>
    <row r="354">
      <c r="A354" s="39" t="str">
        <f>IF(AND($L354*1&gt;=$G$3,$L354*1&lt;=$G$4,$I354*$J354&gt;0,OR($I354&lt;&gt;$I355,$L354-$L355&gt;25),IF(ABS($I354)&gt;10,$I354/POW(10,$J354),$J354/POW(10,$I354))*MAXIFS(Token!$C:$C,Token!$A:$A,$K354)&gt;0.01),$L354/86400+DATE(1970,1,1)+$G$6,)</f>
        <v/>
      </c>
      <c r="B354" s="27" t="str">
        <f t="shared" si="1"/>
        <v/>
      </c>
      <c r="C354" s="14" t="str">
        <f>IF($A354&lt;&gt;"",MINIFS(Merchant!$A:$A,Merchant!$B:$B,$G$2),)</f>
        <v/>
      </c>
      <c r="D354" s="14" t="str">
        <f t="shared" si="2"/>
        <v/>
      </c>
      <c r="E354" s="14" t="str">
        <f t="shared" si="3"/>
        <v/>
      </c>
      <c r="F354" s="7" t="str">
        <f>IF($A354&lt;&gt;"",MAXIFS(Token!$C:$C,Token!$A:$A,$D354),)</f>
        <v/>
      </c>
    </row>
    <row r="355">
      <c r="A355" s="39" t="str">
        <f>IF(AND($L355*1&gt;=$G$3,$L355*1&lt;=$G$4,$I355*$J355&gt;0,OR($I355&lt;&gt;$I356,$L355-$L356&gt;25),IF(ABS($I355)&gt;10,$I355/POW(10,$J355),$J355/POW(10,$I355))*MAXIFS(Token!$C:$C,Token!$A:$A,$K355)&gt;0.01),$L355/86400+DATE(1970,1,1)+$G$6,)</f>
        <v/>
      </c>
      <c r="B355" s="27" t="str">
        <f t="shared" si="1"/>
        <v/>
      </c>
      <c r="C355" s="14" t="str">
        <f>IF($A355&lt;&gt;"",MINIFS(Merchant!$A:$A,Merchant!$B:$B,$G$2),)</f>
        <v/>
      </c>
      <c r="D355" s="14" t="str">
        <f t="shared" si="2"/>
        <v/>
      </c>
      <c r="E355" s="14" t="str">
        <f t="shared" si="3"/>
        <v/>
      </c>
      <c r="F355" s="7" t="str">
        <f>IF($A355&lt;&gt;"",MAXIFS(Token!$C:$C,Token!$A:$A,$D355),)</f>
        <v/>
      </c>
    </row>
    <row r="356">
      <c r="A356" s="39" t="str">
        <f>IF(AND($L356*1&gt;=$G$3,$L356*1&lt;=$G$4,$I356*$J356&gt;0,OR($I356&lt;&gt;$I357,$L356-$L357&gt;25),IF(ABS($I356)&gt;10,$I356/POW(10,$J356),$J356/POW(10,$I356))*MAXIFS(Token!$C:$C,Token!$A:$A,$K356)&gt;0.01),$L356/86400+DATE(1970,1,1)+$G$6,)</f>
        <v/>
      </c>
      <c r="B356" s="27" t="str">
        <f t="shared" si="1"/>
        <v/>
      </c>
      <c r="C356" s="14" t="str">
        <f>IF($A356&lt;&gt;"",MINIFS(Merchant!$A:$A,Merchant!$B:$B,$G$2),)</f>
        <v/>
      </c>
      <c r="D356" s="14" t="str">
        <f t="shared" si="2"/>
        <v/>
      </c>
      <c r="E356" s="14" t="str">
        <f t="shared" si="3"/>
        <v/>
      </c>
      <c r="F356" s="7" t="str">
        <f>IF($A356&lt;&gt;"",MAXIFS(Token!$C:$C,Token!$A:$A,$D356),)</f>
        <v/>
      </c>
    </row>
    <row r="357">
      <c r="A357" s="39" t="str">
        <f>IF(AND($L357*1&gt;=$G$3,$L357*1&lt;=$G$4,$I357*$J357&gt;0,OR($I357&lt;&gt;$I358,$L357-$L358&gt;25),IF(ABS($I357)&gt;10,$I357/POW(10,$J357),$J357/POW(10,$I357))*MAXIFS(Token!$C:$C,Token!$A:$A,$K357)&gt;0.01),$L357/86400+DATE(1970,1,1)+$G$6,)</f>
        <v/>
      </c>
      <c r="B357" s="27" t="str">
        <f t="shared" si="1"/>
        <v/>
      </c>
      <c r="C357" s="14" t="str">
        <f>IF($A357&lt;&gt;"",MINIFS(Merchant!$A:$A,Merchant!$B:$B,$G$2),)</f>
        <v/>
      </c>
      <c r="D357" s="14" t="str">
        <f t="shared" si="2"/>
        <v/>
      </c>
      <c r="E357" s="14" t="str">
        <f t="shared" si="3"/>
        <v/>
      </c>
      <c r="F357" s="7" t="str">
        <f>IF($A357&lt;&gt;"",MAXIFS(Token!$C:$C,Token!$A:$A,$D357),)</f>
        <v/>
      </c>
    </row>
    <row r="358">
      <c r="A358" s="39" t="str">
        <f>IF(AND($L358*1&gt;=$G$3,$L358*1&lt;=$G$4,$I358*$J358&gt;0,OR($I358&lt;&gt;$I359,$L358-$L359&gt;25),IF(ABS($I358)&gt;10,$I358/POW(10,$J358),$J358/POW(10,$I358))*MAXIFS(Token!$C:$C,Token!$A:$A,$K358)&gt;0.01),$L358/86400+DATE(1970,1,1)+$G$6,)</f>
        <v/>
      </c>
      <c r="B358" s="27" t="str">
        <f t="shared" si="1"/>
        <v/>
      </c>
      <c r="C358" s="14" t="str">
        <f>IF($A358&lt;&gt;"",MINIFS(Merchant!$A:$A,Merchant!$B:$B,$G$2),)</f>
        <v/>
      </c>
      <c r="D358" s="14" t="str">
        <f t="shared" si="2"/>
        <v/>
      </c>
      <c r="E358" s="14" t="str">
        <f t="shared" si="3"/>
        <v/>
      </c>
      <c r="F358" s="7" t="str">
        <f>IF($A358&lt;&gt;"",MAXIFS(Token!$C:$C,Token!$A:$A,$D358),)</f>
        <v/>
      </c>
    </row>
    <row r="359">
      <c r="A359" s="39" t="str">
        <f>IF(AND($L359*1&gt;=$G$3,$L359*1&lt;=$G$4,$I359*$J359&gt;0,OR($I359&lt;&gt;$I360,$L359-$L360&gt;25),IF(ABS($I359)&gt;10,$I359/POW(10,$J359),$J359/POW(10,$I359))*MAXIFS(Token!$C:$C,Token!$A:$A,$K359)&gt;0.01),$L359/86400+DATE(1970,1,1)+$G$6,)</f>
        <v/>
      </c>
      <c r="B359" s="27" t="str">
        <f t="shared" si="1"/>
        <v/>
      </c>
      <c r="C359" s="14" t="str">
        <f>IF($A359&lt;&gt;"",MINIFS(Merchant!$A:$A,Merchant!$B:$B,$G$2),)</f>
        <v/>
      </c>
      <c r="D359" s="14" t="str">
        <f t="shared" si="2"/>
        <v/>
      </c>
      <c r="E359" s="14" t="str">
        <f t="shared" si="3"/>
        <v/>
      </c>
      <c r="F359" s="7" t="str">
        <f>IF($A359&lt;&gt;"",MAXIFS(Token!$C:$C,Token!$A:$A,$D359),)</f>
        <v/>
      </c>
    </row>
    <row r="360">
      <c r="A360" s="39" t="str">
        <f>IF(AND($L360*1&gt;=$G$3,$L360*1&lt;=$G$4,$I360*$J360&gt;0,OR($I360&lt;&gt;$I361,$L360-$L361&gt;25),IF(ABS($I360)&gt;10,$I360/POW(10,$J360),$J360/POW(10,$I360))*MAXIFS(Token!$C:$C,Token!$A:$A,$K360)&gt;0.01),$L360/86400+DATE(1970,1,1)+$G$6,)</f>
        <v/>
      </c>
      <c r="B360" s="27" t="str">
        <f t="shared" si="1"/>
        <v/>
      </c>
      <c r="C360" s="14" t="str">
        <f>IF($A360&lt;&gt;"",MINIFS(Merchant!$A:$A,Merchant!$B:$B,$G$2),)</f>
        <v/>
      </c>
      <c r="D360" s="14" t="str">
        <f t="shared" si="2"/>
        <v/>
      </c>
      <c r="E360" s="14" t="str">
        <f t="shared" si="3"/>
        <v/>
      </c>
      <c r="F360" s="7" t="str">
        <f>IF($A360&lt;&gt;"",MAXIFS(Token!$C:$C,Token!$A:$A,$D360),)</f>
        <v/>
      </c>
    </row>
    <row r="361">
      <c r="A361" s="39" t="str">
        <f>IF(AND($L361*1&gt;=$G$3,$L361*1&lt;=$G$4,$I361*$J361&gt;0,OR($I361&lt;&gt;$I362,$L361-$L362&gt;25),IF(ABS($I361)&gt;10,$I361/POW(10,$J361),$J361/POW(10,$I361))*MAXIFS(Token!$C:$C,Token!$A:$A,$K361)&gt;0.01),$L361/86400+DATE(1970,1,1)+$G$6,)</f>
        <v/>
      </c>
      <c r="B361" s="27" t="str">
        <f t="shared" si="1"/>
        <v/>
      </c>
      <c r="C361" s="14" t="str">
        <f>IF($A361&lt;&gt;"",MINIFS(Merchant!$A:$A,Merchant!$B:$B,$G$2),)</f>
        <v/>
      </c>
      <c r="D361" s="14" t="str">
        <f t="shared" si="2"/>
        <v/>
      </c>
      <c r="E361" s="14" t="str">
        <f t="shared" si="3"/>
        <v/>
      </c>
      <c r="F361" s="7" t="str">
        <f>IF($A361&lt;&gt;"",MAXIFS(Token!$C:$C,Token!$A:$A,$D361),)</f>
        <v/>
      </c>
    </row>
    <row r="362">
      <c r="A362" s="39" t="str">
        <f>IF(AND($L362*1&gt;=$G$3,$L362*1&lt;=$G$4,$I362*$J362&gt;0,OR($I362&lt;&gt;$I363,$L362-$L363&gt;25),IF(ABS($I362)&gt;10,$I362/POW(10,$J362),$J362/POW(10,$I362))*MAXIFS(Token!$C:$C,Token!$A:$A,$K362)&gt;0.01),$L362/86400+DATE(1970,1,1)+$G$6,)</f>
        <v/>
      </c>
      <c r="B362" s="27" t="str">
        <f t="shared" si="1"/>
        <v/>
      </c>
      <c r="C362" s="14" t="str">
        <f>IF($A362&lt;&gt;"",MINIFS(Merchant!$A:$A,Merchant!$B:$B,$G$2),)</f>
        <v/>
      </c>
      <c r="D362" s="14" t="str">
        <f t="shared" si="2"/>
        <v/>
      </c>
      <c r="E362" s="14" t="str">
        <f t="shared" si="3"/>
        <v/>
      </c>
      <c r="F362" s="7" t="str">
        <f>IF($A362&lt;&gt;"",MAXIFS(Token!$C:$C,Token!$A:$A,$D362),)</f>
        <v/>
      </c>
    </row>
    <row r="363">
      <c r="A363" s="39" t="str">
        <f>IF(AND($L363*1&gt;=$G$3,$L363*1&lt;=$G$4,$I363*$J363&gt;0,OR($I363&lt;&gt;$I364,$L363-$L364&gt;25),IF(ABS($I363)&gt;10,$I363/POW(10,$J363),$J363/POW(10,$I363))*MAXIFS(Token!$C:$C,Token!$A:$A,$K363)&gt;0.01),$L363/86400+DATE(1970,1,1)+$G$6,)</f>
        <v/>
      </c>
      <c r="B363" s="27" t="str">
        <f t="shared" si="1"/>
        <v/>
      </c>
      <c r="C363" s="14" t="str">
        <f>IF($A363&lt;&gt;"",MINIFS(Merchant!$A:$A,Merchant!$B:$B,$G$2),)</f>
        <v/>
      </c>
      <c r="D363" s="14" t="str">
        <f t="shared" si="2"/>
        <v/>
      </c>
      <c r="E363" s="14" t="str">
        <f t="shared" si="3"/>
        <v/>
      </c>
      <c r="F363" s="7" t="str">
        <f>IF($A363&lt;&gt;"",MAXIFS(Token!$C:$C,Token!$A:$A,$D363),)</f>
        <v/>
      </c>
    </row>
    <row r="364">
      <c r="A364" s="39" t="str">
        <f>IF(AND($L364*1&gt;=$G$3,$L364*1&lt;=$G$4,$I364*$J364&gt;0,OR($I364&lt;&gt;$I365,$L364-$L365&gt;25),IF(ABS($I364)&gt;10,$I364/POW(10,$J364),$J364/POW(10,$I364))*MAXIFS(Token!$C:$C,Token!$A:$A,$K364)&gt;0.01),$L364/86400+DATE(1970,1,1)+$G$6,)</f>
        <v/>
      </c>
      <c r="B364" s="27" t="str">
        <f t="shared" si="1"/>
        <v/>
      </c>
      <c r="C364" s="14" t="str">
        <f>IF($A364&lt;&gt;"",MINIFS(Merchant!$A:$A,Merchant!$B:$B,$G$2),)</f>
        <v/>
      </c>
      <c r="D364" s="14" t="str">
        <f t="shared" si="2"/>
        <v/>
      </c>
      <c r="E364" s="14" t="str">
        <f t="shared" si="3"/>
        <v/>
      </c>
      <c r="F364" s="7" t="str">
        <f>IF($A364&lt;&gt;"",MAXIFS(Token!$C:$C,Token!$A:$A,$D364),)</f>
        <v/>
      </c>
    </row>
    <row r="365">
      <c r="A365" s="39" t="str">
        <f>IF(AND($L365*1&gt;=$G$3,$L365*1&lt;=$G$4,$I365*$J365&gt;0,OR($I365&lt;&gt;$I366,$L365-$L366&gt;25),IF(ABS($I365)&gt;10,$I365/POW(10,$J365),$J365/POW(10,$I365))*MAXIFS(Token!$C:$C,Token!$A:$A,$K365)&gt;0.01),$L365/86400+DATE(1970,1,1)+$G$6,)</f>
        <v/>
      </c>
      <c r="B365" s="27" t="str">
        <f t="shared" si="1"/>
        <v/>
      </c>
      <c r="C365" s="14" t="str">
        <f>IF($A365&lt;&gt;"",MINIFS(Merchant!$A:$A,Merchant!$B:$B,$G$2),)</f>
        <v/>
      </c>
      <c r="D365" s="14" t="str">
        <f t="shared" si="2"/>
        <v/>
      </c>
      <c r="E365" s="14" t="str">
        <f t="shared" si="3"/>
        <v/>
      </c>
      <c r="F365" s="7" t="str">
        <f>IF($A365&lt;&gt;"",MAXIFS(Token!$C:$C,Token!$A:$A,$D365),)</f>
        <v/>
      </c>
    </row>
    <row r="366">
      <c r="A366" s="39" t="str">
        <f>IF(AND($L366*1&gt;=$G$3,$L366*1&lt;=$G$4,$I366*$J366&gt;0,OR($I366&lt;&gt;$I367,$L366-$L367&gt;25),IF(ABS($I366)&gt;10,$I366/POW(10,$J366),$J366/POW(10,$I366))*MAXIFS(Token!$C:$C,Token!$A:$A,$K366)&gt;0.01),$L366/86400+DATE(1970,1,1)+$G$6,)</f>
        <v/>
      </c>
      <c r="B366" s="27" t="str">
        <f t="shared" si="1"/>
        <v/>
      </c>
      <c r="C366" s="14" t="str">
        <f>IF($A366&lt;&gt;"",MINIFS(Merchant!$A:$A,Merchant!$B:$B,$G$2),)</f>
        <v/>
      </c>
      <c r="D366" s="14" t="str">
        <f t="shared" si="2"/>
        <v/>
      </c>
      <c r="E366" s="14" t="str">
        <f t="shared" si="3"/>
        <v/>
      </c>
      <c r="F366" s="7" t="str">
        <f>IF($A366&lt;&gt;"",MAXIFS(Token!$C:$C,Token!$A:$A,$D366),)</f>
        <v/>
      </c>
    </row>
    <row r="367">
      <c r="A367" s="39" t="str">
        <f>IF(AND($L367*1&gt;=$G$3,$L367*1&lt;=$G$4,$I367*$J367&gt;0,OR($I367&lt;&gt;$I368,$L367-$L368&gt;25),IF(ABS($I367)&gt;10,$I367/POW(10,$J367),$J367/POW(10,$I367))*MAXIFS(Token!$C:$C,Token!$A:$A,$K367)&gt;0.01),$L367/86400+DATE(1970,1,1)+$G$6,)</f>
        <v/>
      </c>
      <c r="B367" s="27" t="str">
        <f t="shared" si="1"/>
        <v/>
      </c>
      <c r="C367" s="14" t="str">
        <f>IF($A367&lt;&gt;"",MINIFS(Merchant!$A:$A,Merchant!$B:$B,$G$2),)</f>
        <v/>
      </c>
      <c r="D367" s="14" t="str">
        <f t="shared" si="2"/>
        <v/>
      </c>
      <c r="E367" s="14" t="str">
        <f t="shared" si="3"/>
        <v/>
      </c>
      <c r="F367" s="7" t="str">
        <f>IF($A367&lt;&gt;"",MAXIFS(Token!$C:$C,Token!$A:$A,$D367),)</f>
        <v/>
      </c>
    </row>
    <row r="368">
      <c r="A368" s="39" t="str">
        <f>IF(AND($L368*1&gt;=$G$3,$L368*1&lt;=$G$4,$I368*$J368&gt;0,OR($I368&lt;&gt;$I369,$L368-$L369&gt;25),IF(ABS($I368)&gt;10,$I368/POW(10,$J368),$J368/POW(10,$I368))*MAXIFS(Token!$C:$C,Token!$A:$A,$K368)&gt;0.01),$L368/86400+DATE(1970,1,1)+$G$6,)</f>
        <v/>
      </c>
      <c r="B368" s="27" t="str">
        <f t="shared" si="1"/>
        <v/>
      </c>
      <c r="C368" s="14" t="str">
        <f>IF($A368&lt;&gt;"",MINIFS(Merchant!$A:$A,Merchant!$B:$B,$G$2),)</f>
        <v/>
      </c>
      <c r="D368" s="14" t="str">
        <f t="shared" si="2"/>
        <v/>
      </c>
      <c r="E368" s="14" t="str">
        <f t="shared" si="3"/>
        <v/>
      </c>
      <c r="F368" s="7" t="str">
        <f>IF($A368&lt;&gt;"",MAXIFS(Token!$C:$C,Token!$A:$A,$D368),)</f>
        <v/>
      </c>
    </row>
    <row r="369">
      <c r="A369" s="39" t="str">
        <f>IF(AND($L369*1&gt;=$G$3,$L369*1&lt;=$G$4,$I369*$J369&gt;0,OR($I369&lt;&gt;$I370,$L369-$L370&gt;25),IF(ABS($I369)&gt;10,$I369/POW(10,$J369),$J369/POW(10,$I369))*MAXIFS(Token!$C:$C,Token!$A:$A,$K369)&gt;0.01),$L369/86400+DATE(1970,1,1)+$G$6,)</f>
        <v/>
      </c>
      <c r="B369" s="27" t="str">
        <f t="shared" si="1"/>
        <v/>
      </c>
      <c r="C369" s="14" t="str">
        <f>IF($A369&lt;&gt;"",MINIFS(Merchant!$A:$A,Merchant!$B:$B,$G$2),)</f>
        <v/>
      </c>
      <c r="D369" s="14" t="str">
        <f t="shared" si="2"/>
        <v/>
      </c>
      <c r="E369" s="14" t="str">
        <f t="shared" si="3"/>
        <v/>
      </c>
      <c r="F369" s="7" t="str">
        <f>IF($A369&lt;&gt;"",MAXIFS(Token!$C:$C,Token!$A:$A,$D369),)</f>
        <v/>
      </c>
    </row>
    <row r="370">
      <c r="A370" s="39" t="str">
        <f>IF(AND($L370*1&gt;=$G$3,$L370*1&lt;=$G$4,$I370*$J370&gt;0,OR($I370&lt;&gt;$I371,$L370-$L371&gt;25),IF(ABS($I370)&gt;10,$I370/POW(10,$J370),$J370/POW(10,$I370))*MAXIFS(Token!$C:$C,Token!$A:$A,$K370)&gt;0.01),$L370/86400+DATE(1970,1,1)+$G$6,)</f>
        <v/>
      </c>
      <c r="B370" s="27" t="str">
        <f t="shared" si="1"/>
        <v/>
      </c>
      <c r="C370" s="14" t="str">
        <f>IF($A370&lt;&gt;"",MINIFS(Merchant!$A:$A,Merchant!$B:$B,$G$2),)</f>
        <v/>
      </c>
      <c r="D370" s="14" t="str">
        <f t="shared" si="2"/>
        <v/>
      </c>
      <c r="E370" s="14" t="str">
        <f t="shared" si="3"/>
        <v/>
      </c>
      <c r="F370" s="7" t="str">
        <f>IF($A370&lt;&gt;"",MAXIFS(Token!$C:$C,Token!$A:$A,$D370),)</f>
        <v/>
      </c>
    </row>
    <row r="371">
      <c r="A371" s="39" t="str">
        <f>IF(AND($L371*1&gt;=$G$3,$L371*1&lt;=$G$4,$I371*$J371&gt;0,OR($I371&lt;&gt;$I372,$L371-$L372&gt;25),IF(ABS($I371)&gt;10,$I371/POW(10,$J371),$J371/POW(10,$I371))*MAXIFS(Token!$C:$C,Token!$A:$A,$K371)&gt;0.01),$L371/86400+DATE(1970,1,1)+$G$6,)</f>
        <v/>
      </c>
      <c r="B371" s="27" t="str">
        <f t="shared" si="1"/>
        <v/>
      </c>
      <c r="C371" s="14" t="str">
        <f>IF($A371&lt;&gt;"",MINIFS(Merchant!$A:$A,Merchant!$B:$B,$G$2),)</f>
        <v/>
      </c>
      <c r="D371" s="14" t="str">
        <f t="shared" si="2"/>
        <v/>
      </c>
      <c r="E371" s="14" t="str">
        <f t="shared" si="3"/>
        <v/>
      </c>
      <c r="F371" s="7" t="str">
        <f>IF($A371&lt;&gt;"",MAXIFS(Token!$C:$C,Token!$A:$A,$D371),)</f>
        <v/>
      </c>
    </row>
    <row r="372">
      <c r="A372" s="39" t="str">
        <f>IF(AND($L372*1&gt;=$G$3,$L372*1&lt;=$G$4,$I372*$J372&gt;0,OR($I372&lt;&gt;$I373,$L372-$L373&gt;25),IF(ABS($I372)&gt;10,$I372/POW(10,$J372),$J372/POW(10,$I372))*MAXIFS(Token!$C:$C,Token!$A:$A,$K372)&gt;0.01),$L372/86400+DATE(1970,1,1)+$G$6,)</f>
        <v/>
      </c>
      <c r="B372" s="27" t="str">
        <f t="shared" si="1"/>
        <v/>
      </c>
      <c r="C372" s="14" t="str">
        <f>IF($A372&lt;&gt;"",MINIFS(Merchant!$A:$A,Merchant!$B:$B,$G$2),)</f>
        <v/>
      </c>
      <c r="D372" s="14" t="str">
        <f t="shared" si="2"/>
        <v/>
      </c>
      <c r="E372" s="14" t="str">
        <f t="shared" si="3"/>
        <v/>
      </c>
      <c r="F372" s="7" t="str">
        <f>IF($A372&lt;&gt;"",MAXIFS(Token!$C:$C,Token!$A:$A,$D372),)</f>
        <v/>
      </c>
    </row>
    <row r="373">
      <c r="A373" s="39" t="str">
        <f>IF(AND($L373*1&gt;=$G$3,$L373*1&lt;=$G$4,$I373*$J373&gt;0,OR($I373&lt;&gt;$I374,$L373-$L374&gt;25),IF(ABS($I373)&gt;10,$I373/POW(10,$J373),$J373/POW(10,$I373))*MAXIFS(Token!$C:$C,Token!$A:$A,$K373)&gt;0.01),$L373/86400+DATE(1970,1,1)+$G$6,)</f>
        <v/>
      </c>
      <c r="B373" s="27" t="str">
        <f t="shared" si="1"/>
        <v/>
      </c>
      <c r="C373" s="14" t="str">
        <f>IF($A373&lt;&gt;"",MINIFS(Merchant!$A:$A,Merchant!$B:$B,$G$2),)</f>
        <v/>
      </c>
      <c r="D373" s="14" t="str">
        <f t="shared" si="2"/>
        <v/>
      </c>
      <c r="E373" s="14" t="str">
        <f t="shared" si="3"/>
        <v/>
      </c>
      <c r="F373" s="7" t="str">
        <f>IF($A373&lt;&gt;"",MAXIFS(Token!$C:$C,Token!$A:$A,$D373),)</f>
        <v/>
      </c>
    </row>
    <row r="374">
      <c r="A374" s="39" t="str">
        <f>IF(AND($L374*1&gt;=$G$3,$L374*1&lt;=$G$4,$I374*$J374&gt;0,OR($I374&lt;&gt;$I375,$L374-$L375&gt;25),IF(ABS($I374)&gt;10,$I374/POW(10,$J374),$J374/POW(10,$I374))*MAXIFS(Token!$C:$C,Token!$A:$A,$K374)&gt;0.01),$L374/86400+DATE(1970,1,1)+$G$6,)</f>
        <v/>
      </c>
      <c r="B374" s="27" t="str">
        <f t="shared" si="1"/>
        <v/>
      </c>
      <c r="C374" s="14" t="str">
        <f>IF($A374&lt;&gt;"",MINIFS(Merchant!$A:$A,Merchant!$B:$B,$G$2),)</f>
        <v/>
      </c>
      <c r="D374" s="14" t="str">
        <f t="shared" si="2"/>
        <v/>
      </c>
      <c r="E374" s="14" t="str">
        <f t="shared" si="3"/>
        <v/>
      </c>
      <c r="F374" s="7" t="str">
        <f>IF($A374&lt;&gt;"",MAXIFS(Token!$C:$C,Token!$A:$A,$D374),)</f>
        <v/>
      </c>
    </row>
    <row r="375">
      <c r="A375" s="39" t="str">
        <f>IF(AND($L375*1&gt;=$G$3,$L375*1&lt;=$G$4,$I375*$J375&gt;0,OR($I375&lt;&gt;$I376,$L375-$L376&gt;25),IF(ABS($I375)&gt;10,$I375/POW(10,$J375),$J375/POW(10,$I375))*MAXIFS(Token!$C:$C,Token!$A:$A,$K375)&gt;0.01),$L375/86400+DATE(1970,1,1)+$G$6,)</f>
        <v/>
      </c>
      <c r="B375" s="27" t="str">
        <f t="shared" si="1"/>
        <v/>
      </c>
      <c r="C375" s="14" t="str">
        <f>IF($A375&lt;&gt;"",MINIFS(Merchant!$A:$A,Merchant!$B:$B,$G$2),)</f>
        <v/>
      </c>
      <c r="D375" s="14" t="str">
        <f t="shared" si="2"/>
        <v/>
      </c>
      <c r="E375" s="14" t="str">
        <f t="shared" si="3"/>
        <v/>
      </c>
      <c r="F375" s="7" t="str">
        <f>IF($A375&lt;&gt;"",MAXIFS(Token!$C:$C,Token!$A:$A,$D375),)</f>
        <v/>
      </c>
    </row>
    <row r="376">
      <c r="A376" s="39" t="str">
        <f>IF(AND($L376*1&gt;=$G$3,$L376*1&lt;=$G$4,$I376*$J376&gt;0,OR($I376&lt;&gt;$I377,$L376-$L377&gt;25),IF(ABS($I376)&gt;10,$I376/POW(10,$J376),$J376/POW(10,$I376))*MAXIFS(Token!$C:$C,Token!$A:$A,$K376)&gt;0.01),$L376/86400+DATE(1970,1,1)+$G$6,)</f>
        <v/>
      </c>
      <c r="B376" s="27" t="str">
        <f t="shared" si="1"/>
        <v/>
      </c>
      <c r="C376" s="14" t="str">
        <f>IF($A376&lt;&gt;"",MINIFS(Merchant!$A:$A,Merchant!$B:$B,$G$2),)</f>
        <v/>
      </c>
      <c r="D376" s="14" t="str">
        <f t="shared" si="2"/>
        <v/>
      </c>
      <c r="E376" s="14" t="str">
        <f t="shared" si="3"/>
        <v/>
      </c>
      <c r="F376" s="7" t="str">
        <f>IF($A376&lt;&gt;"",MAXIFS(Token!$C:$C,Token!$A:$A,$D376),)</f>
        <v/>
      </c>
    </row>
    <row r="377">
      <c r="A377" s="39" t="str">
        <f>IF(AND($L377*1&gt;=$G$3,$L377*1&lt;=$G$4,$I377*$J377&gt;0,OR($I377&lt;&gt;$I378,$L377-$L378&gt;25),IF(ABS($I377)&gt;10,$I377/POW(10,$J377),$J377/POW(10,$I377))*MAXIFS(Token!$C:$C,Token!$A:$A,$K377)&gt;0.01),$L377/86400+DATE(1970,1,1)+$G$6,)</f>
        <v/>
      </c>
      <c r="B377" s="27" t="str">
        <f t="shared" si="1"/>
        <v/>
      </c>
      <c r="C377" s="14" t="str">
        <f>IF($A377&lt;&gt;"",MINIFS(Merchant!$A:$A,Merchant!$B:$B,$G$2),)</f>
        <v/>
      </c>
      <c r="D377" s="14" t="str">
        <f t="shared" si="2"/>
        <v/>
      </c>
      <c r="E377" s="14" t="str">
        <f t="shared" si="3"/>
        <v/>
      </c>
      <c r="F377" s="7" t="str">
        <f>IF($A377&lt;&gt;"",MAXIFS(Token!$C:$C,Token!$A:$A,$D377),)</f>
        <v/>
      </c>
    </row>
    <row r="378">
      <c r="A378" s="39" t="str">
        <f>IF(AND($L378*1&gt;=$G$3,$L378*1&lt;=$G$4,$I378*$J378&gt;0,OR($I378&lt;&gt;$I379,$L378-$L379&gt;25),IF(ABS($I378)&gt;10,$I378/POW(10,$J378),$J378/POW(10,$I378))*MAXIFS(Token!$C:$C,Token!$A:$A,$K378)&gt;0.01),$L378/86400+DATE(1970,1,1)+$G$6,)</f>
        <v/>
      </c>
      <c r="B378" s="27" t="str">
        <f t="shared" si="1"/>
        <v/>
      </c>
      <c r="C378" s="14" t="str">
        <f>IF($A378&lt;&gt;"",MINIFS(Merchant!$A:$A,Merchant!$B:$B,$G$2),)</f>
        <v/>
      </c>
      <c r="D378" s="14" t="str">
        <f t="shared" si="2"/>
        <v/>
      </c>
      <c r="E378" s="14" t="str">
        <f t="shared" si="3"/>
        <v/>
      </c>
      <c r="F378" s="7" t="str">
        <f>IF($A378&lt;&gt;"",MAXIFS(Token!$C:$C,Token!$A:$A,$D378),)</f>
        <v/>
      </c>
    </row>
    <row r="379">
      <c r="A379" s="39" t="str">
        <f>IF(AND($L379*1&gt;=$G$3,$L379*1&lt;=$G$4,$I379*$J379&gt;0,OR($I379&lt;&gt;$I380,$L379-$L380&gt;25),IF(ABS($I379)&gt;10,$I379/POW(10,$J379),$J379/POW(10,$I379))*MAXIFS(Token!$C:$C,Token!$A:$A,$K379)&gt;0.01),$L379/86400+DATE(1970,1,1)+$G$6,)</f>
        <v/>
      </c>
      <c r="B379" s="27" t="str">
        <f t="shared" si="1"/>
        <v/>
      </c>
      <c r="C379" s="14" t="str">
        <f>IF($A379&lt;&gt;"",MINIFS(Merchant!$A:$A,Merchant!$B:$B,$G$2),)</f>
        <v/>
      </c>
      <c r="D379" s="14" t="str">
        <f t="shared" si="2"/>
        <v/>
      </c>
      <c r="E379" s="14" t="str">
        <f t="shared" si="3"/>
        <v/>
      </c>
      <c r="F379" s="7" t="str">
        <f>IF($A379&lt;&gt;"",MAXIFS(Token!$C:$C,Token!$A:$A,$D379),)</f>
        <v/>
      </c>
    </row>
    <row r="380">
      <c r="A380" s="39" t="str">
        <f>IF(AND($L380*1&gt;=$G$3,$L380*1&lt;=$G$4,$I380*$J380&gt;0,OR($I380&lt;&gt;$I381,$L380-$L381&gt;25),IF(ABS($I380)&gt;10,$I380/POW(10,$J380),$J380/POW(10,$I380))*MAXIFS(Token!$C:$C,Token!$A:$A,$K380)&gt;0.01),$L380/86400+DATE(1970,1,1)+$G$6,)</f>
        <v/>
      </c>
      <c r="B380" s="27" t="str">
        <f t="shared" si="1"/>
        <v/>
      </c>
      <c r="C380" s="14" t="str">
        <f>IF($A380&lt;&gt;"",MINIFS(Merchant!$A:$A,Merchant!$B:$B,$G$2),)</f>
        <v/>
      </c>
      <c r="D380" s="14" t="str">
        <f t="shared" si="2"/>
        <v/>
      </c>
      <c r="E380" s="14" t="str">
        <f t="shared" si="3"/>
        <v/>
      </c>
      <c r="F380" s="7" t="str">
        <f>IF($A380&lt;&gt;"",MAXIFS(Token!$C:$C,Token!$A:$A,$D380),)</f>
        <v/>
      </c>
    </row>
    <row r="381">
      <c r="A381" s="39" t="str">
        <f>IF(AND($L381*1&gt;=$G$3,$L381*1&lt;=$G$4,$I381*$J381&gt;0,OR($I381&lt;&gt;$I382,$L381-$L382&gt;25),IF(ABS($I381)&gt;10,$I381/POW(10,$J381),$J381/POW(10,$I381))*MAXIFS(Token!$C:$C,Token!$A:$A,$K381)&gt;0.01),$L381/86400+DATE(1970,1,1)+$G$6,)</f>
        <v/>
      </c>
      <c r="B381" s="27" t="str">
        <f t="shared" si="1"/>
        <v/>
      </c>
      <c r="C381" s="14" t="str">
        <f>IF($A381&lt;&gt;"",MINIFS(Merchant!$A:$A,Merchant!$B:$B,$G$2),)</f>
        <v/>
      </c>
      <c r="D381" s="14" t="str">
        <f t="shared" si="2"/>
        <v/>
      </c>
      <c r="E381" s="14" t="str">
        <f t="shared" si="3"/>
        <v/>
      </c>
      <c r="F381" s="7" t="str">
        <f>IF($A381&lt;&gt;"",MAXIFS(Token!$C:$C,Token!$A:$A,$D381),)</f>
        <v/>
      </c>
    </row>
    <row r="382">
      <c r="A382" s="39" t="str">
        <f>IF(AND($L382*1&gt;=$G$3,$L382*1&lt;=$G$4,$I382*$J382&gt;0,OR($I382&lt;&gt;$I383,$L382-$L383&gt;25),IF(ABS($I382)&gt;10,$I382/POW(10,$J382),$J382/POW(10,$I382))*MAXIFS(Token!$C:$C,Token!$A:$A,$K382)&gt;0.01),$L382/86400+DATE(1970,1,1)+$G$6,)</f>
        <v/>
      </c>
      <c r="B382" s="27" t="str">
        <f t="shared" si="1"/>
        <v/>
      </c>
      <c r="C382" s="14" t="str">
        <f>IF($A382&lt;&gt;"",MINIFS(Merchant!$A:$A,Merchant!$B:$B,$G$2),)</f>
        <v/>
      </c>
      <c r="D382" s="14" t="str">
        <f t="shared" si="2"/>
        <v/>
      </c>
      <c r="E382" s="14" t="str">
        <f t="shared" si="3"/>
        <v/>
      </c>
      <c r="F382" s="7" t="str">
        <f>IF($A382&lt;&gt;"",MAXIFS(Token!$C:$C,Token!$A:$A,$D382),)</f>
        <v/>
      </c>
    </row>
    <row r="383">
      <c r="A383" s="39" t="str">
        <f>IF(AND($L383*1&gt;=$G$3,$L383*1&lt;=$G$4,$I383*$J383&gt;0,OR($I383&lt;&gt;$I384,$L383-$L384&gt;25),IF(ABS($I383)&gt;10,$I383/POW(10,$J383),$J383/POW(10,$I383))*MAXIFS(Token!$C:$C,Token!$A:$A,$K383)&gt;0.01),$L383/86400+DATE(1970,1,1)+$G$6,)</f>
        <v/>
      </c>
      <c r="B383" s="27" t="str">
        <f t="shared" si="1"/>
        <v/>
      </c>
      <c r="C383" s="14" t="str">
        <f>IF($A383&lt;&gt;"",MINIFS(Merchant!$A:$A,Merchant!$B:$B,$G$2),)</f>
        <v/>
      </c>
      <c r="D383" s="14" t="str">
        <f t="shared" si="2"/>
        <v/>
      </c>
      <c r="E383" s="14" t="str">
        <f t="shared" si="3"/>
        <v/>
      </c>
      <c r="F383" s="7" t="str">
        <f>IF($A383&lt;&gt;"",MAXIFS(Token!$C:$C,Token!$A:$A,$D383),)</f>
        <v/>
      </c>
    </row>
    <row r="384">
      <c r="A384" s="39" t="str">
        <f>IF(AND($L384*1&gt;=$G$3,$L384*1&lt;=$G$4,$I384*$J384&gt;0,OR($I384&lt;&gt;$I385,$L384-$L385&gt;25),IF(ABS($I384)&gt;10,$I384/POW(10,$J384),$J384/POW(10,$I384))*MAXIFS(Token!$C:$C,Token!$A:$A,$K384)&gt;0.01),$L384/86400+DATE(1970,1,1)+$G$6,)</f>
        <v/>
      </c>
      <c r="B384" s="27" t="str">
        <f t="shared" si="1"/>
        <v/>
      </c>
      <c r="C384" s="14" t="str">
        <f>IF($A384&lt;&gt;"",MINIFS(Merchant!$A:$A,Merchant!$B:$B,$G$2),)</f>
        <v/>
      </c>
      <c r="D384" s="14" t="str">
        <f t="shared" si="2"/>
        <v/>
      </c>
      <c r="E384" s="14" t="str">
        <f t="shared" si="3"/>
        <v/>
      </c>
      <c r="F384" s="7" t="str">
        <f>IF($A384&lt;&gt;"",MAXIFS(Token!$C:$C,Token!$A:$A,$D384),)</f>
        <v/>
      </c>
    </row>
    <row r="385">
      <c r="A385" s="39" t="str">
        <f>IF(AND($L385*1&gt;=$G$3,$L385*1&lt;=$G$4,$I385*$J385&gt;0,OR($I385&lt;&gt;$I386,$L385-$L386&gt;25),IF(ABS($I385)&gt;10,$I385/POW(10,$J385),$J385/POW(10,$I385))*MAXIFS(Token!$C:$C,Token!$A:$A,$K385)&gt;0.01),$L385/86400+DATE(1970,1,1)+$G$6,)</f>
        <v/>
      </c>
      <c r="B385" s="27" t="str">
        <f t="shared" si="1"/>
        <v/>
      </c>
      <c r="C385" s="14" t="str">
        <f>IF($A385&lt;&gt;"",MINIFS(Merchant!$A:$A,Merchant!$B:$B,$G$2),)</f>
        <v/>
      </c>
      <c r="D385" s="14" t="str">
        <f t="shared" si="2"/>
        <v/>
      </c>
      <c r="E385" s="14" t="str">
        <f t="shared" si="3"/>
        <v/>
      </c>
      <c r="F385" s="7" t="str">
        <f>IF($A385&lt;&gt;"",MAXIFS(Token!$C:$C,Token!$A:$A,$D385),)</f>
        <v/>
      </c>
    </row>
    <row r="386">
      <c r="A386" s="39" t="str">
        <f>IF(AND($L386*1&gt;=$G$3,$L386*1&lt;=$G$4,$I386*$J386&gt;0,OR($I386&lt;&gt;$I387,$L386-$L387&gt;25),IF(ABS($I386)&gt;10,$I386/POW(10,$J386),$J386/POW(10,$I386))*MAXIFS(Token!$C:$C,Token!$A:$A,$K386)&gt;0.01),$L386/86400+DATE(1970,1,1)+$G$6,)</f>
        <v/>
      </c>
      <c r="B386" s="27" t="str">
        <f t="shared" si="1"/>
        <v/>
      </c>
      <c r="C386" s="14" t="str">
        <f>IF($A386&lt;&gt;"",MINIFS(Merchant!$A:$A,Merchant!$B:$B,$G$2),)</f>
        <v/>
      </c>
      <c r="D386" s="14" t="str">
        <f t="shared" si="2"/>
        <v/>
      </c>
      <c r="E386" s="14" t="str">
        <f t="shared" si="3"/>
        <v/>
      </c>
      <c r="F386" s="7" t="str">
        <f>IF($A386&lt;&gt;"",MAXIFS(Token!$C:$C,Token!$A:$A,$D386),)</f>
        <v/>
      </c>
    </row>
    <row r="387">
      <c r="A387" s="39" t="str">
        <f>IF(AND($L387*1&gt;=$G$3,$L387*1&lt;=$G$4,$I387*$J387&gt;0,OR($I387&lt;&gt;$I388,$L387-$L388&gt;25),IF(ABS($I387)&gt;10,$I387/POW(10,$J387),$J387/POW(10,$I387))*MAXIFS(Token!$C:$C,Token!$A:$A,$K387)&gt;0.01),$L387/86400+DATE(1970,1,1)+$G$6,)</f>
        <v/>
      </c>
      <c r="B387" s="27" t="str">
        <f t="shared" si="1"/>
        <v/>
      </c>
      <c r="C387" s="14" t="str">
        <f>IF($A387&lt;&gt;"",MINIFS(Merchant!$A:$A,Merchant!$B:$B,$G$2),)</f>
        <v/>
      </c>
      <c r="D387" s="14" t="str">
        <f t="shared" si="2"/>
        <v/>
      </c>
      <c r="E387" s="14" t="str">
        <f t="shared" si="3"/>
        <v/>
      </c>
      <c r="F387" s="7" t="str">
        <f>IF($A387&lt;&gt;"",MAXIFS(Token!$C:$C,Token!$A:$A,$D387),)</f>
        <v/>
      </c>
    </row>
    <row r="388">
      <c r="A388" s="39" t="str">
        <f>IF(AND($L388*1&gt;=$G$3,$L388*1&lt;=$G$4,$I388*$J388&gt;0,OR($I388&lt;&gt;$I389,$L388-$L389&gt;25),IF(ABS($I388)&gt;10,$I388/POW(10,$J388),$J388/POW(10,$I388))*MAXIFS(Token!$C:$C,Token!$A:$A,$K388)&gt;0.01),$L388/86400+DATE(1970,1,1)+$G$6,)</f>
        <v/>
      </c>
      <c r="B388" s="27" t="str">
        <f t="shared" si="1"/>
        <v/>
      </c>
      <c r="C388" s="14" t="str">
        <f>IF($A388&lt;&gt;"",MINIFS(Merchant!$A:$A,Merchant!$B:$B,$G$2),)</f>
        <v/>
      </c>
      <c r="D388" s="14" t="str">
        <f t="shared" si="2"/>
        <v/>
      </c>
      <c r="E388" s="14" t="str">
        <f t="shared" si="3"/>
        <v/>
      </c>
      <c r="F388" s="7" t="str">
        <f>IF($A388&lt;&gt;"",MAXIFS(Token!$C:$C,Token!$A:$A,$D388),)</f>
        <v/>
      </c>
    </row>
    <row r="389">
      <c r="A389" s="39" t="str">
        <f>IF(AND($L389*1&gt;=$G$3,$L389*1&lt;=$G$4,$I389*$J389&gt;0,OR($I389&lt;&gt;$I390,$L389-$L390&gt;25),IF(ABS($I389)&gt;10,$I389/POW(10,$J389),$J389/POW(10,$I389))*MAXIFS(Token!$C:$C,Token!$A:$A,$K389)&gt;0.01),$L389/86400+DATE(1970,1,1)+$G$6,)</f>
        <v/>
      </c>
      <c r="B389" s="27" t="str">
        <f t="shared" si="1"/>
        <v/>
      </c>
      <c r="C389" s="14" t="str">
        <f>IF($A389&lt;&gt;"",MINIFS(Merchant!$A:$A,Merchant!$B:$B,$G$2),)</f>
        <v/>
      </c>
      <c r="D389" s="14" t="str">
        <f t="shared" si="2"/>
        <v/>
      </c>
      <c r="E389" s="14" t="str">
        <f t="shared" si="3"/>
        <v/>
      </c>
      <c r="F389" s="7" t="str">
        <f>IF($A389&lt;&gt;"",MAXIFS(Token!$C:$C,Token!$A:$A,$D389),)</f>
        <v/>
      </c>
    </row>
    <row r="390">
      <c r="A390" s="39" t="str">
        <f>IF(AND($L390*1&gt;=$G$3,$L390*1&lt;=$G$4,$I390*$J390&gt;0,OR($I390&lt;&gt;$I391,$L390-$L391&gt;25),IF(ABS($I390)&gt;10,$I390/POW(10,$J390),$J390/POW(10,$I390))*MAXIFS(Token!$C:$C,Token!$A:$A,$K390)&gt;0.01),$L390/86400+DATE(1970,1,1)+$G$6,)</f>
        <v/>
      </c>
      <c r="B390" s="27" t="str">
        <f t="shared" si="1"/>
        <v/>
      </c>
      <c r="C390" s="14" t="str">
        <f>IF($A390&lt;&gt;"",MINIFS(Merchant!$A:$A,Merchant!$B:$B,$G$2),)</f>
        <v/>
      </c>
      <c r="D390" s="14" t="str">
        <f t="shared" si="2"/>
        <v/>
      </c>
      <c r="E390" s="14" t="str">
        <f t="shared" si="3"/>
        <v/>
      </c>
      <c r="F390" s="7" t="str">
        <f>IF($A390&lt;&gt;"",MAXIFS(Token!$C:$C,Token!$A:$A,$D390),)</f>
        <v/>
      </c>
    </row>
    <row r="391">
      <c r="A391" s="39" t="str">
        <f>IF(AND($L391*1&gt;=$G$3,$L391*1&lt;=$G$4,$I391*$J391&gt;0,OR($I391&lt;&gt;$I392,$L391-$L392&gt;25),IF(ABS($I391)&gt;10,$I391/POW(10,$J391),$J391/POW(10,$I391))*MAXIFS(Token!$C:$C,Token!$A:$A,$K391)&gt;0.01),$L391/86400+DATE(1970,1,1)+$G$6,)</f>
        <v/>
      </c>
      <c r="B391" s="27" t="str">
        <f t="shared" si="1"/>
        <v/>
      </c>
      <c r="C391" s="14" t="str">
        <f>IF($A391&lt;&gt;"",MINIFS(Merchant!$A:$A,Merchant!$B:$B,$G$2),)</f>
        <v/>
      </c>
      <c r="D391" s="14" t="str">
        <f t="shared" si="2"/>
        <v/>
      </c>
      <c r="E391" s="14" t="str">
        <f t="shared" si="3"/>
        <v/>
      </c>
      <c r="F391" s="7" t="str">
        <f>IF($A391&lt;&gt;"",MAXIFS(Token!$C:$C,Token!$A:$A,$D391),)</f>
        <v/>
      </c>
    </row>
    <row r="392">
      <c r="A392" s="39" t="str">
        <f>IF(AND($L392*1&gt;=$G$3,$L392*1&lt;=$G$4,$I392*$J392&gt;0,OR($I392&lt;&gt;$I393,$L392-$L393&gt;25),IF(ABS($I392)&gt;10,$I392/POW(10,$J392),$J392/POW(10,$I392))*MAXIFS(Token!$C:$C,Token!$A:$A,$K392)&gt;0.01),$L392/86400+DATE(1970,1,1)+$G$6,)</f>
        <v/>
      </c>
      <c r="B392" s="27" t="str">
        <f t="shared" si="1"/>
        <v/>
      </c>
      <c r="C392" s="14" t="str">
        <f>IF($A392&lt;&gt;"",MINIFS(Merchant!$A:$A,Merchant!$B:$B,$G$2),)</f>
        <v/>
      </c>
      <c r="D392" s="14" t="str">
        <f t="shared" si="2"/>
        <v/>
      </c>
      <c r="E392" s="14" t="str">
        <f t="shared" si="3"/>
        <v/>
      </c>
      <c r="F392" s="7" t="str">
        <f>IF($A392&lt;&gt;"",MAXIFS(Token!$C:$C,Token!$A:$A,$D392),)</f>
        <v/>
      </c>
    </row>
    <row r="393">
      <c r="A393" s="39" t="str">
        <f>IF(AND($L393*1&gt;=$G$3,$L393*1&lt;=$G$4,$I393*$J393&gt;0,OR($I393&lt;&gt;$I394,$L393-$L394&gt;25),IF(ABS($I393)&gt;10,$I393/POW(10,$J393),$J393/POW(10,$I393))*MAXIFS(Token!$C:$C,Token!$A:$A,$K393)&gt;0.01),$L393/86400+DATE(1970,1,1)+$G$6,)</f>
        <v/>
      </c>
      <c r="B393" s="27" t="str">
        <f t="shared" si="1"/>
        <v/>
      </c>
      <c r="C393" s="14" t="str">
        <f>IF($A393&lt;&gt;"",MINIFS(Merchant!$A:$A,Merchant!$B:$B,$G$2),)</f>
        <v/>
      </c>
      <c r="D393" s="14" t="str">
        <f t="shared" si="2"/>
        <v/>
      </c>
      <c r="E393" s="14" t="str">
        <f t="shared" si="3"/>
        <v/>
      </c>
      <c r="F393" s="7" t="str">
        <f>IF($A393&lt;&gt;"",MAXIFS(Token!$C:$C,Token!$A:$A,$D393),)</f>
        <v/>
      </c>
    </row>
    <row r="394">
      <c r="A394" s="39" t="str">
        <f>IF(AND($L394*1&gt;=$G$3,$L394*1&lt;=$G$4,$I394*$J394&gt;0,OR($I394&lt;&gt;$I395,$L394-$L395&gt;25),IF(ABS($I394)&gt;10,$I394/POW(10,$J394),$J394/POW(10,$I394))*MAXIFS(Token!$C:$C,Token!$A:$A,$K394)&gt;0.01),$L394/86400+DATE(1970,1,1)+$G$6,)</f>
        <v/>
      </c>
      <c r="B394" s="27" t="str">
        <f t="shared" si="1"/>
        <v/>
      </c>
      <c r="C394" s="14" t="str">
        <f>IF($A394&lt;&gt;"",MINIFS(Merchant!$A:$A,Merchant!$B:$B,$G$2),)</f>
        <v/>
      </c>
      <c r="D394" s="14" t="str">
        <f t="shared" si="2"/>
        <v/>
      </c>
      <c r="E394" s="14" t="str">
        <f t="shared" si="3"/>
        <v/>
      </c>
      <c r="F394" s="7" t="str">
        <f>IF($A394&lt;&gt;"",MAXIFS(Token!$C:$C,Token!$A:$A,$D394),)</f>
        <v/>
      </c>
    </row>
    <row r="395">
      <c r="A395" s="39" t="str">
        <f>IF(AND($L395*1&gt;=$G$3,$L395*1&lt;=$G$4,$I395*$J395&gt;0,OR($I395&lt;&gt;$I396,$L395-$L396&gt;25),IF(ABS($I395)&gt;10,$I395/POW(10,$J395),$J395/POW(10,$I395))*MAXIFS(Token!$C:$C,Token!$A:$A,$K395)&gt;0.01),$L395/86400+DATE(1970,1,1)+$G$6,)</f>
        <v/>
      </c>
      <c r="B395" s="27" t="str">
        <f t="shared" si="1"/>
        <v/>
      </c>
      <c r="C395" s="14" t="str">
        <f>IF($A395&lt;&gt;"",MINIFS(Merchant!$A:$A,Merchant!$B:$B,$G$2),)</f>
        <v/>
      </c>
      <c r="D395" s="14" t="str">
        <f t="shared" si="2"/>
        <v/>
      </c>
      <c r="E395" s="14" t="str">
        <f t="shared" si="3"/>
        <v/>
      </c>
      <c r="F395" s="7" t="str">
        <f>IF($A395&lt;&gt;"",MAXIFS(Token!$C:$C,Token!$A:$A,$D395),)</f>
        <v/>
      </c>
    </row>
    <row r="396">
      <c r="A396" s="39" t="str">
        <f>IF(AND($L396*1&gt;=$G$3,$L396*1&lt;=$G$4,$I396*$J396&gt;0,OR($I396&lt;&gt;$I397,$L396-$L397&gt;25),IF(ABS($I396)&gt;10,$I396/POW(10,$J396),$J396/POW(10,$I396))*MAXIFS(Token!$C:$C,Token!$A:$A,$K396)&gt;0.01),$L396/86400+DATE(1970,1,1)+$G$6,)</f>
        <v/>
      </c>
      <c r="B396" s="27" t="str">
        <f t="shared" si="1"/>
        <v/>
      </c>
      <c r="C396" s="14" t="str">
        <f>IF($A396&lt;&gt;"",MINIFS(Merchant!$A:$A,Merchant!$B:$B,$G$2),)</f>
        <v/>
      </c>
      <c r="D396" s="14" t="str">
        <f t="shared" si="2"/>
        <v/>
      </c>
      <c r="E396" s="14" t="str">
        <f t="shared" si="3"/>
        <v/>
      </c>
      <c r="F396" s="7" t="str">
        <f>IF($A396&lt;&gt;"",MAXIFS(Token!$C:$C,Token!$A:$A,$D396),)</f>
        <v/>
      </c>
    </row>
    <row r="397">
      <c r="A397" s="39" t="str">
        <f>IF(AND($L397*1&gt;=$G$3,$L397*1&lt;=$G$4,$I397*$J397&gt;0,OR($I397&lt;&gt;$I398,$L397-$L398&gt;25),IF(ABS($I397)&gt;10,$I397/POW(10,$J397),$J397/POW(10,$I397))*MAXIFS(Token!$C:$C,Token!$A:$A,$K397)&gt;0.01),$L397/86400+DATE(1970,1,1)+$G$6,)</f>
        <v/>
      </c>
      <c r="B397" s="27" t="str">
        <f t="shared" si="1"/>
        <v/>
      </c>
      <c r="C397" s="14" t="str">
        <f>IF($A397&lt;&gt;"",MINIFS(Merchant!$A:$A,Merchant!$B:$B,$G$2),)</f>
        <v/>
      </c>
      <c r="D397" s="14" t="str">
        <f t="shared" si="2"/>
        <v/>
      </c>
      <c r="E397" s="14" t="str">
        <f t="shared" si="3"/>
        <v/>
      </c>
      <c r="F397" s="7" t="str">
        <f>IF($A397&lt;&gt;"",MAXIFS(Token!$C:$C,Token!$A:$A,$D397),)</f>
        <v/>
      </c>
    </row>
    <row r="398">
      <c r="A398" s="39" t="str">
        <f>IF(AND($L398*1&gt;=$G$3,$L398*1&lt;=$G$4,$I398*$J398&gt;0,OR($I398&lt;&gt;$I399,$L398-$L399&gt;25),IF(ABS($I398)&gt;10,$I398/POW(10,$J398),$J398/POW(10,$I398))*MAXIFS(Token!$C:$C,Token!$A:$A,$K398)&gt;0.01),$L398/86400+DATE(1970,1,1)+$G$6,)</f>
        <v/>
      </c>
      <c r="B398" s="27" t="str">
        <f t="shared" si="1"/>
        <v/>
      </c>
      <c r="C398" s="14" t="str">
        <f>IF($A398&lt;&gt;"",MINIFS(Merchant!$A:$A,Merchant!$B:$B,$G$2),)</f>
        <v/>
      </c>
      <c r="D398" s="14" t="str">
        <f t="shared" si="2"/>
        <v/>
      </c>
      <c r="E398" s="14" t="str">
        <f t="shared" si="3"/>
        <v/>
      </c>
      <c r="F398" s="7" t="str">
        <f>IF($A398&lt;&gt;"",MAXIFS(Token!$C:$C,Token!$A:$A,$D398),)</f>
        <v/>
      </c>
    </row>
    <row r="399">
      <c r="A399" s="39" t="str">
        <f>IF(AND($L399*1&gt;=$G$3,$L399*1&lt;=$G$4,$I399*$J399&gt;0,OR($I399&lt;&gt;$I400,$L399-$L400&gt;25),IF(ABS($I399)&gt;10,$I399/POW(10,$J399),$J399/POW(10,$I399))*MAXIFS(Token!$C:$C,Token!$A:$A,$K399)&gt;0.01),$L399/86400+DATE(1970,1,1)+$G$6,)</f>
        <v/>
      </c>
      <c r="B399" s="27" t="str">
        <f t="shared" si="1"/>
        <v/>
      </c>
      <c r="C399" s="14" t="str">
        <f>IF($A399&lt;&gt;"",MINIFS(Merchant!$A:$A,Merchant!$B:$B,$G$2),)</f>
        <v/>
      </c>
      <c r="D399" s="14" t="str">
        <f t="shared" si="2"/>
        <v/>
      </c>
      <c r="E399" s="14" t="str">
        <f t="shared" si="3"/>
        <v/>
      </c>
      <c r="F399" s="7" t="str">
        <f>IF($A399&lt;&gt;"",MAXIFS(Token!$C:$C,Token!$A:$A,$D399),)</f>
        <v/>
      </c>
    </row>
    <row r="400">
      <c r="A400" s="39" t="str">
        <f>IF(AND($L400*1&gt;=$G$3,$L400*1&lt;=$G$4,$I400*$J400&gt;0,OR($I400&lt;&gt;$I401,$L400-$L401&gt;25),IF(ABS($I400)&gt;10,$I400/POW(10,$J400),$J400/POW(10,$I400))*MAXIFS(Token!$C:$C,Token!$A:$A,$K400)&gt;0.01),$L400/86400+DATE(1970,1,1)+$G$6,)</f>
        <v/>
      </c>
      <c r="B400" s="27" t="str">
        <f t="shared" si="1"/>
        <v/>
      </c>
      <c r="C400" s="14" t="str">
        <f>IF($A400&lt;&gt;"",MINIFS(Merchant!$A:$A,Merchant!$B:$B,$G$2),)</f>
        <v/>
      </c>
      <c r="D400" s="14" t="str">
        <f t="shared" si="2"/>
        <v/>
      </c>
      <c r="E400" s="14" t="str">
        <f t="shared" si="3"/>
        <v/>
      </c>
      <c r="F400" s="7" t="str">
        <f>IF($A400&lt;&gt;"",MAXIFS(Token!$C:$C,Token!$A:$A,$D400),)</f>
        <v/>
      </c>
    </row>
    <row r="401">
      <c r="A401" s="39" t="str">
        <f>IF(AND($L401*1&gt;=$G$3,$L401*1&lt;=$G$4,$I401*$J401&gt;0,OR($I401&lt;&gt;$I402,$L401-$L402&gt;25),IF(ABS($I401)&gt;10,$I401/POW(10,$J401),$J401/POW(10,$I401))*MAXIFS(Token!$C:$C,Token!$A:$A,$K401)&gt;0.01),$L401/86400+DATE(1970,1,1)+$G$6,)</f>
        <v/>
      </c>
      <c r="B401" s="27" t="str">
        <f t="shared" si="1"/>
        <v/>
      </c>
      <c r="C401" s="14" t="str">
        <f>IF($A401&lt;&gt;"",MINIFS(Merchant!$A:$A,Merchant!$B:$B,$G$2),)</f>
        <v/>
      </c>
      <c r="D401" s="14" t="str">
        <f t="shared" si="2"/>
        <v/>
      </c>
      <c r="E401" s="14" t="str">
        <f t="shared" si="3"/>
        <v/>
      </c>
      <c r="F401" s="7" t="str">
        <f>IF($A401&lt;&gt;"",MAXIFS(Token!$C:$C,Token!$A:$A,$D401),)</f>
        <v/>
      </c>
    </row>
    <row r="402">
      <c r="A402" s="39" t="str">
        <f>IF(AND($L402*1&gt;=$G$3,$L402*1&lt;=$G$4,$I402*$J402&gt;0,OR($I402&lt;&gt;$I403,$L402-$L403&gt;25),IF(ABS($I402)&gt;10,$I402/POW(10,$J402),$J402/POW(10,$I402))*MAXIFS(Token!$C:$C,Token!$A:$A,$K402)&gt;0.01),$L402/86400+DATE(1970,1,1)+$G$6,)</f>
        <v/>
      </c>
      <c r="B402" s="27" t="str">
        <f t="shared" si="1"/>
        <v/>
      </c>
      <c r="C402" s="14" t="str">
        <f>IF($A402&lt;&gt;"",MINIFS(Merchant!$A:$A,Merchant!$B:$B,$G$2),)</f>
        <v/>
      </c>
      <c r="D402" s="14" t="str">
        <f t="shared" si="2"/>
        <v/>
      </c>
      <c r="E402" s="14" t="str">
        <f t="shared" si="3"/>
        <v/>
      </c>
      <c r="F402" s="7" t="str">
        <f>IF($A402&lt;&gt;"",MAXIFS(Token!$C:$C,Token!$A:$A,$D402),)</f>
        <v/>
      </c>
    </row>
    <row r="403">
      <c r="A403" s="39" t="str">
        <f>IF(AND($L403*1&gt;=$G$3,$L403*1&lt;=$G$4,$I403*$J403&gt;0,OR($I403&lt;&gt;$I404,$L403-$L404&gt;25),IF(ABS($I403)&gt;10,$I403/POW(10,$J403),$J403/POW(10,$I403))*MAXIFS(Token!$C:$C,Token!$A:$A,$K403)&gt;0.01),$L403/86400+DATE(1970,1,1)+$G$6,)</f>
        <v/>
      </c>
      <c r="B403" s="27" t="str">
        <f t="shared" si="1"/>
        <v/>
      </c>
      <c r="C403" s="14" t="str">
        <f>IF($A403&lt;&gt;"",MINIFS(Merchant!$A:$A,Merchant!$B:$B,$G$2),)</f>
        <v/>
      </c>
      <c r="D403" s="14" t="str">
        <f t="shared" si="2"/>
        <v/>
      </c>
      <c r="E403" s="14" t="str">
        <f t="shared" si="3"/>
        <v/>
      </c>
      <c r="F403" s="7" t="str">
        <f>IF($A403&lt;&gt;"",MAXIFS(Token!$C:$C,Token!$A:$A,$D403),)</f>
        <v/>
      </c>
    </row>
    <row r="404">
      <c r="A404" s="39" t="str">
        <f>IF(AND($L404*1&gt;=$G$3,$L404*1&lt;=$G$4,$I404*$J404&gt;0,OR($I404&lt;&gt;$I405,$L404-$L405&gt;25),IF(ABS($I404)&gt;10,$I404/POW(10,$J404),$J404/POW(10,$I404))*MAXIFS(Token!$C:$C,Token!$A:$A,$K404)&gt;0.01),$L404/86400+DATE(1970,1,1)+$G$6,)</f>
        <v/>
      </c>
      <c r="B404" s="27" t="str">
        <f t="shared" si="1"/>
        <v/>
      </c>
      <c r="C404" s="14" t="str">
        <f>IF($A404&lt;&gt;"",MINIFS(Merchant!$A:$A,Merchant!$B:$B,$G$2),)</f>
        <v/>
      </c>
      <c r="D404" s="14" t="str">
        <f t="shared" si="2"/>
        <v/>
      </c>
      <c r="E404" s="14" t="str">
        <f t="shared" si="3"/>
        <v/>
      </c>
      <c r="F404" s="7" t="str">
        <f>IF($A404&lt;&gt;"",MAXIFS(Token!$C:$C,Token!$A:$A,$D404),)</f>
        <v/>
      </c>
    </row>
    <row r="405">
      <c r="A405" s="39" t="str">
        <f>IF(AND($L405*1&gt;=$G$3,$L405*1&lt;=$G$4,$I405*$J405&gt;0,OR($I405&lt;&gt;$I406,$L405-$L406&gt;25),IF(ABS($I405)&gt;10,$I405/POW(10,$J405),$J405/POW(10,$I405))*MAXIFS(Token!$C:$C,Token!$A:$A,$K405)&gt;0.01),$L405/86400+DATE(1970,1,1)+$G$6,)</f>
        <v/>
      </c>
      <c r="B405" s="27" t="str">
        <f t="shared" si="1"/>
        <v/>
      </c>
      <c r="C405" s="14" t="str">
        <f>IF($A405&lt;&gt;"",MINIFS(Merchant!$A:$A,Merchant!$B:$B,$G$2),)</f>
        <v/>
      </c>
      <c r="D405" s="14" t="str">
        <f t="shared" si="2"/>
        <v/>
      </c>
      <c r="E405" s="14" t="str">
        <f t="shared" si="3"/>
        <v/>
      </c>
      <c r="F405" s="7" t="str">
        <f>IF($A405&lt;&gt;"",MAXIFS(Token!$C:$C,Token!$A:$A,$D405),)</f>
        <v/>
      </c>
    </row>
    <row r="406">
      <c r="A406" s="39" t="str">
        <f>IF(AND($L406*1&gt;=$G$3,$L406*1&lt;=$G$4,$I406*$J406&gt;0,OR($I406&lt;&gt;$I407,$L406-$L407&gt;25),IF(ABS($I406)&gt;10,$I406/POW(10,$J406),$J406/POW(10,$I406))*MAXIFS(Token!$C:$C,Token!$A:$A,$K406)&gt;0.01),$L406/86400+DATE(1970,1,1)+$G$6,)</f>
        <v/>
      </c>
      <c r="B406" s="27" t="str">
        <f t="shared" si="1"/>
        <v/>
      </c>
      <c r="C406" s="14" t="str">
        <f>IF($A406&lt;&gt;"",MINIFS(Merchant!$A:$A,Merchant!$B:$B,$G$2),)</f>
        <v/>
      </c>
      <c r="D406" s="14" t="str">
        <f t="shared" si="2"/>
        <v/>
      </c>
      <c r="E406" s="14" t="str">
        <f t="shared" si="3"/>
        <v/>
      </c>
      <c r="F406" s="7" t="str">
        <f>IF($A406&lt;&gt;"",MAXIFS(Token!$C:$C,Token!$A:$A,$D406),)</f>
        <v/>
      </c>
    </row>
    <row r="407">
      <c r="A407" s="39" t="str">
        <f>IF(AND($L407*1&gt;=$G$3,$L407*1&lt;=$G$4,$I407*$J407&gt;0,OR($I407&lt;&gt;$I408,$L407-$L408&gt;25),IF(ABS($I407)&gt;10,$I407/POW(10,$J407),$J407/POW(10,$I407))*MAXIFS(Token!$C:$C,Token!$A:$A,$K407)&gt;0.01),$L407/86400+DATE(1970,1,1)+$G$6,)</f>
        <v/>
      </c>
      <c r="B407" s="27" t="str">
        <f t="shared" si="1"/>
        <v/>
      </c>
      <c r="C407" s="14" t="str">
        <f>IF($A407&lt;&gt;"",MINIFS(Merchant!$A:$A,Merchant!$B:$B,$G$2),)</f>
        <v/>
      </c>
      <c r="D407" s="14" t="str">
        <f t="shared" si="2"/>
        <v/>
      </c>
      <c r="E407" s="14" t="str">
        <f t="shared" si="3"/>
        <v/>
      </c>
      <c r="F407" s="7" t="str">
        <f>IF($A407&lt;&gt;"",MAXIFS(Token!$C:$C,Token!$A:$A,$D407),)</f>
        <v/>
      </c>
    </row>
    <row r="408">
      <c r="A408" s="39" t="str">
        <f>IF(AND($L408*1&gt;=$G$3,$L408*1&lt;=$G$4,$I408*$J408&gt;0,OR($I408&lt;&gt;$I409,$L408-$L409&gt;25),IF(ABS($I408)&gt;10,$I408/POW(10,$J408),$J408/POW(10,$I408))*MAXIFS(Token!$C:$C,Token!$A:$A,$K408)&gt;0.01),$L408/86400+DATE(1970,1,1)+$G$6,)</f>
        <v/>
      </c>
      <c r="B408" s="27" t="str">
        <f t="shared" si="1"/>
        <v/>
      </c>
      <c r="C408" s="14" t="str">
        <f>IF($A408&lt;&gt;"",MINIFS(Merchant!$A:$A,Merchant!$B:$B,$G$2),)</f>
        <v/>
      </c>
      <c r="D408" s="14" t="str">
        <f t="shared" si="2"/>
        <v/>
      </c>
      <c r="E408" s="14" t="str">
        <f t="shared" si="3"/>
        <v/>
      </c>
      <c r="F408" s="7" t="str">
        <f>IF($A408&lt;&gt;"",MAXIFS(Token!$C:$C,Token!$A:$A,$D408),)</f>
        <v/>
      </c>
    </row>
    <row r="409">
      <c r="A409" s="39" t="str">
        <f>IF(AND($L409*1&gt;=$G$3,$L409*1&lt;=$G$4,$I409*$J409&gt;0,OR($I409&lt;&gt;$I410,$L409-$L410&gt;25),IF(ABS($I409)&gt;10,$I409/POW(10,$J409),$J409/POW(10,$I409))*MAXIFS(Token!$C:$C,Token!$A:$A,$K409)&gt;0.01),$L409/86400+DATE(1970,1,1)+$G$6,)</f>
        <v/>
      </c>
      <c r="B409" s="27" t="str">
        <f t="shared" si="1"/>
        <v/>
      </c>
      <c r="C409" s="14" t="str">
        <f>IF($A409&lt;&gt;"",MINIFS(Merchant!$A:$A,Merchant!$B:$B,$G$2),)</f>
        <v/>
      </c>
      <c r="D409" s="14" t="str">
        <f t="shared" si="2"/>
        <v/>
      </c>
      <c r="E409" s="14" t="str">
        <f t="shared" si="3"/>
        <v/>
      </c>
      <c r="F409" s="7" t="str">
        <f>IF($A409&lt;&gt;"",MAXIFS(Token!$C:$C,Token!$A:$A,$D409),)</f>
        <v/>
      </c>
    </row>
    <row r="410">
      <c r="A410" s="39" t="str">
        <f>IF(AND($L410*1&gt;=$G$3,$L410*1&lt;=$G$4,$I410*$J410&gt;0,OR($I410&lt;&gt;$I411,$L410-$L411&gt;25),IF(ABS($I410)&gt;10,$I410/POW(10,$J410),$J410/POW(10,$I410))*MAXIFS(Token!$C:$C,Token!$A:$A,$K410)&gt;0.01),$L410/86400+DATE(1970,1,1)+$G$6,)</f>
        <v/>
      </c>
      <c r="B410" s="27" t="str">
        <f t="shared" si="1"/>
        <v/>
      </c>
      <c r="C410" s="14" t="str">
        <f>IF($A410&lt;&gt;"",MINIFS(Merchant!$A:$A,Merchant!$B:$B,$G$2),)</f>
        <v/>
      </c>
      <c r="D410" s="14" t="str">
        <f t="shared" si="2"/>
        <v/>
      </c>
      <c r="E410" s="14" t="str">
        <f t="shared" si="3"/>
        <v/>
      </c>
      <c r="F410" s="7" t="str">
        <f>IF($A410&lt;&gt;"",MAXIFS(Token!$C:$C,Token!$A:$A,$D410),)</f>
        <v/>
      </c>
    </row>
    <row r="411">
      <c r="A411" s="39" t="str">
        <f>IF(AND($L411*1&gt;=$G$3,$L411*1&lt;=$G$4,$I411*$J411&gt;0,OR($I411&lt;&gt;$I412,$L411-$L412&gt;25),IF(ABS($I411)&gt;10,$I411/POW(10,$J411),$J411/POW(10,$I411))*MAXIFS(Token!$C:$C,Token!$A:$A,$K411)&gt;0.01),$L411/86400+DATE(1970,1,1)+$G$6,)</f>
        <v/>
      </c>
      <c r="B411" s="27" t="str">
        <f t="shared" si="1"/>
        <v/>
      </c>
      <c r="C411" s="14" t="str">
        <f>IF($A411&lt;&gt;"",MINIFS(Merchant!$A:$A,Merchant!$B:$B,$G$2),)</f>
        <v/>
      </c>
      <c r="D411" s="14" t="str">
        <f t="shared" si="2"/>
        <v/>
      </c>
      <c r="E411" s="14" t="str">
        <f t="shared" si="3"/>
        <v/>
      </c>
      <c r="F411" s="7" t="str">
        <f>IF($A411&lt;&gt;"",MAXIFS(Token!$C:$C,Token!$A:$A,$D411),)</f>
        <v/>
      </c>
    </row>
    <row r="412">
      <c r="A412" s="39" t="str">
        <f>IF(AND($L412*1&gt;=$G$3,$L412*1&lt;=$G$4,$I412*$J412&gt;0,OR($I412&lt;&gt;$I413,$L412-$L413&gt;25),IF(ABS($I412)&gt;10,$I412/POW(10,$J412),$J412/POW(10,$I412))*MAXIFS(Token!$C:$C,Token!$A:$A,$K412)&gt;0.01),$L412/86400+DATE(1970,1,1)+$G$6,)</f>
        <v/>
      </c>
      <c r="B412" s="27" t="str">
        <f t="shared" si="1"/>
        <v/>
      </c>
      <c r="C412" s="14" t="str">
        <f>IF($A412&lt;&gt;"",MINIFS(Merchant!$A:$A,Merchant!$B:$B,$G$2),)</f>
        <v/>
      </c>
      <c r="D412" s="14" t="str">
        <f t="shared" si="2"/>
        <v/>
      </c>
      <c r="E412" s="14" t="str">
        <f t="shared" si="3"/>
        <v/>
      </c>
      <c r="F412" s="7" t="str">
        <f>IF($A412&lt;&gt;"",MAXIFS(Token!$C:$C,Token!$A:$A,$D412),)</f>
        <v/>
      </c>
    </row>
    <row r="413">
      <c r="A413" s="39" t="str">
        <f>IF(AND($L413*1&gt;=$G$3,$L413*1&lt;=$G$4,$I413*$J413&gt;0,OR($I413&lt;&gt;$I414,$L413-$L414&gt;25),IF(ABS($I413)&gt;10,$I413/POW(10,$J413),$J413/POW(10,$I413))*MAXIFS(Token!$C:$C,Token!$A:$A,$K413)&gt;0.01),$L413/86400+DATE(1970,1,1)+$G$6,)</f>
        <v/>
      </c>
      <c r="B413" s="27" t="str">
        <f t="shared" si="1"/>
        <v/>
      </c>
      <c r="C413" s="14" t="str">
        <f>IF($A413&lt;&gt;"",MINIFS(Merchant!$A:$A,Merchant!$B:$B,$G$2),)</f>
        <v/>
      </c>
      <c r="D413" s="14" t="str">
        <f t="shared" si="2"/>
        <v/>
      </c>
      <c r="E413" s="14" t="str">
        <f t="shared" si="3"/>
        <v/>
      </c>
      <c r="F413" s="7" t="str">
        <f>IF($A413&lt;&gt;"",MAXIFS(Token!$C:$C,Token!$A:$A,$D413),)</f>
        <v/>
      </c>
    </row>
    <row r="414">
      <c r="A414" s="39" t="str">
        <f>IF(AND($L414*1&gt;=$G$3,$L414*1&lt;=$G$4,$I414*$J414&gt;0,OR($I414&lt;&gt;$I415,$L414-$L415&gt;25),IF(ABS($I414)&gt;10,$I414/POW(10,$J414),$J414/POW(10,$I414))*MAXIFS(Token!$C:$C,Token!$A:$A,$K414)&gt;0.01),$L414/86400+DATE(1970,1,1)+$G$6,)</f>
        <v/>
      </c>
      <c r="B414" s="27" t="str">
        <f t="shared" si="1"/>
        <v/>
      </c>
      <c r="C414" s="14" t="str">
        <f>IF($A414&lt;&gt;"",MINIFS(Merchant!$A:$A,Merchant!$B:$B,$G$2),)</f>
        <v/>
      </c>
      <c r="D414" s="14" t="str">
        <f t="shared" si="2"/>
        <v/>
      </c>
      <c r="E414" s="14" t="str">
        <f t="shared" si="3"/>
        <v/>
      </c>
      <c r="F414" s="7" t="str">
        <f>IF($A414&lt;&gt;"",MAXIFS(Token!$C:$C,Token!$A:$A,$D414),)</f>
        <v/>
      </c>
    </row>
    <row r="415">
      <c r="A415" s="39" t="str">
        <f>IF(AND($L415*1&gt;=$G$3,$L415*1&lt;=$G$4,$I415*$J415&gt;0,OR($I415&lt;&gt;$I416,$L415-$L416&gt;25),IF(ABS($I415)&gt;10,$I415/POW(10,$J415),$J415/POW(10,$I415))*MAXIFS(Token!$C:$C,Token!$A:$A,$K415)&gt;0.01),$L415/86400+DATE(1970,1,1)+$G$6,)</f>
        <v/>
      </c>
      <c r="B415" s="27" t="str">
        <f t="shared" si="1"/>
        <v/>
      </c>
      <c r="C415" s="14" t="str">
        <f>IF($A415&lt;&gt;"",MINIFS(Merchant!$A:$A,Merchant!$B:$B,$G$2),)</f>
        <v/>
      </c>
      <c r="D415" s="14" t="str">
        <f t="shared" si="2"/>
        <v/>
      </c>
      <c r="E415" s="14" t="str">
        <f t="shared" si="3"/>
        <v/>
      </c>
      <c r="F415" s="7" t="str">
        <f>IF($A415&lt;&gt;"",MAXIFS(Token!$C:$C,Token!$A:$A,$D415),)</f>
        <v/>
      </c>
    </row>
    <row r="416">
      <c r="A416" s="39" t="str">
        <f>IF(AND($L416*1&gt;=$G$3,$L416*1&lt;=$G$4,$I416*$J416&gt;0,OR($I416&lt;&gt;$I417,$L416-$L417&gt;25),IF(ABS($I416)&gt;10,$I416/POW(10,$J416),$J416/POW(10,$I416))*MAXIFS(Token!$C:$C,Token!$A:$A,$K416)&gt;0.01),$L416/86400+DATE(1970,1,1)+$G$6,)</f>
        <v/>
      </c>
      <c r="B416" s="27" t="str">
        <f t="shared" si="1"/>
        <v/>
      </c>
      <c r="C416" s="14" t="str">
        <f>IF($A416&lt;&gt;"",MINIFS(Merchant!$A:$A,Merchant!$B:$B,$G$2),)</f>
        <v/>
      </c>
      <c r="D416" s="14" t="str">
        <f t="shared" si="2"/>
        <v/>
      </c>
      <c r="E416" s="14" t="str">
        <f t="shared" si="3"/>
        <v/>
      </c>
      <c r="F416" s="7" t="str">
        <f>IF($A416&lt;&gt;"",MAXIFS(Token!$C:$C,Token!$A:$A,$D416),)</f>
        <v/>
      </c>
    </row>
    <row r="417">
      <c r="A417" s="39" t="str">
        <f>IF(AND($L417*1&gt;=$G$3,$L417*1&lt;=$G$4,$I417*$J417&gt;0,OR($I417&lt;&gt;$I418,$L417-$L418&gt;25),IF(ABS($I417)&gt;10,$I417/POW(10,$J417),$J417/POW(10,$I417))*MAXIFS(Token!$C:$C,Token!$A:$A,$K417)&gt;0.01),$L417/86400+DATE(1970,1,1)+$G$6,)</f>
        <v/>
      </c>
      <c r="B417" s="27" t="str">
        <f t="shared" si="1"/>
        <v/>
      </c>
      <c r="C417" s="14" t="str">
        <f>IF($A417&lt;&gt;"",MINIFS(Merchant!$A:$A,Merchant!$B:$B,$G$2),)</f>
        <v/>
      </c>
      <c r="D417" s="14" t="str">
        <f t="shared" si="2"/>
        <v/>
      </c>
      <c r="E417" s="14" t="str">
        <f t="shared" si="3"/>
        <v/>
      </c>
      <c r="F417" s="7" t="str">
        <f>IF($A417&lt;&gt;"",MAXIFS(Token!$C:$C,Token!$A:$A,$D417),)</f>
        <v/>
      </c>
    </row>
    <row r="418">
      <c r="A418" s="39" t="str">
        <f>IF(AND($L418*1&gt;=$G$3,$L418*1&lt;=$G$4,$I418*$J418&gt;0,OR($I418&lt;&gt;$I419,$L418-$L419&gt;25),IF(ABS($I418)&gt;10,$I418/POW(10,$J418),$J418/POW(10,$I418))*MAXIFS(Token!$C:$C,Token!$A:$A,$K418)&gt;0.01),$L418/86400+DATE(1970,1,1)+$G$6,)</f>
        <v/>
      </c>
      <c r="B418" s="27" t="str">
        <f t="shared" si="1"/>
        <v/>
      </c>
      <c r="C418" s="14" t="str">
        <f>IF($A418&lt;&gt;"",MINIFS(Merchant!$A:$A,Merchant!$B:$B,$G$2),)</f>
        <v/>
      </c>
      <c r="D418" s="14" t="str">
        <f t="shared" si="2"/>
        <v/>
      </c>
      <c r="E418" s="14" t="str">
        <f t="shared" si="3"/>
        <v/>
      </c>
      <c r="F418" s="7" t="str">
        <f>IF($A418&lt;&gt;"",MAXIFS(Token!$C:$C,Token!$A:$A,$D418),)</f>
        <v/>
      </c>
    </row>
    <row r="419">
      <c r="A419" s="39" t="str">
        <f>IF(AND($L419*1&gt;=$G$3,$L419*1&lt;=$G$4,$I419*$J419&gt;0,OR($I419&lt;&gt;$I420,$L419-$L420&gt;25),IF(ABS($I419)&gt;10,$I419/POW(10,$J419),$J419/POW(10,$I419))*MAXIFS(Token!$C:$C,Token!$A:$A,$K419)&gt;0.01),$L419/86400+DATE(1970,1,1)+$G$6,)</f>
        <v/>
      </c>
      <c r="B419" s="27" t="str">
        <f t="shared" si="1"/>
        <v/>
      </c>
      <c r="C419" s="14" t="str">
        <f>IF($A419&lt;&gt;"",MINIFS(Merchant!$A:$A,Merchant!$B:$B,$G$2),)</f>
        <v/>
      </c>
      <c r="D419" s="14" t="str">
        <f t="shared" si="2"/>
        <v/>
      </c>
      <c r="E419" s="14" t="str">
        <f t="shared" si="3"/>
        <v/>
      </c>
      <c r="F419" s="7" t="str">
        <f>IF($A419&lt;&gt;"",MAXIFS(Token!$C:$C,Token!$A:$A,$D419),)</f>
        <v/>
      </c>
    </row>
    <row r="420">
      <c r="A420" s="39" t="str">
        <f>IF(AND($L420*1&gt;=$G$3,$L420*1&lt;=$G$4,$I420*$J420&gt;0,OR($I420&lt;&gt;$I421,$L420-$L421&gt;25),IF(ABS($I420)&gt;10,$I420/POW(10,$J420),$J420/POW(10,$I420))*MAXIFS(Token!$C:$C,Token!$A:$A,$K420)&gt;0.01),$L420/86400+DATE(1970,1,1)+$G$6,)</f>
        <v/>
      </c>
      <c r="B420" s="27" t="str">
        <f t="shared" si="1"/>
        <v/>
      </c>
      <c r="C420" s="14" t="str">
        <f>IF($A420&lt;&gt;"",MINIFS(Merchant!$A:$A,Merchant!$B:$B,$G$2),)</f>
        <v/>
      </c>
      <c r="D420" s="14" t="str">
        <f t="shared" si="2"/>
        <v/>
      </c>
      <c r="E420" s="14" t="str">
        <f t="shared" si="3"/>
        <v/>
      </c>
      <c r="F420" s="7" t="str">
        <f>IF($A420&lt;&gt;"",MAXIFS(Token!$C:$C,Token!$A:$A,$D420),)</f>
        <v/>
      </c>
    </row>
    <row r="421">
      <c r="A421" s="39" t="str">
        <f>IF(AND($L421*1&gt;=$G$3,$L421*1&lt;=$G$4,$I421*$J421&gt;0,OR($I421&lt;&gt;$I422,$L421-$L422&gt;25),IF(ABS($I421)&gt;10,$I421/POW(10,$J421),$J421/POW(10,$I421))*MAXIFS(Token!$C:$C,Token!$A:$A,$K421)&gt;0.01),$L421/86400+DATE(1970,1,1)+$G$6,)</f>
        <v/>
      </c>
      <c r="B421" s="27" t="str">
        <f t="shared" si="1"/>
        <v/>
      </c>
      <c r="C421" s="14" t="str">
        <f>IF($A421&lt;&gt;"",MINIFS(Merchant!$A:$A,Merchant!$B:$B,$G$2),)</f>
        <v/>
      </c>
      <c r="D421" s="14" t="str">
        <f t="shared" si="2"/>
        <v/>
      </c>
      <c r="E421" s="14" t="str">
        <f t="shared" si="3"/>
        <v/>
      </c>
      <c r="F421" s="7" t="str">
        <f>IF($A421&lt;&gt;"",MAXIFS(Token!$C:$C,Token!$A:$A,$D421),)</f>
        <v/>
      </c>
    </row>
    <row r="422">
      <c r="A422" s="39" t="str">
        <f>IF(AND($L422*1&gt;=$G$3,$L422*1&lt;=$G$4,$I422*$J422&gt;0,OR($I422&lt;&gt;$I423,$L422-$L423&gt;25),IF(ABS($I422)&gt;10,$I422/POW(10,$J422),$J422/POW(10,$I422))*MAXIFS(Token!$C:$C,Token!$A:$A,$K422)&gt;0.01),$L422/86400+DATE(1970,1,1)+$G$6,)</f>
        <v/>
      </c>
      <c r="B422" s="27" t="str">
        <f t="shared" si="1"/>
        <v/>
      </c>
      <c r="C422" s="14" t="str">
        <f>IF($A422&lt;&gt;"",MINIFS(Merchant!$A:$A,Merchant!$B:$B,$G$2),)</f>
        <v/>
      </c>
      <c r="D422" s="14" t="str">
        <f t="shared" si="2"/>
        <v/>
      </c>
      <c r="E422" s="14" t="str">
        <f t="shared" si="3"/>
        <v/>
      </c>
      <c r="F422" s="7" t="str">
        <f>IF($A422&lt;&gt;"",MAXIFS(Token!$C:$C,Token!$A:$A,$D422),)</f>
        <v/>
      </c>
    </row>
    <row r="423">
      <c r="A423" s="39" t="str">
        <f>IF(AND($L423*1&gt;=$G$3,$L423*1&lt;=$G$4,$I423*$J423&gt;0,OR($I423&lt;&gt;$I424,$L423-$L424&gt;25),IF(ABS($I423)&gt;10,$I423/POW(10,$J423),$J423/POW(10,$I423))*MAXIFS(Token!$C:$C,Token!$A:$A,$K423)&gt;0.01),$L423/86400+DATE(1970,1,1)+$G$6,)</f>
        <v/>
      </c>
      <c r="B423" s="27" t="str">
        <f t="shared" si="1"/>
        <v/>
      </c>
      <c r="C423" s="14" t="str">
        <f>IF($A423&lt;&gt;"",MINIFS(Merchant!$A:$A,Merchant!$B:$B,$G$2),)</f>
        <v/>
      </c>
      <c r="D423" s="14" t="str">
        <f t="shared" si="2"/>
        <v/>
      </c>
      <c r="E423" s="14" t="str">
        <f t="shared" si="3"/>
        <v/>
      </c>
      <c r="F423" s="7" t="str">
        <f>IF($A423&lt;&gt;"",MAXIFS(Token!$C:$C,Token!$A:$A,$D423),)</f>
        <v/>
      </c>
    </row>
    <row r="424">
      <c r="A424" s="39" t="str">
        <f>IF(AND($L424*1&gt;=$G$3,$L424*1&lt;=$G$4,$I424*$J424&gt;0,OR($I424&lt;&gt;$I425,$L424-$L425&gt;25),IF(ABS($I424)&gt;10,$I424/POW(10,$J424),$J424/POW(10,$I424))*MAXIFS(Token!$C:$C,Token!$A:$A,$K424)&gt;0.01),$L424/86400+DATE(1970,1,1)+$G$6,)</f>
        <v/>
      </c>
      <c r="B424" s="27" t="str">
        <f t="shared" si="1"/>
        <v/>
      </c>
      <c r="C424" s="14" t="str">
        <f>IF($A424&lt;&gt;"",MINIFS(Merchant!$A:$A,Merchant!$B:$B,$G$2),)</f>
        <v/>
      </c>
      <c r="D424" s="14" t="str">
        <f t="shared" si="2"/>
        <v/>
      </c>
      <c r="E424" s="14" t="str">
        <f t="shared" si="3"/>
        <v/>
      </c>
      <c r="F424" s="7" t="str">
        <f>IF($A424&lt;&gt;"",MAXIFS(Token!$C:$C,Token!$A:$A,$D424),)</f>
        <v/>
      </c>
    </row>
    <row r="425">
      <c r="A425" s="39" t="str">
        <f>IF(AND($L425*1&gt;=$G$3,$L425*1&lt;=$G$4,$I425*$J425&gt;0,OR($I425&lt;&gt;$I426,$L425-$L426&gt;25),IF(ABS($I425)&gt;10,$I425/POW(10,$J425),$J425/POW(10,$I425))*MAXIFS(Token!$C:$C,Token!$A:$A,$K425)&gt;0.01),$L425/86400+DATE(1970,1,1)+$G$6,)</f>
        <v/>
      </c>
      <c r="B425" s="27" t="str">
        <f t="shared" si="1"/>
        <v/>
      </c>
      <c r="C425" s="14" t="str">
        <f>IF($A425&lt;&gt;"",MINIFS(Merchant!$A:$A,Merchant!$B:$B,$G$2),)</f>
        <v/>
      </c>
      <c r="D425" s="14" t="str">
        <f t="shared" si="2"/>
        <v/>
      </c>
      <c r="E425" s="14" t="str">
        <f t="shared" si="3"/>
        <v/>
      </c>
      <c r="F425" s="7" t="str">
        <f>IF($A425&lt;&gt;"",MAXIFS(Token!$C:$C,Token!$A:$A,$D425),)</f>
        <v/>
      </c>
    </row>
    <row r="426">
      <c r="A426" s="39" t="str">
        <f>IF(AND($L426*1&gt;=$G$3,$L426*1&lt;=$G$4,$I426*$J426&gt;0,OR($I426&lt;&gt;$I427,$L426-$L427&gt;25),IF(ABS($I426)&gt;10,$I426/POW(10,$J426),$J426/POW(10,$I426))*MAXIFS(Token!$C:$C,Token!$A:$A,$K426)&gt;0.01),$L426/86400+DATE(1970,1,1)+$G$6,)</f>
        <v/>
      </c>
      <c r="B426" s="27" t="str">
        <f t="shared" si="1"/>
        <v/>
      </c>
      <c r="C426" s="14" t="str">
        <f>IF($A426&lt;&gt;"",MINIFS(Merchant!$A:$A,Merchant!$B:$B,$G$2),)</f>
        <v/>
      </c>
      <c r="D426" s="14" t="str">
        <f t="shared" si="2"/>
        <v/>
      </c>
      <c r="E426" s="14" t="str">
        <f t="shared" si="3"/>
        <v/>
      </c>
      <c r="F426" s="7" t="str">
        <f>IF($A426&lt;&gt;"",MAXIFS(Token!$C:$C,Token!$A:$A,$D426),)</f>
        <v/>
      </c>
    </row>
    <row r="427">
      <c r="A427" s="39" t="str">
        <f>IF(AND($L427*1&gt;=$G$3,$L427*1&lt;=$G$4,$I427*$J427&gt;0,OR($I427&lt;&gt;$I428,$L427-$L428&gt;25),IF(ABS($I427)&gt;10,$I427/POW(10,$J427),$J427/POW(10,$I427))*MAXIFS(Token!$C:$C,Token!$A:$A,$K427)&gt;0.01),$L427/86400+DATE(1970,1,1)+$G$6,)</f>
        <v/>
      </c>
      <c r="B427" s="27" t="str">
        <f t="shared" si="1"/>
        <v/>
      </c>
      <c r="C427" s="14" t="str">
        <f>IF($A427&lt;&gt;"",MINIFS(Merchant!$A:$A,Merchant!$B:$B,$G$2),)</f>
        <v/>
      </c>
      <c r="D427" s="14" t="str">
        <f t="shared" si="2"/>
        <v/>
      </c>
      <c r="E427" s="14" t="str">
        <f t="shared" si="3"/>
        <v/>
      </c>
      <c r="F427" s="7" t="str">
        <f>IF($A427&lt;&gt;"",MAXIFS(Token!$C:$C,Token!$A:$A,$D427),)</f>
        <v/>
      </c>
    </row>
    <row r="428">
      <c r="A428" s="39" t="str">
        <f>IF(AND($L428*1&gt;=$G$3,$L428*1&lt;=$G$4,$I428*$J428&gt;0,OR($I428&lt;&gt;$I429,$L428-$L429&gt;25),IF(ABS($I428)&gt;10,$I428/POW(10,$J428),$J428/POW(10,$I428))*MAXIFS(Token!$C:$C,Token!$A:$A,$K428)&gt;0.01),$L428/86400+DATE(1970,1,1)+$G$6,)</f>
        <v/>
      </c>
      <c r="B428" s="27" t="str">
        <f t="shared" si="1"/>
        <v/>
      </c>
      <c r="C428" s="14" t="str">
        <f>IF($A428&lt;&gt;"",MINIFS(Merchant!$A:$A,Merchant!$B:$B,$G$2),)</f>
        <v/>
      </c>
      <c r="D428" s="14" t="str">
        <f t="shared" si="2"/>
        <v/>
      </c>
      <c r="E428" s="14" t="str">
        <f t="shared" si="3"/>
        <v/>
      </c>
      <c r="F428" s="7" t="str">
        <f>IF($A428&lt;&gt;"",MAXIFS(Token!$C:$C,Token!$A:$A,$D428),)</f>
        <v/>
      </c>
    </row>
    <row r="429">
      <c r="A429" s="39" t="str">
        <f>IF(AND($L429*1&gt;=$G$3,$L429*1&lt;=$G$4,$I429*$J429&gt;0,OR($I429&lt;&gt;$I430,$L429-$L430&gt;25),IF(ABS($I429)&gt;10,$I429/POW(10,$J429),$J429/POW(10,$I429))*MAXIFS(Token!$C:$C,Token!$A:$A,$K429)&gt;0.01),$L429/86400+DATE(1970,1,1)+$G$6,)</f>
        <v/>
      </c>
      <c r="B429" s="27" t="str">
        <f t="shared" si="1"/>
        <v/>
      </c>
      <c r="C429" s="14" t="str">
        <f>IF($A429&lt;&gt;"",MINIFS(Merchant!$A:$A,Merchant!$B:$B,$G$2),)</f>
        <v/>
      </c>
      <c r="D429" s="14" t="str">
        <f t="shared" si="2"/>
        <v/>
      </c>
      <c r="E429" s="14" t="str">
        <f t="shared" si="3"/>
        <v/>
      </c>
      <c r="F429" s="7" t="str">
        <f>IF($A429&lt;&gt;"",MAXIFS(Token!$C:$C,Token!$A:$A,$D429),)</f>
        <v/>
      </c>
    </row>
    <row r="430">
      <c r="A430" s="39" t="str">
        <f>IF(AND($L430*1&gt;=$G$3,$L430*1&lt;=$G$4,$I430*$J430&gt;0,OR($I430&lt;&gt;$I431,$L430-$L431&gt;25),IF(ABS($I430)&gt;10,$I430/POW(10,$J430),$J430/POW(10,$I430))*MAXIFS(Token!$C:$C,Token!$A:$A,$K430)&gt;0.01),$L430/86400+DATE(1970,1,1)+$G$6,)</f>
        <v/>
      </c>
      <c r="B430" s="27" t="str">
        <f t="shared" si="1"/>
        <v/>
      </c>
      <c r="C430" s="14" t="str">
        <f>IF($A430&lt;&gt;"",MINIFS(Merchant!$A:$A,Merchant!$B:$B,$G$2),)</f>
        <v/>
      </c>
      <c r="D430" s="14" t="str">
        <f t="shared" si="2"/>
        <v/>
      </c>
      <c r="E430" s="14" t="str">
        <f t="shared" si="3"/>
        <v/>
      </c>
      <c r="F430" s="7" t="str">
        <f>IF($A430&lt;&gt;"",MAXIFS(Token!$C:$C,Token!$A:$A,$D430),)</f>
        <v/>
      </c>
    </row>
    <row r="431">
      <c r="A431" s="39" t="str">
        <f>IF(AND($L431*1&gt;=$G$3,$L431*1&lt;=$G$4,$I431*$J431&gt;0,OR($I431&lt;&gt;$I432,$L431-$L432&gt;25),IF(ABS($I431)&gt;10,$I431/POW(10,$J431),$J431/POW(10,$I431))*MAXIFS(Token!$C:$C,Token!$A:$A,$K431)&gt;0.01),$L431/86400+DATE(1970,1,1)+$G$6,)</f>
        <v/>
      </c>
      <c r="B431" s="27" t="str">
        <f t="shared" si="1"/>
        <v/>
      </c>
      <c r="C431" s="14" t="str">
        <f>IF($A431&lt;&gt;"",MINIFS(Merchant!$A:$A,Merchant!$B:$B,$G$2),)</f>
        <v/>
      </c>
      <c r="D431" s="14" t="str">
        <f t="shared" si="2"/>
        <v/>
      </c>
      <c r="E431" s="14" t="str">
        <f t="shared" si="3"/>
        <v/>
      </c>
      <c r="F431" s="7" t="str">
        <f>IF($A431&lt;&gt;"",MAXIFS(Token!$C:$C,Token!$A:$A,$D431),)</f>
        <v/>
      </c>
    </row>
    <row r="432">
      <c r="A432" s="39" t="str">
        <f>IF(AND($L432*1&gt;=$G$3,$L432*1&lt;=$G$4,$I432*$J432&gt;0,OR($I432&lt;&gt;$I433,$L432-$L433&gt;25),IF(ABS($I432)&gt;10,$I432/POW(10,$J432),$J432/POW(10,$I432))*MAXIFS(Token!$C:$C,Token!$A:$A,$K432)&gt;0.01),$L432/86400+DATE(1970,1,1)+$G$6,)</f>
        <v/>
      </c>
      <c r="B432" s="27" t="str">
        <f t="shared" si="1"/>
        <v/>
      </c>
      <c r="C432" s="14" t="str">
        <f>IF($A432&lt;&gt;"",MINIFS(Merchant!$A:$A,Merchant!$B:$B,$G$2),)</f>
        <v/>
      </c>
      <c r="D432" s="14" t="str">
        <f t="shared" si="2"/>
        <v/>
      </c>
      <c r="E432" s="14" t="str">
        <f t="shared" si="3"/>
        <v/>
      </c>
      <c r="F432" s="7" t="str">
        <f>IF($A432&lt;&gt;"",MAXIFS(Token!$C:$C,Token!$A:$A,$D432),)</f>
        <v/>
      </c>
    </row>
    <row r="433">
      <c r="A433" s="39" t="str">
        <f>IF(AND($L433*1&gt;=$G$3,$L433*1&lt;=$G$4,$I433*$J433&gt;0,OR($I433&lt;&gt;$I434,$L433-$L434&gt;25),IF(ABS($I433)&gt;10,$I433/POW(10,$J433),$J433/POW(10,$I433))*MAXIFS(Token!$C:$C,Token!$A:$A,$K433)&gt;0.01),$L433/86400+DATE(1970,1,1)+$G$6,)</f>
        <v/>
      </c>
      <c r="B433" s="27" t="str">
        <f t="shared" si="1"/>
        <v/>
      </c>
      <c r="C433" s="14" t="str">
        <f>IF($A433&lt;&gt;"",MINIFS(Merchant!$A:$A,Merchant!$B:$B,$G$2),)</f>
        <v/>
      </c>
      <c r="D433" s="14" t="str">
        <f t="shared" si="2"/>
        <v/>
      </c>
      <c r="E433" s="14" t="str">
        <f t="shared" si="3"/>
        <v/>
      </c>
      <c r="F433" s="7" t="str">
        <f>IF($A433&lt;&gt;"",MAXIFS(Token!$C:$C,Token!$A:$A,$D433),)</f>
        <v/>
      </c>
    </row>
    <row r="434">
      <c r="A434" s="39" t="str">
        <f>IF(AND($L434*1&gt;=$G$3,$L434*1&lt;=$G$4,$I434*$J434&gt;0,OR($I434&lt;&gt;$I435,$L434-$L435&gt;25),IF(ABS($I434)&gt;10,$I434/POW(10,$J434),$J434/POW(10,$I434))*MAXIFS(Token!$C:$C,Token!$A:$A,$K434)&gt;0.01),$L434/86400+DATE(1970,1,1)+$G$6,)</f>
        <v/>
      </c>
      <c r="B434" s="27" t="str">
        <f t="shared" si="1"/>
        <v/>
      </c>
      <c r="C434" s="14" t="str">
        <f>IF($A434&lt;&gt;"",MINIFS(Merchant!$A:$A,Merchant!$B:$B,$G$2),)</f>
        <v/>
      </c>
      <c r="D434" s="14" t="str">
        <f t="shared" si="2"/>
        <v/>
      </c>
      <c r="E434" s="14" t="str">
        <f t="shared" si="3"/>
        <v/>
      </c>
      <c r="F434" s="7" t="str">
        <f>IF($A434&lt;&gt;"",MAXIFS(Token!$C:$C,Token!$A:$A,$D434),)</f>
        <v/>
      </c>
    </row>
    <row r="435">
      <c r="A435" s="39" t="str">
        <f>IF(AND($L435*1&gt;=$G$3,$L435*1&lt;=$G$4,$I435*$J435&gt;0,OR($I435&lt;&gt;$I436,$L435-$L436&gt;25),IF(ABS($I435)&gt;10,$I435/POW(10,$J435),$J435/POW(10,$I435))*MAXIFS(Token!$C:$C,Token!$A:$A,$K435)&gt;0.01),$L435/86400+DATE(1970,1,1)+$G$6,)</f>
        <v/>
      </c>
      <c r="B435" s="27" t="str">
        <f t="shared" si="1"/>
        <v/>
      </c>
      <c r="C435" s="14" t="str">
        <f>IF($A435&lt;&gt;"",MINIFS(Merchant!$A:$A,Merchant!$B:$B,$G$2),)</f>
        <v/>
      </c>
      <c r="D435" s="14" t="str">
        <f t="shared" si="2"/>
        <v/>
      </c>
      <c r="E435" s="14" t="str">
        <f t="shared" si="3"/>
        <v/>
      </c>
      <c r="F435" s="7" t="str">
        <f>IF($A435&lt;&gt;"",MAXIFS(Token!$C:$C,Token!$A:$A,$D435),)</f>
        <v/>
      </c>
    </row>
    <row r="436">
      <c r="A436" s="39" t="str">
        <f>IF(AND($L436*1&gt;=$G$3,$L436*1&lt;=$G$4,$I436*$J436&gt;0,OR($I436&lt;&gt;$I437,$L436-$L437&gt;25),IF(ABS($I436)&gt;10,$I436/POW(10,$J436),$J436/POW(10,$I436))*MAXIFS(Token!$C:$C,Token!$A:$A,$K436)&gt;0.01),$L436/86400+DATE(1970,1,1)+$G$6,)</f>
        <v/>
      </c>
      <c r="B436" s="27" t="str">
        <f t="shared" si="1"/>
        <v/>
      </c>
      <c r="C436" s="14" t="str">
        <f>IF($A436&lt;&gt;"",MINIFS(Merchant!$A:$A,Merchant!$B:$B,$G$2),)</f>
        <v/>
      </c>
      <c r="D436" s="14" t="str">
        <f t="shared" si="2"/>
        <v/>
      </c>
      <c r="E436" s="14" t="str">
        <f t="shared" si="3"/>
        <v/>
      </c>
      <c r="F436" s="7" t="str">
        <f>IF($A436&lt;&gt;"",MAXIFS(Token!$C:$C,Token!$A:$A,$D436),)</f>
        <v/>
      </c>
    </row>
    <row r="437">
      <c r="A437" s="39" t="str">
        <f>IF(AND($L437*1&gt;=$G$3,$L437*1&lt;=$G$4,$I437*$J437&gt;0,OR($I437&lt;&gt;$I438,$L437-$L438&gt;25),IF(ABS($I437)&gt;10,$I437/POW(10,$J437),$J437/POW(10,$I437))*MAXIFS(Token!$C:$C,Token!$A:$A,$K437)&gt;0.01),$L437/86400+DATE(1970,1,1)+$G$6,)</f>
        <v/>
      </c>
      <c r="B437" s="27" t="str">
        <f t="shared" si="1"/>
        <v/>
      </c>
      <c r="C437" s="14" t="str">
        <f>IF($A437&lt;&gt;"",MINIFS(Merchant!$A:$A,Merchant!$B:$B,$G$2),)</f>
        <v/>
      </c>
      <c r="D437" s="14" t="str">
        <f t="shared" si="2"/>
        <v/>
      </c>
      <c r="E437" s="14" t="str">
        <f t="shared" si="3"/>
        <v/>
      </c>
      <c r="F437" s="7" t="str">
        <f>IF($A437&lt;&gt;"",MAXIFS(Token!$C:$C,Token!$A:$A,$D437),)</f>
        <v/>
      </c>
    </row>
    <row r="438">
      <c r="A438" s="39" t="str">
        <f>IF(AND($L438*1&gt;=$G$3,$L438*1&lt;=$G$4,$I438*$J438&gt;0,OR($I438&lt;&gt;$I439,$L438-$L439&gt;25),IF(ABS($I438)&gt;10,$I438/POW(10,$J438),$J438/POW(10,$I438))*MAXIFS(Token!$C:$C,Token!$A:$A,$K438)&gt;0.01),$L438/86400+DATE(1970,1,1)+$G$6,)</f>
        <v/>
      </c>
      <c r="B438" s="27" t="str">
        <f t="shared" si="1"/>
        <v/>
      </c>
      <c r="C438" s="14" t="str">
        <f>IF($A438&lt;&gt;"",MINIFS(Merchant!$A:$A,Merchant!$B:$B,$G$2),)</f>
        <v/>
      </c>
      <c r="D438" s="14" t="str">
        <f t="shared" si="2"/>
        <v/>
      </c>
      <c r="E438" s="14" t="str">
        <f t="shared" si="3"/>
        <v/>
      </c>
      <c r="F438" s="7" t="str">
        <f>IF($A438&lt;&gt;"",MAXIFS(Token!$C:$C,Token!$A:$A,$D438),)</f>
        <v/>
      </c>
    </row>
    <row r="439">
      <c r="A439" s="39" t="str">
        <f>IF(AND($L439*1&gt;=$G$3,$L439*1&lt;=$G$4,$I439*$J439&gt;0,OR($I439&lt;&gt;$I440,$L439-$L440&gt;25),IF(ABS($I439)&gt;10,$I439/POW(10,$J439),$J439/POW(10,$I439))*MAXIFS(Token!$C:$C,Token!$A:$A,$K439)&gt;0.01),$L439/86400+DATE(1970,1,1)+$G$6,)</f>
        <v/>
      </c>
      <c r="B439" s="27" t="str">
        <f t="shared" si="1"/>
        <v/>
      </c>
      <c r="C439" s="14" t="str">
        <f>IF($A439&lt;&gt;"",MINIFS(Merchant!$A:$A,Merchant!$B:$B,$G$2),)</f>
        <v/>
      </c>
      <c r="D439" s="14" t="str">
        <f t="shared" si="2"/>
        <v/>
      </c>
      <c r="E439" s="14" t="str">
        <f t="shared" si="3"/>
        <v/>
      </c>
      <c r="F439" s="7" t="str">
        <f>IF($A439&lt;&gt;"",MAXIFS(Token!$C:$C,Token!$A:$A,$D439),)</f>
        <v/>
      </c>
    </row>
    <row r="440">
      <c r="A440" s="39" t="str">
        <f>IF(AND($L440*1&gt;=$G$3,$L440*1&lt;=$G$4,$I440*$J440&gt;0,OR($I440&lt;&gt;$I441,$L440-$L441&gt;25),IF(ABS($I440)&gt;10,$I440/POW(10,$J440),$J440/POW(10,$I440))*MAXIFS(Token!$C:$C,Token!$A:$A,$K440)&gt;0.01),$L440/86400+DATE(1970,1,1)+$G$6,)</f>
        <v/>
      </c>
      <c r="B440" s="27" t="str">
        <f t="shared" si="1"/>
        <v/>
      </c>
      <c r="C440" s="14" t="str">
        <f>IF($A440&lt;&gt;"",MINIFS(Merchant!$A:$A,Merchant!$B:$B,$G$2),)</f>
        <v/>
      </c>
      <c r="D440" s="14" t="str">
        <f t="shared" si="2"/>
        <v/>
      </c>
      <c r="E440" s="14" t="str">
        <f t="shared" si="3"/>
        <v/>
      </c>
      <c r="F440" s="7" t="str">
        <f>IF($A440&lt;&gt;"",MAXIFS(Token!$C:$C,Token!$A:$A,$D440),)</f>
        <v/>
      </c>
    </row>
    <row r="441">
      <c r="A441" s="39" t="str">
        <f>IF(AND($L441*1&gt;=$G$3,$L441*1&lt;=$G$4,$I441*$J441&gt;0,OR($I441&lt;&gt;$I442,$L441-$L442&gt;25),IF(ABS($I441)&gt;10,$I441/POW(10,$J441),$J441/POW(10,$I441))*MAXIFS(Token!$C:$C,Token!$A:$A,$K441)&gt;0.01),$L441/86400+DATE(1970,1,1)+$G$6,)</f>
        <v/>
      </c>
      <c r="B441" s="27" t="str">
        <f t="shared" si="1"/>
        <v/>
      </c>
      <c r="C441" s="14" t="str">
        <f>IF($A441&lt;&gt;"",MINIFS(Merchant!$A:$A,Merchant!$B:$B,$G$2),)</f>
        <v/>
      </c>
      <c r="D441" s="14" t="str">
        <f t="shared" si="2"/>
        <v/>
      </c>
      <c r="E441" s="14" t="str">
        <f t="shared" si="3"/>
        <v/>
      </c>
      <c r="F441" s="7" t="str">
        <f>IF($A441&lt;&gt;"",MAXIFS(Token!$C:$C,Token!$A:$A,$D441),)</f>
        <v/>
      </c>
    </row>
    <row r="442">
      <c r="A442" s="39" t="str">
        <f>IF(AND($L442*1&gt;=$G$3,$L442*1&lt;=$G$4,$I442*$J442&gt;0,OR($I442&lt;&gt;$I443,$L442-$L443&gt;25),IF(ABS($I442)&gt;10,$I442/POW(10,$J442),$J442/POW(10,$I442))*MAXIFS(Token!$C:$C,Token!$A:$A,$K442)&gt;0.01),$L442/86400+DATE(1970,1,1)+$G$6,)</f>
        <v/>
      </c>
      <c r="B442" s="27" t="str">
        <f t="shared" si="1"/>
        <v/>
      </c>
      <c r="C442" s="14" t="str">
        <f>IF($A442&lt;&gt;"",MINIFS(Merchant!$A:$A,Merchant!$B:$B,$G$2),)</f>
        <v/>
      </c>
      <c r="D442" s="14" t="str">
        <f t="shared" si="2"/>
        <v/>
      </c>
      <c r="E442" s="14" t="str">
        <f t="shared" si="3"/>
        <v/>
      </c>
      <c r="F442" s="7" t="str">
        <f>IF($A442&lt;&gt;"",MAXIFS(Token!$C:$C,Token!$A:$A,$D442),)</f>
        <v/>
      </c>
    </row>
    <row r="443">
      <c r="A443" s="39" t="str">
        <f>IF(AND($L443*1&gt;=$G$3,$L443*1&lt;=$G$4,$I443*$J443&gt;0,OR($I443&lt;&gt;$I444,$L443-$L444&gt;25),IF(ABS($I443)&gt;10,$I443/POW(10,$J443),$J443/POW(10,$I443))*MAXIFS(Token!$C:$C,Token!$A:$A,$K443)&gt;0.01),$L443/86400+DATE(1970,1,1)+$G$6,)</f>
        <v/>
      </c>
      <c r="B443" s="27" t="str">
        <f t="shared" si="1"/>
        <v/>
      </c>
      <c r="C443" s="14" t="str">
        <f>IF($A443&lt;&gt;"",MINIFS(Merchant!$A:$A,Merchant!$B:$B,$G$2),)</f>
        <v/>
      </c>
      <c r="D443" s="14" t="str">
        <f t="shared" si="2"/>
        <v/>
      </c>
      <c r="E443" s="14" t="str">
        <f t="shared" si="3"/>
        <v/>
      </c>
      <c r="F443" s="7" t="str">
        <f>IF($A443&lt;&gt;"",MAXIFS(Token!$C:$C,Token!$A:$A,$D443),)</f>
        <v/>
      </c>
    </row>
    <row r="444">
      <c r="A444" s="39" t="str">
        <f>IF(AND($L444*1&gt;=$G$3,$L444*1&lt;=$G$4,$I444*$J444&gt;0,OR($I444&lt;&gt;$I445,$L444-$L445&gt;25),IF(ABS($I444)&gt;10,$I444/POW(10,$J444),$J444/POW(10,$I444))*MAXIFS(Token!$C:$C,Token!$A:$A,$K444)&gt;0.01),$L444/86400+DATE(1970,1,1)+$G$6,)</f>
        <v/>
      </c>
      <c r="B444" s="27" t="str">
        <f t="shared" si="1"/>
        <v/>
      </c>
      <c r="C444" s="14" t="str">
        <f>IF($A444&lt;&gt;"",MINIFS(Merchant!$A:$A,Merchant!$B:$B,$G$2),)</f>
        <v/>
      </c>
      <c r="D444" s="14" t="str">
        <f t="shared" si="2"/>
        <v/>
      </c>
      <c r="E444" s="14" t="str">
        <f t="shared" si="3"/>
        <v/>
      </c>
      <c r="F444" s="7" t="str">
        <f>IF($A444&lt;&gt;"",MAXIFS(Token!$C:$C,Token!$A:$A,$D444),)</f>
        <v/>
      </c>
    </row>
    <row r="445">
      <c r="A445" s="39" t="str">
        <f>IF(AND($L445*1&gt;=$G$3,$L445*1&lt;=$G$4,$I445*$J445&gt;0,OR($I445&lt;&gt;$I446,$L445-$L446&gt;25),IF(ABS($I445)&gt;10,$I445/POW(10,$J445),$J445/POW(10,$I445))*MAXIFS(Token!$C:$C,Token!$A:$A,$K445)&gt;0.01),$L445/86400+DATE(1970,1,1)+$G$6,)</f>
        <v/>
      </c>
      <c r="B445" s="27" t="str">
        <f t="shared" si="1"/>
        <v/>
      </c>
      <c r="C445" s="14" t="str">
        <f>IF($A445&lt;&gt;"",MINIFS(Merchant!$A:$A,Merchant!$B:$B,$G$2),)</f>
        <v/>
      </c>
      <c r="D445" s="14" t="str">
        <f t="shared" si="2"/>
        <v/>
      </c>
      <c r="E445" s="14" t="str">
        <f t="shared" si="3"/>
        <v/>
      </c>
      <c r="F445" s="7" t="str">
        <f>IF($A445&lt;&gt;"",MAXIFS(Token!$C:$C,Token!$A:$A,$D445),)</f>
        <v/>
      </c>
    </row>
    <row r="446">
      <c r="A446" s="39" t="str">
        <f>IF(AND($L446*1&gt;=$G$3,$L446*1&lt;=$G$4,$I446*$J446&gt;0,OR($I446&lt;&gt;$I447,$L446-$L447&gt;25),IF(ABS($I446)&gt;10,$I446/POW(10,$J446),$J446/POW(10,$I446))*MAXIFS(Token!$C:$C,Token!$A:$A,$K446)&gt;0.01),$L446/86400+DATE(1970,1,1)+$G$6,)</f>
        <v/>
      </c>
      <c r="B446" s="27" t="str">
        <f t="shared" si="1"/>
        <v/>
      </c>
      <c r="C446" s="14" t="str">
        <f>IF($A446&lt;&gt;"",MINIFS(Merchant!$A:$A,Merchant!$B:$B,$G$2),)</f>
        <v/>
      </c>
      <c r="D446" s="14" t="str">
        <f t="shared" si="2"/>
        <v/>
      </c>
      <c r="E446" s="14" t="str">
        <f t="shared" si="3"/>
        <v/>
      </c>
      <c r="F446" s="7" t="str">
        <f>IF($A446&lt;&gt;"",MAXIFS(Token!$C:$C,Token!$A:$A,$D446),)</f>
        <v/>
      </c>
    </row>
    <row r="447">
      <c r="A447" s="39" t="str">
        <f>IF(AND($L447*1&gt;=$G$3,$L447*1&lt;=$G$4,$I447*$J447&gt;0,OR($I447&lt;&gt;$I448,$L447-$L448&gt;25),IF(ABS($I447)&gt;10,$I447/POW(10,$J447),$J447/POW(10,$I447))*MAXIFS(Token!$C:$C,Token!$A:$A,$K447)&gt;0.01),$L447/86400+DATE(1970,1,1)+$G$6,)</f>
        <v/>
      </c>
      <c r="B447" s="27" t="str">
        <f t="shared" si="1"/>
        <v/>
      </c>
      <c r="C447" s="14" t="str">
        <f>IF($A447&lt;&gt;"",MINIFS(Merchant!$A:$A,Merchant!$B:$B,$G$2),)</f>
        <v/>
      </c>
      <c r="D447" s="14" t="str">
        <f t="shared" si="2"/>
        <v/>
      </c>
      <c r="E447" s="14" t="str">
        <f t="shared" si="3"/>
        <v/>
      </c>
      <c r="F447" s="7" t="str">
        <f>IF($A447&lt;&gt;"",MAXIFS(Token!$C:$C,Token!$A:$A,$D447),)</f>
        <v/>
      </c>
    </row>
    <row r="448">
      <c r="A448" s="39" t="str">
        <f>IF(AND($L448*1&gt;=$G$3,$L448*1&lt;=$G$4,$I448*$J448&gt;0,OR($I448&lt;&gt;$I449,$L448-$L449&gt;25),IF(ABS($I448)&gt;10,$I448/POW(10,$J448),$J448/POW(10,$I448))*MAXIFS(Token!$C:$C,Token!$A:$A,$K448)&gt;0.01),$L448/86400+DATE(1970,1,1)+$G$6,)</f>
        <v/>
      </c>
      <c r="B448" s="27" t="str">
        <f t="shared" si="1"/>
        <v/>
      </c>
      <c r="C448" s="14" t="str">
        <f>IF($A448&lt;&gt;"",MINIFS(Merchant!$A:$A,Merchant!$B:$B,$G$2),)</f>
        <v/>
      </c>
      <c r="D448" s="14" t="str">
        <f t="shared" si="2"/>
        <v/>
      </c>
      <c r="E448" s="14" t="str">
        <f t="shared" si="3"/>
        <v/>
      </c>
      <c r="F448" s="7" t="str">
        <f>IF($A448&lt;&gt;"",MAXIFS(Token!$C:$C,Token!$A:$A,$D448),)</f>
        <v/>
      </c>
    </row>
    <row r="449">
      <c r="A449" s="39" t="str">
        <f>IF(AND($L449*1&gt;=$G$3,$L449*1&lt;=$G$4,$I449*$J449&gt;0,OR($I449&lt;&gt;$I450,$L449-$L450&gt;25),IF(ABS($I449)&gt;10,$I449/POW(10,$J449),$J449/POW(10,$I449))*MAXIFS(Token!$C:$C,Token!$A:$A,$K449)&gt;0.01),$L449/86400+DATE(1970,1,1)+$G$6,)</f>
        <v/>
      </c>
      <c r="B449" s="27" t="str">
        <f t="shared" si="1"/>
        <v/>
      </c>
      <c r="C449" s="14" t="str">
        <f>IF($A449&lt;&gt;"",MINIFS(Merchant!$A:$A,Merchant!$B:$B,$G$2),)</f>
        <v/>
      </c>
      <c r="D449" s="14" t="str">
        <f t="shared" si="2"/>
        <v/>
      </c>
      <c r="E449" s="14" t="str">
        <f t="shared" si="3"/>
        <v/>
      </c>
      <c r="F449" s="7" t="str">
        <f>IF($A449&lt;&gt;"",MAXIFS(Token!$C:$C,Token!$A:$A,$D449),)</f>
        <v/>
      </c>
    </row>
    <row r="450">
      <c r="A450" s="39" t="str">
        <f>IF(AND($L450*1&gt;=$G$3,$L450*1&lt;=$G$4,$I450*$J450&gt;0,OR($I450&lt;&gt;$I451,$L450-$L451&gt;25),IF(ABS($I450)&gt;10,$I450/POW(10,$J450),$J450/POW(10,$I450))*MAXIFS(Token!$C:$C,Token!$A:$A,$K450)&gt;0.01),$L450/86400+DATE(1970,1,1)+$G$6,)</f>
        <v/>
      </c>
      <c r="B450" s="27" t="str">
        <f t="shared" si="1"/>
        <v/>
      </c>
      <c r="C450" s="14" t="str">
        <f>IF($A450&lt;&gt;"",MINIFS(Merchant!$A:$A,Merchant!$B:$B,$G$2),)</f>
        <v/>
      </c>
      <c r="D450" s="14" t="str">
        <f t="shared" si="2"/>
        <v/>
      </c>
      <c r="E450" s="14" t="str">
        <f t="shared" si="3"/>
        <v/>
      </c>
      <c r="F450" s="7" t="str">
        <f>IF($A450&lt;&gt;"",MAXIFS(Token!$C:$C,Token!$A:$A,$D450),)</f>
        <v/>
      </c>
    </row>
    <row r="451">
      <c r="A451" s="39" t="str">
        <f>IF(AND($L451*1&gt;=$G$3,$L451*1&lt;=$G$4,$I451*$J451&gt;0,OR($I451&lt;&gt;$I452,$L451-$L452&gt;25),IF(ABS($I451)&gt;10,$I451/POW(10,$J451),$J451/POW(10,$I451))*MAXIFS(Token!$C:$C,Token!$A:$A,$K451)&gt;0.01),$L451/86400+DATE(1970,1,1)+$G$6,)</f>
        <v/>
      </c>
      <c r="B451" s="27" t="str">
        <f t="shared" si="1"/>
        <v/>
      </c>
      <c r="C451" s="14" t="str">
        <f>IF($A451&lt;&gt;"",MINIFS(Merchant!$A:$A,Merchant!$B:$B,$G$2),)</f>
        <v/>
      </c>
      <c r="D451" s="14" t="str">
        <f t="shared" si="2"/>
        <v/>
      </c>
      <c r="E451" s="14" t="str">
        <f t="shared" si="3"/>
        <v/>
      </c>
      <c r="F451" s="7" t="str">
        <f>IF($A451&lt;&gt;"",MAXIFS(Token!$C:$C,Token!$A:$A,$D451),)</f>
        <v/>
      </c>
    </row>
    <row r="452">
      <c r="A452" s="39" t="str">
        <f>IF(AND($L452*1&gt;=$G$3,$L452*1&lt;=$G$4,$I452*$J452&gt;0,OR($I452&lt;&gt;$I453,$L452-$L453&gt;25),IF(ABS($I452)&gt;10,$I452/POW(10,$J452),$J452/POW(10,$I452))*MAXIFS(Token!$C:$C,Token!$A:$A,$K452)&gt;0.01),$L452/86400+DATE(1970,1,1)+$G$6,)</f>
        <v/>
      </c>
      <c r="B452" s="27" t="str">
        <f t="shared" si="1"/>
        <v/>
      </c>
      <c r="C452" s="14" t="str">
        <f>IF($A452&lt;&gt;"",MINIFS(Merchant!$A:$A,Merchant!$B:$B,$G$2),)</f>
        <v/>
      </c>
      <c r="D452" s="14" t="str">
        <f t="shared" si="2"/>
        <v/>
      </c>
      <c r="E452" s="14" t="str">
        <f t="shared" si="3"/>
        <v/>
      </c>
      <c r="F452" s="7" t="str">
        <f>IF($A452&lt;&gt;"",MAXIFS(Token!$C:$C,Token!$A:$A,$D452),)</f>
        <v/>
      </c>
    </row>
    <row r="453">
      <c r="A453" s="39" t="str">
        <f>IF(AND($L453*1&gt;=$G$3,$L453*1&lt;=$G$4,$I453*$J453&gt;0,OR($I453&lt;&gt;$I454,$L453-$L454&gt;25),IF(ABS($I453)&gt;10,$I453/POW(10,$J453),$J453/POW(10,$I453))*MAXIFS(Token!$C:$C,Token!$A:$A,$K453)&gt;0.01),$L453/86400+DATE(1970,1,1)+$G$6,)</f>
        <v/>
      </c>
      <c r="B453" s="27" t="str">
        <f t="shared" si="1"/>
        <v/>
      </c>
      <c r="C453" s="14" t="str">
        <f>IF($A453&lt;&gt;"",MINIFS(Merchant!$A:$A,Merchant!$B:$B,$G$2),)</f>
        <v/>
      </c>
      <c r="D453" s="14" t="str">
        <f t="shared" si="2"/>
        <v/>
      </c>
      <c r="E453" s="14" t="str">
        <f t="shared" si="3"/>
        <v/>
      </c>
      <c r="F453" s="7" t="str">
        <f>IF($A453&lt;&gt;"",MAXIFS(Token!$C:$C,Token!$A:$A,$D453),)</f>
        <v/>
      </c>
    </row>
    <row r="454">
      <c r="A454" s="39" t="str">
        <f>IF(AND($L454*1&gt;=$G$3,$L454*1&lt;=$G$4,$I454*$J454&gt;0,OR($I454&lt;&gt;$I455,$L454-$L455&gt;25),IF(ABS($I454)&gt;10,$I454/POW(10,$J454),$J454/POW(10,$I454))*MAXIFS(Token!$C:$C,Token!$A:$A,$K454)&gt;0.01),$L454/86400+DATE(1970,1,1)+$G$6,)</f>
        <v/>
      </c>
      <c r="B454" s="27" t="str">
        <f t="shared" si="1"/>
        <v/>
      </c>
      <c r="C454" s="14" t="str">
        <f>IF($A454&lt;&gt;"",MINIFS(Merchant!$A:$A,Merchant!$B:$B,$G$2),)</f>
        <v/>
      </c>
      <c r="D454" s="14" t="str">
        <f t="shared" si="2"/>
        <v/>
      </c>
      <c r="E454" s="14" t="str">
        <f t="shared" si="3"/>
        <v/>
      </c>
      <c r="F454" s="7" t="str">
        <f>IF($A454&lt;&gt;"",MAXIFS(Token!$C:$C,Token!$A:$A,$D454),)</f>
        <v/>
      </c>
    </row>
    <row r="455">
      <c r="A455" s="39" t="str">
        <f>IF(AND($L455*1&gt;=$G$3,$L455*1&lt;=$G$4,$I455*$J455&gt;0,OR($I455&lt;&gt;$I456,$L455-$L456&gt;25),IF(ABS($I455)&gt;10,$I455/POW(10,$J455),$J455/POW(10,$I455))*MAXIFS(Token!$C:$C,Token!$A:$A,$K455)&gt;0.01),$L455/86400+DATE(1970,1,1)+$G$6,)</f>
        <v/>
      </c>
      <c r="B455" s="27" t="str">
        <f t="shared" si="1"/>
        <v/>
      </c>
      <c r="C455" s="14" t="str">
        <f>IF($A455&lt;&gt;"",MINIFS(Merchant!$A:$A,Merchant!$B:$B,$G$2),)</f>
        <v/>
      </c>
      <c r="D455" s="14" t="str">
        <f t="shared" si="2"/>
        <v/>
      </c>
      <c r="E455" s="14" t="str">
        <f t="shared" si="3"/>
        <v/>
      </c>
      <c r="F455" s="7" t="str">
        <f>IF($A455&lt;&gt;"",MAXIFS(Token!$C:$C,Token!$A:$A,$D455),)</f>
        <v/>
      </c>
    </row>
    <row r="456">
      <c r="A456" s="39" t="str">
        <f>IF(AND($L456*1&gt;=$G$3,$L456*1&lt;=$G$4,$I456*$J456&gt;0,OR($I456&lt;&gt;$I457,$L456-$L457&gt;25),IF(ABS($I456)&gt;10,$I456/POW(10,$J456),$J456/POW(10,$I456))*MAXIFS(Token!$C:$C,Token!$A:$A,$K456)&gt;0.01),$L456/86400+DATE(1970,1,1)+$G$6,)</f>
        <v/>
      </c>
      <c r="B456" s="27" t="str">
        <f t="shared" si="1"/>
        <v/>
      </c>
      <c r="C456" s="14" t="str">
        <f>IF($A456&lt;&gt;"",MINIFS(Merchant!$A:$A,Merchant!$B:$B,$G$2),)</f>
        <v/>
      </c>
      <c r="D456" s="14" t="str">
        <f t="shared" si="2"/>
        <v/>
      </c>
      <c r="E456" s="14" t="str">
        <f t="shared" si="3"/>
        <v/>
      </c>
      <c r="F456" s="7" t="str">
        <f>IF($A456&lt;&gt;"",MAXIFS(Token!$C:$C,Token!$A:$A,$D456),)</f>
        <v/>
      </c>
    </row>
    <row r="457">
      <c r="A457" s="39" t="str">
        <f>IF(AND($L457*1&gt;=$G$3,$L457*1&lt;=$G$4,$I457*$J457&gt;0,OR($I457&lt;&gt;$I458,$L457-$L458&gt;25),IF(ABS($I457)&gt;10,$I457/POW(10,$J457),$J457/POW(10,$I457))*MAXIFS(Token!$C:$C,Token!$A:$A,$K457)&gt;0.01),$L457/86400+DATE(1970,1,1)+$G$6,)</f>
        <v/>
      </c>
      <c r="B457" s="27" t="str">
        <f t="shared" si="1"/>
        <v/>
      </c>
      <c r="C457" s="14" t="str">
        <f>IF($A457&lt;&gt;"",MINIFS(Merchant!$A:$A,Merchant!$B:$B,$G$2),)</f>
        <v/>
      </c>
      <c r="D457" s="14" t="str">
        <f t="shared" si="2"/>
        <v/>
      </c>
      <c r="E457" s="14" t="str">
        <f t="shared" si="3"/>
        <v/>
      </c>
      <c r="F457" s="7" t="str">
        <f>IF($A457&lt;&gt;"",MAXIFS(Token!$C:$C,Token!$A:$A,$D457),)</f>
        <v/>
      </c>
    </row>
    <row r="458">
      <c r="A458" s="39" t="str">
        <f>IF(AND($L458*1&gt;=$G$3,$L458*1&lt;=$G$4,$I458*$J458&gt;0,OR($I458&lt;&gt;$I459,$L458-$L459&gt;25),IF(ABS($I458)&gt;10,$I458/POW(10,$J458),$J458/POW(10,$I458))*MAXIFS(Token!$C:$C,Token!$A:$A,$K458)&gt;0.01),$L458/86400+DATE(1970,1,1)+$G$6,)</f>
        <v/>
      </c>
      <c r="B458" s="27" t="str">
        <f t="shared" si="1"/>
        <v/>
      </c>
      <c r="C458" s="14" t="str">
        <f>IF($A458&lt;&gt;"",MINIFS(Merchant!$A:$A,Merchant!$B:$B,$G$2),)</f>
        <v/>
      </c>
      <c r="D458" s="14" t="str">
        <f t="shared" si="2"/>
        <v/>
      </c>
      <c r="E458" s="14" t="str">
        <f t="shared" si="3"/>
        <v/>
      </c>
      <c r="F458" s="7" t="str">
        <f>IF($A458&lt;&gt;"",MAXIFS(Token!$C:$C,Token!$A:$A,$D458),)</f>
        <v/>
      </c>
    </row>
    <row r="459">
      <c r="A459" s="39" t="str">
        <f>IF(AND($L459*1&gt;=$G$3,$L459*1&lt;=$G$4,$I459*$J459&gt;0,OR($I459&lt;&gt;$I460,$L459-$L460&gt;25),IF(ABS($I459)&gt;10,$I459/POW(10,$J459),$J459/POW(10,$I459))*MAXIFS(Token!$C:$C,Token!$A:$A,$K459)&gt;0.01),$L459/86400+DATE(1970,1,1)+$G$6,)</f>
        <v/>
      </c>
      <c r="B459" s="27" t="str">
        <f t="shared" si="1"/>
        <v/>
      </c>
      <c r="C459" s="14" t="str">
        <f>IF($A459&lt;&gt;"",MINIFS(Merchant!$A:$A,Merchant!$B:$B,$G$2),)</f>
        <v/>
      </c>
      <c r="D459" s="14" t="str">
        <f t="shared" si="2"/>
        <v/>
      </c>
      <c r="E459" s="14" t="str">
        <f t="shared" si="3"/>
        <v/>
      </c>
      <c r="F459" s="7" t="str">
        <f>IF($A459&lt;&gt;"",MAXIFS(Token!$C:$C,Token!$A:$A,$D459),)</f>
        <v/>
      </c>
    </row>
    <row r="460">
      <c r="A460" s="39" t="str">
        <f>IF(AND($L460*1&gt;=$G$3,$L460*1&lt;=$G$4,$I460*$J460&gt;0,OR($I460&lt;&gt;$I461,$L460-$L461&gt;25),IF(ABS($I460)&gt;10,$I460/POW(10,$J460),$J460/POW(10,$I460))*MAXIFS(Token!$C:$C,Token!$A:$A,$K460)&gt;0.01),$L460/86400+DATE(1970,1,1)+$G$6,)</f>
        <v/>
      </c>
      <c r="B460" s="27" t="str">
        <f t="shared" si="1"/>
        <v/>
      </c>
      <c r="C460" s="14" t="str">
        <f>IF($A460&lt;&gt;"",MINIFS(Merchant!$A:$A,Merchant!$B:$B,$G$2),)</f>
        <v/>
      </c>
      <c r="D460" s="14" t="str">
        <f t="shared" si="2"/>
        <v/>
      </c>
      <c r="E460" s="14" t="str">
        <f t="shared" si="3"/>
        <v/>
      </c>
      <c r="F460" s="7" t="str">
        <f>IF($A460&lt;&gt;"",MAXIFS(Token!$C:$C,Token!$A:$A,$D460),)</f>
        <v/>
      </c>
    </row>
    <row r="461">
      <c r="A461" s="39" t="str">
        <f>IF(AND($L461*1&gt;=$G$3,$L461*1&lt;=$G$4,$I461*$J461&gt;0,OR($I461&lt;&gt;$I462,$L461-$L462&gt;25),IF(ABS($I461)&gt;10,$I461/POW(10,$J461),$J461/POW(10,$I461))*MAXIFS(Token!$C:$C,Token!$A:$A,$K461)&gt;0.01),$L461/86400+DATE(1970,1,1)+$G$6,)</f>
        <v/>
      </c>
      <c r="B461" s="27" t="str">
        <f t="shared" si="1"/>
        <v/>
      </c>
      <c r="C461" s="14" t="str">
        <f>IF($A461&lt;&gt;"",MINIFS(Merchant!$A:$A,Merchant!$B:$B,$G$2),)</f>
        <v/>
      </c>
      <c r="D461" s="14" t="str">
        <f t="shared" si="2"/>
        <v/>
      </c>
      <c r="E461" s="14" t="str">
        <f t="shared" si="3"/>
        <v/>
      </c>
      <c r="F461" s="7" t="str">
        <f>IF($A461&lt;&gt;"",MAXIFS(Token!$C:$C,Token!$A:$A,$D461),)</f>
        <v/>
      </c>
    </row>
    <row r="462">
      <c r="A462" s="39" t="str">
        <f>IF(AND($L462*1&gt;=$G$3,$L462*1&lt;=$G$4,$I462*$J462&gt;0,OR($I462&lt;&gt;$I463,$L462-$L463&gt;25),IF(ABS($I462)&gt;10,$I462/POW(10,$J462),$J462/POW(10,$I462))*MAXIFS(Token!$C:$C,Token!$A:$A,$K462)&gt;0.01),$L462/86400+DATE(1970,1,1)+$G$6,)</f>
        <v/>
      </c>
      <c r="B462" s="27" t="str">
        <f t="shared" si="1"/>
        <v/>
      </c>
      <c r="C462" s="14" t="str">
        <f>IF($A462&lt;&gt;"",MINIFS(Merchant!$A:$A,Merchant!$B:$B,$G$2),)</f>
        <v/>
      </c>
      <c r="D462" s="14" t="str">
        <f t="shared" si="2"/>
        <v/>
      </c>
      <c r="E462" s="14" t="str">
        <f t="shared" si="3"/>
        <v/>
      </c>
      <c r="F462" s="7" t="str">
        <f>IF($A462&lt;&gt;"",MAXIFS(Token!$C:$C,Token!$A:$A,$D462),)</f>
        <v/>
      </c>
    </row>
    <row r="463">
      <c r="A463" s="39" t="str">
        <f>IF(AND($L463*1&gt;=$G$3,$L463*1&lt;=$G$4,$I463*$J463&gt;0,OR($I463&lt;&gt;$I464,$L463-$L464&gt;25),IF(ABS($I463)&gt;10,$I463/POW(10,$J463),$J463/POW(10,$I463))*MAXIFS(Token!$C:$C,Token!$A:$A,$K463)&gt;0.01),$L463/86400+DATE(1970,1,1)+$G$6,)</f>
        <v/>
      </c>
      <c r="B463" s="27" t="str">
        <f t="shared" si="1"/>
        <v/>
      </c>
      <c r="C463" s="14" t="str">
        <f>IF($A463&lt;&gt;"",MINIFS(Merchant!$A:$A,Merchant!$B:$B,$G$2),)</f>
        <v/>
      </c>
      <c r="D463" s="14" t="str">
        <f t="shared" si="2"/>
        <v/>
      </c>
      <c r="E463" s="14" t="str">
        <f t="shared" si="3"/>
        <v/>
      </c>
      <c r="F463" s="7" t="str">
        <f>IF($A463&lt;&gt;"",MAXIFS(Token!$C:$C,Token!$A:$A,$D463),)</f>
        <v/>
      </c>
    </row>
    <row r="464">
      <c r="A464" s="39" t="str">
        <f>IF(AND($L464*1&gt;=$G$3,$L464*1&lt;=$G$4,$I464*$J464&gt;0,OR($I464&lt;&gt;$I465,$L464-$L465&gt;25),IF(ABS($I464)&gt;10,$I464/POW(10,$J464),$J464/POW(10,$I464))*MAXIFS(Token!$C:$C,Token!$A:$A,$K464)&gt;0.01),$L464/86400+DATE(1970,1,1)+$G$6,)</f>
        <v/>
      </c>
      <c r="B464" s="27" t="str">
        <f t="shared" si="1"/>
        <v/>
      </c>
      <c r="C464" s="14" t="str">
        <f>IF($A464&lt;&gt;"",MINIFS(Merchant!$A:$A,Merchant!$B:$B,$G$2),)</f>
        <v/>
      </c>
      <c r="D464" s="14" t="str">
        <f t="shared" si="2"/>
        <v/>
      </c>
      <c r="E464" s="14" t="str">
        <f t="shared" si="3"/>
        <v/>
      </c>
      <c r="F464" s="7" t="str">
        <f>IF($A464&lt;&gt;"",MAXIFS(Token!$C:$C,Token!$A:$A,$D464),)</f>
        <v/>
      </c>
    </row>
    <row r="465">
      <c r="A465" s="39" t="str">
        <f>IF(AND($L465*1&gt;=$G$3,$L465*1&lt;=$G$4,$I465*$J465&gt;0,OR($I465&lt;&gt;$I466,$L465-$L466&gt;25),IF(ABS($I465)&gt;10,$I465/POW(10,$J465),$J465/POW(10,$I465))*MAXIFS(Token!$C:$C,Token!$A:$A,$K465)&gt;0.01),$L465/86400+DATE(1970,1,1)+$G$6,)</f>
        <v/>
      </c>
      <c r="B465" s="27" t="str">
        <f t="shared" si="1"/>
        <v/>
      </c>
      <c r="C465" s="14" t="str">
        <f>IF($A465&lt;&gt;"",MINIFS(Merchant!$A:$A,Merchant!$B:$B,$G$2),)</f>
        <v/>
      </c>
      <c r="D465" s="14" t="str">
        <f t="shared" si="2"/>
        <v/>
      </c>
      <c r="E465" s="14" t="str">
        <f t="shared" si="3"/>
        <v/>
      </c>
      <c r="F465" s="7" t="str">
        <f>IF($A465&lt;&gt;"",MAXIFS(Token!$C:$C,Token!$A:$A,$D465),)</f>
        <v/>
      </c>
    </row>
    <row r="466">
      <c r="A466" s="39" t="str">
        <f>IF(AND($L466*1&gt;=$G$3,$L466*1&lt;=$G$4,$I466*$J466&gt;0,OR($I466&lt;&gt;$I467,$L466-$L467&gt;25),IF(ABS($I466)&gt;10,$I466/POW(10,$J466),$J466/POW(10,$I466))*MAXIFS(Token!$C:$C,Token!$A:$A,$K466)&gt;0.01),$L466/86400+DATE(1970,1,1)+$G$6,)</f>
        <v/>
      </c>
      <c r="B466" s="27" t="str">
        <f t="shared" si="1"/>
        <v/>
      </c>
      <c r="C466" s="14" t="str">
        <f>IF($A466&lt;&gt;"",MINIFS(Merchant!$A:$A,Merchant!$B:$B,$G$2),)</f>
        <v/>
      </c>
      <c r="D466" s="14" t="str">
        <f t="shared" si="2"/>
        <v/>
      </c>
      <c r="E466" s="14" t="str">
        <f t="shared" si="3"/>
        <v/>
      </c>
      <c r="F466" s="7" t="str">
        <f>IF($A466&lt;&gt;"",MAXIFS(Token!$C:$C,Token!$A:$A,$D466),)</f>
        <v/>
      </c>
    </row>
    <row r="467">
      <c r="A467" s="39" t="str">
        <f>IF(AND($L467*1&gt;=$G$3,$L467*1&lt;=$G$4,$I467*$J467&gt;0,OR($I467&lt;&gt;$I468,$L467-$L468&gt;25),IF(ABS($I467)&gt;10,$I467/POW(10,$J467),$J467/POW(10,$I467))*MAXIFS(Token!$C:$C,Token!$A:$A,$K467)&gt;0.01),$L467/86400+DATE(1970,1,1)+$G$6,)</f>
        <v/>
      </c>
      <c r="B467" s="27" t="str">
        <f t="shared" si="1"/>
        <v/>
      </c>
      <c r="C467" s="14" t="str">
        <f>IF($A467&lt;&gt;"",MINIFS(Merchant!$A:$A,Merchant!$B:$B,$G$2),)</f>
        <v/>
      </c>
      <c r="D467" s="14" t="str">
        <f t="shared" si="2"/>
        <v/>
      </c>
      <c r="E467" s="14" t="str">
        <f t="shared" si="3"/>
        <v/>
      </c>
      <c r="F467" s="7" t="str">
        <f>IF($A467&lt;&gt;"",MAXIFS(Token!$C:$C,Token!$A:$A,$D467),)</f>
        <v/>
      </c>
    </row>
    <row r="468">
      <c r="A468" s="39" t="str">
        <f>IF(AND($L468*1&gt;=$G$3,$L468*1&lt;=$G$4,$I468*$J468&gt;0,OR($I468&lt;&gt;$I469,$L468-$L469&gt;25),IF(ABS($I468)&gt;10,$I468/POW(10,$J468),$J468/POW(10,$I468))*MAXIFS(Token!$C:$C,Token!$A:$A,$K468)&gt;0.01),$L468/86400+DATE(1970,1,1)+$G$6,)</f>
        <v/>
      </c>
      <c r="B468" s="27" t="str">
        <f t="shared" si="1"/>
        <v/>
      </c>
      <c r="C468" s="14" t="str">
        <f>IF($A468&lt;&gt;"",MINIFS(Merchant!$A:$A,Merchant!$B:$B,$G$2),)</f>
        <v/>
      </c>
      <c r="D468" s="14" t="str">
        <f t="shared" si="2"/>
        <v/>
      </c>
      <c r="E468" s="14" t="str">
        <f t="shared" si="3"/>
        <v/>
      </c>
      <c r="F468" s="7" t="str">
        <f>IF($A468&lt;&gt;"",MAXIFS(Token!$C:$C,Token!$A:$A,$D468),)</f>
        <v/>
      </c>
    </row>
    <row r="469">
      <c r="A469" s="39" t="str">
        <f>IF(AND($L469*1&gt;=$G$3,$L469*1&lt;=$G$4,$I469*$J469&gt;0,OR($I469&lt;&gt;$I470,$L469-$L470&gt;25),IF(ABS($I469)&gt;10,$I469/POW(10,$J469),$J469/POW(10,$I469))*MAXIFS(Token!$C:$C,Token!$A:$A,$K469)&gt;0.01),$L469/86400+DATE(1970,1,1)+$G$6,)</f>
        <v/>
      </c>
      <c r="B469" s="27" t="str">
        <f t="shared" si="1"/>
        <v/>
      </c>
      <c r="C469" s="14" t="str">
        <f>IF($A469&lt;&gt;"",MINIFS(Merchant!$A:$A,Merchant!$B:$B,$G$2),)</f>
        <v/>
      </c>
      <c r="D469" s="14" t="str">
        <f t="shared" si="2"/>
        <v/>
      </c>
      <c r="E469" s="14" t="str">
        <f t="shared" si="3"/>
        <v/>
      </c>
      <c r="F469" s="7" t="str">
        <f>IF($A469&lt;&gt;"",MAXIFS(Token!$C:$C,Token!$A:$A,$D469),)</f>
        <v/>
      </c>
    </row>
    <row r="470">
      <c r="A470" s="39" t="str">
        <f>IF(AND($L470*1&gt;=$G$3,$L470*1&lt;=$G$4,$I470*$J470&gt;0,OR($I470&lt;&gt;$I471,$L470-$L471&gt;25),IF(ABS($I470)&gt;10,$I470/POW(10,$J470),$J470/POW(10,$I470))*MAXIFS(Token!$C:$C,Token!$A:$A,$K470)&gt;0.01),$L470/86400+DATE(1970,1,1)+$G$6,)</f>
        <v/>
      </c>
      <c r="B470" s="27" t="str">
        <f t="shared" si="1"/>
        <v/>
      </c>
      <c r="C470" s="14" t="str">
        <f>IF($A470&lt;&gt;"",MINIFS(Merchant!$A:$A,Merchant!$B:$B,$G$2),)</f>
        <v/>
      </c>
      <c r="D470" s="14" t="str">
        <f t="shared" si="2"/>
        <v/>
      </c>
      <c r="E470" s="14" t="str">
        <f t="shared" si="3"/>
        <v/>
      </c>
      <c r="F470" s="7" t="str">
        <f>IF($A470&lt;&gt;"",MAXIFS(Token!$C:$C,Token!$A:$A,$D470),)</f>
        <v/>
      </c>
    </row>
    <row r="471">
      <c r="A471" s="39" t="str">
        <f>IF(AND($L471*1&gt;=$G$3,$L471*1&lt;=$G$4,$I471*$J471&gt;0,OR($I471&lt;&gt;$I472,$L471-$L472&gt;25),IF(ABS($I471)&gt;10,$I471/POW(10,$J471),$J471/POW(10,$I471))*MAXIFS(Token!$C:$C,Token!$A:$A,$K471)&gt;0.01),$L471/86400+DATE(1970,1,1)+$G$6,)</f>
        <v/>
      </c>
      <c r="B471" s="27" t="str">
        <f t="shared" si="1"/>
        <v/>
      </c>
      <c r="C471" s="14" t="str">
        <f>IF($A471&lt;&gt;"",MINIFS(Merchant!$A:$A,Merchant!$B:$B,$G$2),)</f>
        <v/>
      </c>
      <c r="D471" s="14" t="str">
        <f t="shared" si="2"/>
        <v/>
      </c>
      <c r="E471" s="14" t="str">
        <f t="shared" si="3"/>
        <v/>
      </c>
      <c r="F471" s="7" t="str">
        <f>IF($A471&lt;&gt;"",MAXIFS(Token!$C:$C,Token!$A:$A,$D471),)</f>
        <v/>
      </c>
    </row>
    <row r="472">
      <c r="A472" s="39" t="str">
        <f>IF(AND($L472*1&gt;=$G$3,$L472*1&lt;=$G$4,$I472*$J472&gt;0,OR($I472&lt;&gt;$I473,$L472-$L473&gt;25),IF(ABS($I472)&gt;10,$I472/POW(10,$J472),$J472/POW(10,$I472))*MAXIFS(Token!$C:$C,Token!$A:$A,$K472)&gt;0.01),$L472/86400+DATE(1970,1,1)+$G$6,)</f>
        <v/>
      </c>
      <c r="B472" s="27" t="str">
        <f t="shared" si="1"/>
        <v/>
      </c>
      <c r="C472" s="14" t="str">
        <f>IF($A472&lt;&gt;"",MINIFS(Merchant!$A:$A,Merchant!$B:$B,$G$2),)</f>
        <v/>
      </c>
      <c r="D472" s="14" t="str">
        <f t="shared" si="2"/>
        <v/>
      </c>
      <c r="E472" s="14" t="str">
        <f t="shared" si="3"/>
        <v/>
      </c>
      <c r="F472" s="7" t="str">
        <f>IF($A472&lt;&gt;"",MAXIFS(Token!$C:$C,Token!$A:$A,$D472),)</f>
        <v/>
      </c>
    </row>
    <row r="473">
      <c r="A473" s="39" t="str">
        <f>IF(AND($L473*1&gt;=$G$3,$L473*1&lt;=$G$4,$I473*$J473&gt;0,OR($I473&lt;&gt;$I474,$L473-$L474&gt;25),IF(ABS($I473)&gt;10,$I473/POW(10,$J473),$J473/POW(10,$I473))*MAXIFS(Token!$C:$C,Token!$A:$A,$K473)&gt;0.01),$L473/86400+DATE(1970,1,1)+$G$6,)</f>
        <v/>
      </c>
      <c r="B473" s="27" t="str">
        <f t="shared" si="1"/>
        <v/>
      </c>
      <c r="C473" s="14" t="str">
        <f>IF($A473&lt;&gt;"",MINIFS(Merchant!$A:$A,Merchant!$B:$B,$G$2),)</f>
        <v/>
      </c>
      <c r="D473" s="14" t="str">
        <f t="shared" si="2"/>
        <v/>
      </c>
      <c r="E473" s="14" t="str">
        <f t="shared" si="3"/>
        <v/>
      </c>
      <c r="F473" s="7" t="str">
        <f>IF($A473&lt;&gt;"",MAXIFS(Token!$C:$C,Token!$A:$A,$D473),)</f>
        <v/>
      </c>
    </row>
    <row r="474">
      <c r="A474" s="39" t="str">
        <f>IF(AND($L474*1&gt;=$G$3,$L474*1&lt;=$G$4,$I474*$J474&gt;0,OR($I474&lt;&gt;$I475,$L474-$L475&gt;25),IF(ABS($I474)&gt;10,$I474/POW(10,$J474),$J474/POW(10,$I474))*MAXIFS(Token!$C:$C,Token!$A:$A,$K474)&gt;0.01),$L474/86400+DATE(1970,1,1)+$G$6,)</f>
        <v/>
      </c>
      <c r="B474" s="27" t="str">
        <f t="shared" si="1"/>
        <v/>
      </c>
      <c r="C474" s="14" t="str">
        <f>IF($A474&lt;&gt;"",MINIFS(Merchant!$A:$A,Merchant!$B:$B,$G$2),)</f>
        <v/>
      </c>
      <c r="D474" s="14" t="str">
        <f t="shared" si="2"/>
        <v/>
      </c>
      <c r="E474" s="14" t="str">
        <f t="shared" si="3"/>
        <v/>
      </c>
      <c r="F474" s="7" t="str">
        <f>IF($A474&lt;&gt;"",MAXIFS(Token!$C:$C,Token!$A:$A,$D474),)</f>
        <v/>
      </c>
    </row>
    <row r="475">
      <c r="A475" s="39" t="str">
        <f>IF(AND($L475*1&gt;=$G$3,$L475*1&lt;=$G$4,$I475*$J475&gt;0,OR($I475&lt;&gt;$I476,$L475-$L476&gt;25),IF(ABS($I475)&gt;10,$I475/POW(10,$J475),$J475/POW(10,$I475))*MAXIFS(Token!$C:$C,Token!$A:$A,$K475)&gt;0.01),$L475/86400+DATE(1970,1,1)+$G$6,)</f>
        <v/>
      </c>
      <c r="B475" s="27" t="str">
        <f t="shared" si="1"/>
        <v/>
      </c>
      <c r="C475" s="14" t="str">
        <f>IF($A475&lt;&gt;"",MINIFS(Merchant!$A:$A,Merchant!$B:$B,$G$2),)</f>
        <v/>
      </c>
      <c r="D475" s="14" t="str">
        <f t="shared" si="2"/>
        <v/>
      </c>
      <c r="E475" s="14" t="str">
        <f t="shared" si="3"/>
        <v/>
      </c>
      <c r="F475" s="7" t="str">
        <f>IF($A475&lt;&gt;"",MAXIFS(Token!$C:$C,Token!$A:$A,$D475),)</f>
        <v/>
      </c>
    </row>
    <row r="476">
      <c r="A476" s="39" t="str">
        <f>IF(AND($L476*1&gt;=$G$3,$L476*1&lt;=$G$4,$I476*$J476&gt;0,OR($I476&lt;&gt;$I477,$L476-$L477&gt;25),IF(ABS($I476)&gt;10,$I476/POW(10,$J476),$J476/POW(10,$I476))*MAXIFS(Token!$C:$C,Token!$A:$A,$K476)&gt;0.01),$L476/86400+DATE(1970,1,1)+$G$6,)</f>
        <v/>
      </c>
      <c r="B476" s="27" t="str">
        <f t="shared" si="1"/>
        <v/>
      </c>
      <c r="C476" s="14" t="str">
        <f>IF($A476&lt;&gt;"",MINIFS(Merchant!$A:$A,Merchant!$B:$B,$G$2),)</f>
        <v/>
      </c>
      <c r="D476" s="14" t="str">
        <f t="shared" si="2"/>
        <v/>
      </c>
      <c r="E476" s="14" t="str">
        <f t="shared" si="3"/>
        <v/>
      </c>
      <c r="F476" s="7" t="str">
        <f>IF($A476&lt;&gt;"",MAXIFS(Token!$C:$C,Token!$A:$A,$D476),)</f>
        <v/>
      </c>
    </row>
    <row r="477">
      <c r="A477" s="39" t="str">
        <f>IF(AND($L477*1&gt;=$G$3,$L477*1&lt;=$G$4,$I477*$J477&gt;0,OR($I477&lt;&gt;$I478,$L477-$L478&gt;25),IF(ABS($I477)&gt;10,$I477/POW(10,$J477),$J477/POW(10,$I477))*MAXIFS(Token!$C:$C,Token!$A:$A,$K477)&gt;0.01),$L477/86400+DATE(1970,1,1)+$G$6,)</f>
        <v/>
      </c>
      <c r="B477" s="27" t="str">
        <f t="shared" si="1"/>
        <v/>
      </c>
      <c r="C477" s="14" t="str">
        <f>IF($A477&lt;&gt;"",MINIFS(Merchant!$A:$A,Merchant!$B:$B,$G$2),)</f>
        <v/>
      </c>
      <c r="D477" s="14" t="str">
        <f t="shared" si="2"/>
        <v/>
      </c>
      <c r="E477" s="14" t="str">
        <f t="shared" si="3"/>
        <v/>
      </c>
      <c r="F477" s="7" t="str">
        <f>IF($A477&lt;&gt;"",MAXIFS(Token!$C:$C,Token!$A:$A,$D477),)</f>
        <v/>
      </c>
    </row>
    <row r="478">
      <c r="A478" s="39" t="str">
        <f>IF(AND($L478*1&gt;=$G$3,$L478*1&lt;=$G$4,$I478*$J478&gt;0,OR($I478&lt;&gt;$I479,$L478-$L479&gt;25),IF(ABS($I478)&gt;10,$I478/POW(10,$J478),$J478/POW(10,$I478))*MAXIFS(Token!$C:$C,Token!$A:$A,$K478)&gt;0.01),$L478/86400+DATE(1970,1,1)+$G$6,)</f>
        <v/>
      </c>
      <c r="B478" s="27" t="str">
        <f t="shared" si="1"/>
        <v/>
      </c>
      <c r="C478" s="14" t="str">
        <f>IF($A478&lt;&gt;"",MINIFS(Merchant!$A:$A,Merchant!$B:$B,$G$2),)</f>
        <v/>
      </c>
      <c r="D478" s="14" t="str">
        <f t="shared" si="2"/>
        <v/>
      </c>
      <c r="E478" s="14" t="str">
        <f t="shared" si="3"/>
        <v/>
      </c>
      <c r="F478" s="7" t="str">
        <f>IF($A478&lt;&gt;"",MAXIFS(Token!$C:$C,Token!$A:$A,$D478),)</f>
        <v/>
      </c>
    </row>
    <row r="479">
      <c r="A479" s="39" t="str">
        <f>IF(AND($L479*1&gt;=$G$3,$L479*1&lt;=$G$4,$I479*$J479&gt;0,OR($I479&lt;&gt;$I480,$L479-$L480&gt;25),IF(ABS($I479)&gt;10,$I479/POW(10,$J479),$J479/POW(10,$I479))*MAXIFS(Token!$C:$C,Token!$A:$A,$K479)&gt;0.01),$L479/86400+DATE(1970,1,1)+$G$6,)</f>
        <v/>
      </c>
      <c r="B479" s="27" t="str">
        <f t="shared" si="1"/>
        <v/>
      </c>
      <c r="C479" s="14" t="str">
        <f>IF($A479&lt;&gt;"",MINIFS(Merchant!$A:$A,Merchant!$B:$B,$G$2),)</f>
        <v/>
      </c>
      <c r="D479" s="14" t="str">
        <f t="shared" si="2"/>
        <v/>
      </c>
      <c r="E479" s="14" t="str">
        <f t="shared" si="3"/>
        <v/>
      </c>
      <c r="F479" s="7" t="str">
        <f>IF($A479&lt;&gt;"",MAXIFS(Token!$C:$C,Token!$A:$A,$D479),)</f>
        <v/>
      </c>
    </row>
    <row r="480">
      <c r="A480" s="39" t="str">
        <f>IF(AND($L480*1&gt;=$G$3,$L480*1&lt;=$G$4,$I480*$J480&gt;0,OR($I480&lt;&gt;$I481,$L480-$L481&gt;25),IF(ABS($I480)&gt;10,$I480/POW(10,$J480),$J480/POW(10,$I480))*MAXIFS(Token!$C:$C,Token!$A:$A,$K480)&gt;0.01),$L480/86400+DATE(1970,1,1)+$G$6,)</f>
        <v/>
      </c>
      <c r="B480" s="27" t="str">
        <f t="shared" si="1"/>
        <v/>
      </c>
      <c r="C480" s="14" t="str">
        <f>IF($A480&lt;&gt;"",MINIFS(Merchant!$A:$A,Merchant!$B:$B,$G$2),)</f>
        <v/>
      </c>
      <c r="D480" s="14" t="str">
        <f t="shared" si="2"/>
        <v/>
      </c>
      <c r="E480" s="14" t="str">
        <f t="shared" si="3"/>
        <v/>
      </c>
      <c r="F480" s="7" t="str">
        <f>IF($A480&lt;&gt;"",MAXIFS(Token!$C:$C,Token!$A:$A,$D480),)</f>
        <v/>
      </c>
    </row>
    <row r="481">
      <c r="A481" s="39" t="str">
        <f>IF(AND($L481*1&gt;=$G$3,$L481*1&lt;=$G$4,$I481*$J481&gt;0,OR($I481&lt;&gt;$I482,$L481-$L482&gt;25),IF(ABS($I481)&gt;10,$I481/POW(10,$J481),$J481/POW(10,$I481))*MAXIFS(Token!$C:$C,Token!$A:$A,$K481)&gt;0.01),$L481/86400+DATE(1970,1,1)+$G$6,)</f>
        <v/>
      </c>
      <c r="B481" s="27" t="str">
        <f t="shared" si="1"/>
        <v/>
      </c>
      <c r="C481" s="14" t="str">
        <f>IF($A481&lt;&gt;"",MINIFS(Merchant!$A:$A,Merchant!$B:$B,$G$2),)</f>
        <v/>
      </c>
      <c r="D481" s="14" t="str">
        <f t="shared" si="2"/>
        <v/>
      </c>
      <c r="E481" s="14" t="str">
        <f t="shared" si="3"/>
        <v/>
      </c>
      <c r="F481" s="7" t="str">
        <f>IF($A481&lt;&gt;"",MAXIFS(Token!$C:$C,Token!$A:$A,$D481),)</f>
        <v/>
      </c>
    </row>
    <row r="482">
      <c r="A482" s="39" t="str">
        <f>IF(AND($L482*1&gt;=$G$3,$L482*1&lt;=$G$4,$I482*$J482&gt;0,OR($I482&lt;&gt;$I483,$L482-$L483&gt;25),IF(ABS($I482)&gt;10,$I482/POW(10,$J482),$J482/POW(10,$I482))*MAXIFS(Token!$C:$C,Token!$A:$A,$K482)&gt;0.01),$L482/86400+DATE(1970,1,1)+$G$6,)</f>
        <v/>
      </c>
      <c r="B482" s="27" t="str">
        <f t="shared" si="1"/>
        <v/>
      </c>
      <c r="C482" s="14" t="str">
        <f>IF($A482&lt;&gt;"",MINIFS(Merchant!$A:$A,Merchant!$B:$B,$G$2),)</f>
        <v/>
      </c>
      <c r="D482" s="14" t="str">
        <f t="shared" si="2"/>
        <v/>
      </c>
      <c r="E482" s="14" t="str">
        <f t="shared" si="3"/>
        <v/>
      </c>
      <c r="F482" s="7" t="str">
        <f>IF($A482&lt;&gt;"",MAXIFS(Token!$C:$C,Token!$A:$A,$D482),)</f>
        <v/>
      </c>
    </row>
    <row r="483">
      <c r="A483" s="39" t="str">
        <f>IF(AND($L483*1&gt;=$G$3,$L483*1&lt;=$G$4,$I483*$J483&gt;0,OR($I483&lt;&gt;$I484,$L483-$L484&gt;25),IF(ABS($I483)&gt;10,$I483/POW(10,$J483),$J483/POW(10,$I483))*MAXIFS(Token!$C:$C,Token!$A:$A,$K483)&gt;0.01),$L483/86400+DATE(1970,1,1)+$G$6,)</f>
        <v/>
      </c>
      <c r="B483" s="27" t="str">
        <f t="shared" si="1"/>
        <v/>
      </c>
      <c r="C483" s="14" t="str">
        <f>IF($A483&lt;&gt;"",MINIFS(Merchant!$A:$A,Merchant!$B:$B,$G$2),)</f>
        <v/>
      </c>
      <c r="D483" s="14" t="str">
        <f t="shared" si="2"/>
        <v/>
      </c>
      <c r="E483" s="14" t="str">
        <f t="shared" si="3"/>
        <v/>
      </c>
      <c r="F483" s="7" t="str">
        <f>IF($A483&lt;&gt;"",MAXIFS(Token!$C:$C,Token!$A:$A,$D483),)</f>
        <v/>
      </c>
    </row>
    <row r="484">
      <c r="A484" s="39" t="str">
        <f>IF(AND($L484*1&gt;=$G$3,$L484*1&lt;=$G$4,$I484*$J484&gt;0,OR($I484&lt;&gt;$I485,$L484-$L485&gt;25),IF(ABS($I484)&gt;10,$I484/POW(10,$J484),$J484/POW(10,$I484))*MAXIFS(Token!$C:$C,Token!$A:$A,$K484)&gt;0.01),$L484/86400+DATE(1970,1,1)+$G$6,)</f>
        <v/>
      </c>
      <c r="B484" s="27" t="str">
        <f t="shared" si="1"/>
        <v/>
      </c>
      <c r="C484" s="14" t="str">
        <f>IF($A484&lt;&gt;"",MINIFS(Merchant!$A:$A,Merchant!$B:$B,$G$2),)</f>
        <v/>
      </c>
      <c r="D484" s="14" t="str">
        <f t="shared" si="2"/>
        <v/>
      </c>
      <c r="E484" s="14" t="str">
        <f t="shared" si="3"/>
        <v/>
      </c>
      <c r="F484" s="7" t="str">
        <f>IF($A484&lt;&gt;"",MAXIFS(Token!$C:$C,Token!$A:$A,$D484),)</f>
        <v/>
      </c>
    </row>
    <row r="485">
      <c r="A485" s="39" t="str">
        <f>IF(AND($L485*1&gt;=$G$3,$L485*1&lt;=$G$4,$I485*$J485&gt;0,OR($I485&lt;&gt;$I486,$L485-$L486&gt;25),IF(ABS($I485)&gt;10,$I485/POW(10,$J485),$J485/POW(10,$I485))*MAXIFS(Token!$C:$C,Token!$A:$A,$K485)&gt;0.01),$L485/86400+DATE(1970,1,1)+$G$6,)</f>
        <v/>
      </c>
      <c r="B485" s="27" t="str">
        <f t="shared" si="1"/>
        <v/>
      </c>
      <c r="C485" s="14" t="str">
        <f>IF($A485&lt;&gt;"",MINIFS(Merchant!$A:$A,Merchant!$B:$B,$G$2),)</f>
        <v/>
      </c>
      <c r="D485" s="14" t="str">
        <f t="shared" si="2"/>
        <v/>
      </c>
      <c r="E485" s="14" t="str">
        <f t="shared" si="3"/>
        <v/>
      </c>
      <c r="F485" s="7" t="str">
        <f>IF($A485&lt;&gt;"",MAXIFS(Token!$C:$C,Token!$A:$A,$D485),)</f>
        <v/>
      </c>
    </row>
    <row r="486">
      <c r="A486" s="39" t="str">
        <f>IF(AND($L486*1&gt;=$G$3,$L486*1&lt;=$G$4,$I486*$J486&gt;0,OR($I486&lt;&gt;$I487,$L486-$L487&gt;25),IF(ABS($I486)&gt;10,$I486/POW(10,$J486),$J486/POW(10,$I486))*MAXIFS(Token!$C:$C,Token!$A:$A,$K486)&gt;0.01),$L486/86400+DATE(1970,1,1)+$G$6,)</f>
        <v/>
      </c>
      <c r="B486" s="27" t="str">
        <f t="shared" si="1"/>
        <v/>
      </c>
      <c r="C486" s="14" t="str">
        <f>IF($A486&lt;&gt;"",MINIFS(Merchant!$A:$A,Merchant!$B:$B,$G$2),)</f>
        <v/>
      </c>
      <c r="D486" s="14" t="str">
        <f t="shared" si="2"/>
        <v/>
      </c>
      <c r="E486" s="14" t="str">
        <f t="shared" si="3"/>
        <v/>
      </c>
      <c r="F486" s="7" t="str">
        <f>IF($A486&lt;&gt;"",MAXIFS(Token!$C:$C,Token!$A:$A,$D486),)</f>
        <v/>
      </c>
    </row>
    <row r="487">
      <c r="A487" s="39" t="str">
        <f>IF(AND($L487*1&gt;=$G$3,$L487*1&lt;=$G$4,$I487*$J487&gt;0,OR($I487&lt;&gt;$I488,$L487-$L488&gt;25),IF(ABS($I487)&gt;10,$I487/POW(10,$J487),$J487/POW(10,$I487))*MAXIFS(Token!$C:$C,Token!$A:$A,$K487)&gt;0.01),$L487/86400+DATE(1970,1,1)+$G$6,)</f>
        <v/>
      </c>
      <c r="B487" s="27" t="str">
        <f t="shared" si="1"/>
        <v/>
      </c>
      <c r="C487" s="14" t="str">
        <f>IF($A487&lt;&gt;"",MINIFS(Merchant!$A:$A,Merchant!$B:$B,$G$2),)</f>
        <v/>
      </c>
      <c r="D487" s="14" t="str">
        <f t="shared" si="2"/>
        <v/>
      </c>
      <c r="E487" s="14" t="str">
        <f t="shared" si="3"/>
        <v/>
      </c>
      <c r="F487" s="7" t="str">
        <f>IF($A487&lt;&gt;"",MAXIFS(Token!$C:$C,Token!$A:$A,$D487),)</f>
        <v/>
      </c>
    </row>
    <row r="488">
      <c r="A488" s="39" t="str">
        <f>IF(AND($L488*1&gt;=$G$3,$L488*1&lt;=$G$4,$I488*$J488&gt;0,OR($I488&lt;&gt;$I489,$L488-$L489&gt;25),IF(ABS($I488)&gt;10,$I488/POW(10,$J488),$J488/POW(10,$I488))*MAXIFS(Token!$C:$C,Token!$A:$A,$K488)&gt;0.01),$L488/86400+DATE(1970,1,1)+$G$6,)</f>
        <v/>
      </c>
      <c r="B488" s="27" t="str">
        <f t="shared" si="1"/>
        <v/>
      </c>
      <c r="C488" s="14" t="str">
        <f>IF($A488&lt;&gt;"",MINIFS(Merchant!$A:$A,Merchant!$B:$B,$G$2),)</f>
        <v/>
      </c>
      <c r="D488" s="14" t="str">
        <f t="shared" si="2"/>
        <v/>
      </c>
      <c r="E488" s="14" t="str">
        <f t="shared" si="3"/>
        <v/>
      </c>
      <c r="F488" s="7" t="str">
        <f>IF($A488&lt;&gt;"",MAXIFS(Token!$C:$C,Token!$A:$A,$D488),)</f>
        <v/>
      </c>
    </row>
    <row r="489">
      <c r="A489" s="39" t="str">
        <f>IF(AND($L489*1&gt;=$G$3,$L489*1&lt;=$G$4,$I489*$J489&gt;0,OR($I489&lt;&gt;$I490,$L489-$L490&gt;25),IF(ABS($I489)&gt;10,$I489/POW(10,$J489),$J489/POW(10,$I489))*MAXIFS(Token!$C:$C,Token!$A:$A,$K489)&gt;0.01),$L489/86400+DATE(1970,1,1)+$G$6,)</f>
        <v/>
      </c>
      <c r="B489" s="27" t="str">
        <f t="shared" si="1"/>
        <v/>
      </c>
      <c r="C489" s="14" t="str">
        <f>IF($A489&lt;&gt;"",MINIFS(Merchant!$A:$A,Merchant!$B:$B,$G$2),)</f>
        <v/>
      </c>
      <c r="D489" s="14" t="str">
        <f t="shared" si="2"/>
        <v/>
      </c>
      <c r="E489" s="14" t="str">
        <f t="shared" si="3"/>
        <v/>
      </c>
      <c r="F489" s="7" t="str">
        <f>IF($A489&lt;&gt;"",MAXIFS(Token!$C:$C,Token!$A:$A,$D489),)</f>
        <v/>
      </c>
    </row>
    <row r="490">
      <c r="A490" s="39" t="str">
        <f>IF(AND($L490*1&gt;=$G$3,$L490*1&lt;=$G$4,$I490*$J490&gt;0,OR($I490&lt;&gt;$I491,$L490-$L491&gt;25),IF(ABS($I490)&gt;10,$I490/POW(10,$J490),$J490/POW(10,$I490))*MAXIFS(Token!$C:$C,Token!$A:$A,$K490)&gt;0.01),$L490/86400+DATE(1970,1,1)+$G$6,)</f>
        <v/>
      </c>
      <c r="B490" s="27" t="str">
        <f t="shared" si="1"/>
        <v/>
      </c>
      <c r="C490" s="14" t="str">
        <f>IF($A490&lt;&gt;"",MINIFS(Merchant!$A:$A,Merchant!$B:$B,$G$2),)</f>
        <v/>
      </c>
      <c r="D490" s="14" t="str">
        <f t="shared" si="2"/>
        <v/>
      </c>
      <c r="E490" s="14" t="str">
        <f t="shared" si="3"/>
        <v/>
      </c>
      <c r="F490" s="7" t="str">
        <f>IF($A490&lt;&gt;"",MAXIFS(Token!$C:$C,Token!$A:$A,$D490),)</f>
        <v/>
      </c>
    </row>
    <row r="491">
      <c r="A491" s="39" t="str">
        <f>IF(AND($L491*1&gt;=$G$3,$L491*1&lt;=$G$4,$I491*$J491&gt;0,OR($I491&lt;&gt;$I492,$L491-$L492&gt;25),IF(ABS($I491)&gt;10,$I491/POW(10,$J491),$J491/POW(10,$I491))*MAXIFS(Token!$C:$C,Token!$A:$A,$K491)&gt;0.01),$L491/86400+DATE(1970,1,1)+$G$6,)</f>
        <v/>
      </c>
      <c r="B491" s="27" t="str">
        <f t="shared" si="1"/>
        <v/>
      </c>
      <c r="C491" s="14" t="str">
        <f>IF($A491&lt;&gt;"",MINIFS(Merchant!$A:$A,Merchant!$B:$B,$G$2),)</f>
        <v/>
      </c>
      <c r="D491" s="14" t="str">
        <f t="shared" si="2"/>
        <v/>
      </c>
      <c r="E491" s="14" t="str">
        <f t="shared" si="3"/>
        <v/>
      </c>
      <c r="F491" s="7" t="str">
        <f>IF($A491&lt;&gt;"",MAXIFS(Token!$C:$C,Token!$A:$A,$D491),)</f>
        <v/>
      </c>
    </row>
    <row r="492">
      <c r="A492" s="39" t="str">
        <f>IF(AND($L492*1&gt;=$G$3,$L492*1&lt;=$G$4,$I492*$J492&gt;0,OR($I492&lt;&gt;$I493,$L492-$L493&gt;25),IF(ABS($I492)&gt;10,$I492/POW(10,$J492),$J492/POW(10,$I492))*MAXIFS(Token!$C:$C,Token!$A:$A,$K492)&gt;0.01),$L492/86400+DATE(1970,1,1)+$G$6,)</f>
        <v/>
      </c>
      <c r="B492" s="27" t="str">
        <f t="shared" si="1"/>
        <v/>
      </c>
      <c r="C492" s="14" t="str">
        <f>IF($A492&lt;&gt;"",MINIFS(Merchant!$A:$A,Merchant!$B:$B,$G$2),)</f>
        <v/>
      </c>
      <c r="D492" s="14" t="str">
        <f t="shared" si="2"/>
        <v/>
      </c>
      <c r="E492" s="14" t="str">
        <f t="shared" si="3"/>
        <v/>
      </c>
      <c r="F492" s="7" t="str">
        <f>IF($A492&lt;&gt;"",MAXIFS(Token!$C:$C,Token!$A:$A,$D492),)</f>
        <v/>
      </c>
    </row>
    <row r="493">
      <c r="A493" s="39" t="str">
        <f>IF(AND($L493*1&gt;=$G$3,$L493*1&lt;=$G$4,$I493*$J493&gt;0,OR($I493&lt;&gt;$I494,$L493-$L494&gt;25),IF(ABS($I493)&gt;10,$I493/POW(10,$J493),$J493/POW(10,$I493))*MAXIFS(Token!$C:$C,Token!$A:$A,$K493)&gt;0.01),$L493/86400+DATE(1970,1,1)+$G$6,)</f>
        <v/>
      </c>
      <c r="B493" s="27" t="str">
        <f t="shared" si="1"/>
        <v/>
      </c>
      <c r="C493" s="14" t="str">
        <f>IF($A493&lt;&gt;"",MINIFS(Merchant!$A:$A,Merchant!$B:$B,$G$2),)</f>
        <v/>
      </c>
      <c r="D493" s="14" t="str">
        <f t="shared" si="2"/>
        <v/>
      </c>
      <c r="E493" s="14" t="str">
        <f t="shared" si="3"/>
        <v/>
      </c>
      <c r="F493" s="7" t="str">
        <f>IF($A493&lt;&gt;"",MAXIFS(Token!$C:$C,Token!$A:$A,$D493),)</f>
        <v/>
      </c>
    </row>
    <row r="494">
      <c r="A494" s="39" t="str">
        <f>IF(AND($L494*1&gt;=$G$3,$L494*1&lt;=$G$4,$I494*$J494&gt;0,OR($I494&lt;&gt;$I495,$L494-$L495&gt;25),IF(ABS($I494)&gt;10,$I494/POW(10,$J494),$J494/POW(10,$I494))*MAXIFS(Token!$C:$C,Token!$A:$A,$K494)&gt;0.01),$L494/86400+DATE(1970,1,1)+$G$6,)</f>
        <v/>
      </c>
      <c r="B494" s="27" t="str">
        <f t="shared" si="1"/>
        <v/>
      </c>
      <c r="C494" s="14" t="str">
        <f>IF($A494&lt;&gt;"",MINIFS(Merchant!$A:$A,Merchant!$B:$B,$G$2),)</f>
        <v/>
      </c>
      <c r="D494" s="14" t="str">
        <f t="shared" si="2"/>
        <v/>
      </c>
      <c r="E494" s="14" t="str">
        <f t="shared" si="3"/>
        <v/>
      </c>
      <c r="F494" s="7" t="str">
        <f>IF($A494&lt;&gt;"",MAXIFS(Token!$C:$C,Token!$A:$A,$D494),)</f>
        <v/>
      </c>
    </row>
    <row r="495">
      <c r="A495" s="39" t="str">
        <f>IF(AND($L495*1&gt;=$G$3,$L495*1&lt;=$G$4,$I495*$J495&gt;0,OR($I495&lt;&gt;$I496,$L495-$L496&gt;25),IF(ABS($I495)&gt;10,$I495/POW(10,$J495),$J495/POW(10,$I495))*MAXIFS(Token!$C:$C,Token!$A:$A,$K495)&gt;0.01),$L495/86400+DATE(1970,1,1)+$G$6,)</f>
        <v/>
      </c>
      <c r="B495" s="27" t="str">
        <f t="shared" si="1"/>
        <v/>
      </c>
      <c r="C495" s="14" t="str">
        <f>IF($A495&lt;&gt;"",MINIFS(Merchant!$A:$A,Merchant!$B:$B,$G$2),)</f>
        <v/>
      </c>
      <c r="D495" s="14" t="str">
        <f t="shared" si="2"/>
        <v/>
      </c>
      <c r="E495" s="14" t="str">
        <f t="shared" si="3"/>
        <v/>
      </c>
      <c r="F495" s="7" t="str">
        <f>IF($A495&lt;&gt;"",MAXIFS(Token!$C:$C,Token!$A:$A,$D495),)</f>
        <v/>
      </c>
    </row>
    <row r="496">
      <c r="A496" s="39" t="str">
        <f>IF(AND($L496*1&gt;=$G$3,$L496*1&lt;=$G$4,$I496*$J496&gt;0,OR($I496&lt;&gt;$I497,$L496-$L497&gt;25),IF(ABS($I496)&gt;10,$I496/POW(10,$J496),$J496/POW(10,$I496))*MAXIFS(Token!$C:$C,Token!$A:$A,$K496)&gt;0.01),$L496/86400+DATE(1970,1,1)+$G$6,)</f>
        <v/>
      </c>
      <c r="B496" s="27" t="str">
        <f t="shared" si="1"/>
        <v/>
      </c>
      <c r="C496" s="14" t="str">
        <f>IF($A496&lt;&gt;"",MINIFS(Merchant!$A:$A,Merchant!$B:$B,$G$2),)</f>
        <v/>
      </c>
      <c r="D496" s="14" t="str">
        <f t="shared" si="2"/>
        <v/>
      </c>
      <c r="E496" s="14" t="str">
        <f t="shared" si="3"/>
        <v/>
      </c>
      <c r="F496" s="7" t="str">
        <f>IF($A496&lt;&gt;"",MAXIFS(Token!$C:$C,Token!$A:$A,$D496),)</f>
        <v/>
      </c>
    </row>
    <row r="497">
      <c r="A497" s="39" t="str">
        <f>IF(AND($L497*1&gt;=$G$3,$L497*1&lt;=$G$4,$I497*$J497&gt;0,OR($I497&lt;&gt;$I498,$L497-$L498&gt;25),IF(ABS($I497)&gt;10,$I497/POW(10,$J497),$J497/POW(10,$I497))*MAXIFS(Token!$C:$C,Token!$A:$A,$K497)&gt;0.01),$L497/86400+DATE(1970,1,1)+$G$6,)</f>
        <v/>
      </c>
      <c r="B497" s="27" t="str">
        <f t="shared" si="1"/>
        <v/>
      </c>
      <c r="C497" s="14" t="str">
        <f>IF($A497&lt;&gt;"",MINIFS(Merchant!$A:$A,Merchant!$B:$B,$G$2),)</f>
        <v/>
      </c>
      <c r="D497" s="14" t="str">
        <f t="shared" si="2"/>
        <v/>
      </c>
      <c r="E497" s="14" t="str">
        <f t="shared" si="3"/>
        <v/>
      </c>
      <c r="F497" s="7" t="str">
        <f>IF($A497&lt;&gt;"",MAXIFS(Token!$C:$C,Token!$A:$A,$D497),)</f>
        <v/>
      </c>
    </row>
    <row r="498">
      <c r="A498" s="39" t="str">
        <f>IF(AND($L498*1&gt;=$G$3,$L498*1&lt;=$G$4,$I498*$J498&gt;0,OR($I498&lt;&gt;$I499,$L498-$L499&gt;25),IF(ABS($I498)&gt;10,$I498/POW(10,$J498),$J498/POW(10,$I498))*MAXIFS(Token!$C:$C,Token!$A:$A,$K498)&gt;0.01),$L498/86400+DATE(1970,1,1)+$G$6,)</f>
        <v/>
      </c>
      <c r="B498" s="27" t="str">
        <f t="shared" si="1"/>
        <v/>
      </c>
      <c r="C498" s="14" t="str">
        <f>IF($A498&lt;&gt;"",MINIFS(Merchant!$A:$A,Merchant!$B:$B,$G$2),)</f>
        <v/>
      </c>
      <c r="D498" s="14" t="str">
        <f t="shared" si="2"/>
        <v/>
      </c>
      <c r="E498" s="14" t="str">
        <f t="shared" si="3"/>
        <v/>
      </c>
      <c r="F498" s="7" t="str">
        <f>IF($A498&lt;&gt;"",MAXIFS(Token!$C:$C,Token!$A:$A,$D498),)</f>
        <v/>
      </c>
    </row>
    <row r="499">
      <c r="A499" s="39" t="str">
        <f>IF(AND($L499*1&gt;=$G$3,$L499*1&lt;=$G$4,$I499*$J499&gt;0,OR($I499&lt;&gt;$I500,$L499-$L500&gt;25),IF(ABS($I499)&gt;10,$I499/POW(10,$J499),$J499/POW(10,$I499))*MAXIFS(Token!$C:$C,Token!$A:$A,$K499)&gt;0.01),$L499/86400+DATE(1970,1,1)+$G$6,)</f>
        <v/>
      </c>
      <c r="B499" s="27" t="str">
        <f t="shared" si="1"/>
        <v/>
      </c>
      <c r="C499" s="14" t="str">
        <f>IF($A499&lt;&gt;"",MINIFS(Merchant!$A:$A,Merchant!$B:$B,$G$2),)</f>
        <v/>
      </c>
      <c r="D499" s="14" t="str">
        <f t="shared" si="2"/>
        <v/>
      </c>
      <c r="E499" s="14" t="str">
        <f t="shared" si="3"/>
        <v/>
      </c>
      <c r="F499" s="7" t="str">
        <f>IF($A499&lt;&gt;"",MAXIFS(Token!$C:$C,Token!$A:$A,$D499),)</f>
        <v/>
      </c>
    </row>
    <row r="500">
      <c r="A500" s="39" t="str">
        <f>IF(AND($L500*1&gt;=$G$3,$L500*1&lt;=$G$4,$I500*$J500&gt;0,OR($I500&lt;&gt;$I501,$L500-$L501&gt;25),IF(ABS($I500)&gt;10,$I500/POW(10,$J500),$J500/POW(10,$I500))*MAXIFS(Token!$C:$C,Token!$A:$A,$K500)&gt;0.01),$L500/86400+DATE(1970,1,1)+$G$6,)</f>
        <v/>
      </c>
      <c r="B500" s="27" t="str">
        <f t="shared" si="1"/>
        <v/>
      </c>
      <c r="C500" s="14" t="str">
        <f>IF($A500&lt;&gt;"",MINIFS(Merchant!$A:$A,Merchant!$B:$B,$G$2),)</f>
        <v/>
      </c>
      <c r="D500" s="14" t="str">
        <f t="shared" si="2"/>
        <v/>
      </c>
      <c r="E500" s="14" t="str">
        <f t="shared" si="3"/>
        <v/>
      </c>
      <c r="F500" s="7" t="str">
        <f>IF($A500&lt;&gt;"",MAXIFS(Token!$C:$C,Token!$A:$A,$D500),)</f>
        <v/>
      </c>
    </row>
    <row r="501">
      <c r="A501" s="39" t="str">
        <f>IF(AND($L501*1&gt;=$G$3,$L501*1&lt;=$G$4,$I501*$J501&gt;0,OR($I501&lt;&gt;$I502,$L501-$L502&gt;25),IF(ABS($I501)&gt;10,$I501/POW(10,$J501),$J501/POW(10,$I501))*MAXIFS(Token!$C:$C,Token!$A:$A,$K501)&gt;0.01),$L501/86400+DATE(1970,1,1)+$G$6,)</f>
        <v/>
      </c>
      <c r="B501" s="27" t="str">
        <f t="shared" si="1"/>
        <v/>
      </c>
      <c r="C501" s="14" t="str">
        <f>IF($A501&lt;&gt;"",MINIFS(Merchant!$A:$A,Merchant!$B:$B,$G$2),)</f>
        <v/>
      </c>
      <c r="D501" s="14" t="str">
        <f t="shared" si="2"/>
        <v/>
      </c>
      <c r="E501" s="14" t="str">
        <f t="shared" si="3"/>
        <v/>
      </c>
      <c r="F501" s="7" t="str">
        <f>IF($A501&lt;&gt;"",MAXIFS(Token!$C:$C,Token!$A:$A,$D501),)</f>
        <v/>
      </c>
    </row>
    <row r="502">
      <c r="A502" s="39" t="str">
        <f>IF(AND($L502*1&gt;=$G$3,$L502*1&lt;=$G$4,$I502*$J502&gt;0,OR($I502&lt;&gt;$I503,$L502-$L503&gt;25),IF(ABS($I502)&gt;10,$I502/POW(10,$J502),$J502/POW(10,$I502))*MAXIFS(Token!$C:$C,Token!$A:$A,$K502)&gt;0.01),$L502/86400+DATE(1970,1,1)+$G$6,)</f>
        <v/>
      </c>
      <c r="B502" s="27" t="str">
        <f t="shared" si="1"/>
        <v/>
      </c>
      <c r="C502" s="14" t="str">
        <f>IF($A502&lt;&gt;"",MINIFS(Merchant!$A:$A,Merchant!$B:$B,$G$2),)</f>
        <v/>
      </c>
      <c r="D502" s="14" t="str">
        <f t="shared" si="2"/>
        <v/>
      </c>
      <c r="E502" s="14" t="str">
        <f t="shared" si="3"/>
        <v/>
      </c>
      <c r="F502" s="7" t="str">
        <f>IF($A502&lt;&gt;"",MAXIFS(Token!$C:$C,Token!$A:$A,$D502),)</f>
        <v/>
      </c>
    </row>
    <row r="503">
      <c r="A503" s="39" t="str">
        <f>IF(AND($L503*1&gt;=$G$3,$L503*1&lt;=$G$4,$I503*$J503&gt;0,OR($I503&lt;&gt;$I504,$L503-$L504&gt;25),IF(ABS($I503)&gt;10,$I503/POW(10,$J503),$J503/POW(10,$I503))*MAXIFS(Token!$C:$C,Token!$A:$A,$K503)&gt;0.01),$L503/86400+DATE(1970,1,1)+$G$6,)</f>
        <v/>
      </c>
      <c r="B503" s="27" t="str">
        <f t="shared" si="1"/>
        <v/>
      </c>
      <c r="C503" s="14" t="str">
        <f>IF($A503&lt;&gt;"",MINIFS(Merchant!$A:$A,Merchant!$B:$B,$G$2),)</f>
        <v/>
      </c>
      <c r="D503" s="14" t="str">
        <f t="shared" si="2"/>
        <v/>
      </c>
      <c r="E503" s="14" t="str">
        <f t="shared" si="3"/>
        <v/>
      </c>
      <c r="F503" s="7" t="str">
        <f>IF($A503&lt;&gt;"",MAXIFS(Token!$C:$C,Token!$A:$A,$D503),)</f>
        <v/>
      </c>
    </row>
    <row r="504">
      <c r="A504" s="39" t="str">
        <f>IF(AND($L504*1&gt;=$G$3,$L504*1&lt;=$G$4,$I504*$J504&gt;0,OR($I504&lt;&gt;$I505,$L504-$L505&gt;25),IF(ABS($I504)&gt;10,$I504/POW(10,$J504),$J504/POW(10,$I504))*MAXIFS(Token!$C:$C,Token!$A:$A,$K504)&gt;0.01),$L504/86400+DATE(1970,1,1)+$G$6,)</f>
        <v/>
      </c>
      <c r="B504" s="27" t="str">
        <f t="shared" si="1"/>
        <v/>
      </c>
      <c r="C504" s="14" t="str">
        <f>IF($A504&lt;&gt;"",MINIFS(Merchant!$A:$A,Merchant!$B:$B,$G$2),)</f>
        <v/>
      </c>
      <c r="D504" s="14" t="str">
        <f t="shared" si="2"/>
        <v/>
      </c>
      <c r="E504" s="14" t="str">
        <f t="shared" si="3"/>
        <v/>
      </c>
      <c r="F504" s="7" t="str">
        <f>IF($A504&lt;&gt;"",MAXIFS(Token!$C:$C,Token!$A:$A,$D504),)</f>
        <v/>
      </c>
    </row>
    <row r="505">
      <c r="A505" s="39" t="str">
        <f>IF(AND($L505*1&gt;=$G$3,$L505*1&lt;=$G$4,$I505*$J505&gt;0,OR($I505&lt;&gt;$I506,$L505-$L506&gt;25),IF(ABS($I505)&gt;10,$I505/POW(10,$J505),$J505/POW(10,$I505))*MAXIFS(Token!$C:$C,Token!$A:$A,$K505)&gt;0.01),$L505/86400+DATE(1970,1,1)+$G$6,)</f>
        <v/>
      </c>
      <c r="B505" s="27" t="str">
        <f t="shared" si="1"/>
        <v/>
      </c>
      <c r="C505" s="14" t="str">
        <f>IF($A505&lt;&gt;"",MINIFS(Merchant!$A:$A,Merchant!$B:$B,$G$2),)</f>
        <v/>
      </c>
      <c r="D505" s="14" t="str">
        <f t="shared" si="2"/>
        <v/>
      </c>
      <c r="E505" s="14" t="str">
        <f t="shared" si="3"/>
        <v/>
      </c>
      <c r="F505" s="7" t="str">
        <f>IF($A505&lt;&gt;"",MAXIFS(Token!$C:$C,Token!$A:$A,$D505),)</f>
        <v/>
      </c>
    </row>
    <row r="506">
      <c r="A506" s="39" t="str">
        <f>IF(AND($L506*1&gt;=$G$3,$L506*1&lt;=$G$4,$I506*$J506&gt;0,OR($I506&lt;&gt;$I507,$L506-$L507&gt;25),IF(ABS($I506)&gt;10,$I506/POW(10,$J506),$J506/POW(10,$I506))*MAXIFS(Token!$C:$C,Token!$A:$A,$K506)&gt;0.01),$L506/86400+DATE(1970,1,1)+$G$6,)</f>
        <v/>
      </c>
      <c r="B506" s="27" t="str">
        <f t="shared" si="1"/>
        <v/>
      </c>
      <c r="C506" s="14" t="str">
        <f>IF($A506&lt;&gt;"",MINIFS(Merchant!$A:$A,Merchant!$B:$B,$G$2),)</f>
        <v/>
      </c>
      <c r="D506" s="14" t="str">
        <f t="shared" si="2"/>
        <v/>
      </c>
      <c r="E506" s="14" t="str">
        <f t="shared" si="3"/>
        <v/>
      </c>
      <c r="F506" s="7" t="str">
        <f>IF($A506&lt;&gt;"",MAXIFS(Token!$C:$C,Token!$A:$A,$D506),)</f>
        <v/>
      </c>
    </row>
    <row r="507">
      <c r="A507" s="39" t="str">
        <f>IF(AND($L507*1&gt;=$G$3,$L507*1&lt;=$G$4,$I507*$J507&gt;0,OR($I507&lt;&gt;$I508,$L507-$L508&gt;25),IF(ABS($I507)&gt;10,$I507/POW(10,$J507),$J507/POW(10,$I507))*MAXIFS(Token!$C:$C,Token!$A:$A,$K507)&gt;0.01),$L507/86400+DATE(1970,1,1)+$G$6,)</f>
        <v/>
      </c>
      <c r="B507" s="27" t="str">
        <f t="shared" si="1"/>
        <v/>
      </c>
      <c r="C507" s="14" t="str">
        <f>IF($A507&lt;&gt;"",MINIFS(Merchant!$A:$A,Merchant!$B:$B,$G$2),)</f>
        <v/>
      </c>
      <c r="D507" s="14" t="str">
        <f t="shared" si="2"/>
        <v/>
      </c>
      <c r="E507" s="14" t="str">
        <f t="shared" si="3"/>
        <v/>
      </c>
      <c r="F507" s="7" t="str">
        <f>IF($A507&lt;&gt;"",MAXIFS(Token!$C:$C,Token!$A:$A,$D507),)</f>
        <v/>
      </c>
    </row>
    <row r="508">
      <c r="A508" s="39" t="str">
        <f>IF(AND($L508*1&gt;=$G$3,$L508*1&lt;=$G$4,$I508*$J508&gt;0,OR($I508&lt;&gt;$I509,$L508-$L509&gt;25),IF(ABS($I508)&gt;10,$I508/POW(10,$J508),$J508/POW(10,$I508))*MAXIFS(Token!$C:$C,Token!$A:$A,$K508)&gt;0.01),$L508/86400+DATE(1970,1,1)+$G$6,)</f>
        <v/>
      </c>
      <c r="B508" s="27" t="str">
        <f t="shared" si="1"/>
        <v/>
      </c>
      <c r="C508" s="14" t="str">
        <f>IF($A508&lt;&gt;"",MINIFS(Merchant!$A:$A,Merchant!$B:$B,$G$2),)</f>
        <v/>
      </c>
      <c r="D508" s="14" t="str">
        <f t="shared" si="2"/>
        <v/>
      </c>
      <c r="E508" s="14" t="str">
        <f t="shared" si="3"/>
        <v/>
      </c>
      <c r="F508" s="7" t="str">
        <f>IF($A508&lt;&gt;"",MAXIFS(Token!$C:$C,Token!$A:$A,$D508),)</f>
        <v/>
      </c>
    </row>
    <row r="509">
      <c r="A509" s="39" t="str">
        <f>IF(AND($L509*1&gt;=$G$3,$L509*1&lt;=$G$4,$I509*$J509&gt;0,OR($I509&lt;&gt;$I510,$L509-$L510&gt;25),IF(ABS($I509)&gt;10,$I509/POW(10,$J509),$J509/POW(10,$I509))*MAXIFS(Token!$C:$C,Token!$A:$A,$K509)&gt;0.01),$L509/86400+DATE(1970,1,1)+$G$6,)</f>
        <v/>
      </c>
      <c r="B509" s="27" t="str">
        <f t="shared" si="1"/>
        <v/>
      </c>
      <c r="C509" s="14" t="str">
        <f>IF($A509&lt;&gt;"",MINIFS(Merchant!$A:$A,Merchant!$B:$B,$G$2),)</f>
        <v/>
      </c>
      <c r="D509" s="14" t="str">
        <f t="shared" si="2"/>
        <v/>
      </c>
      <c r="E509" s="14" t="str">
        <f t="shared" si="3"/>
        <v/>
      </c>
      <c r="F509" s="7" t="str">
        <f>IF($A509&lt;&gt;"",MAXIFS(Token!$C:$C,Token!$A:$A,$D509),)</f>
        <v/>
      </c>
    </row>
    <row r="510">
      <c r="A510" s="39" t="str">
        <f>IF(AND($L510*1&gt;=$G$3,$L510*1&lt;=$G$4,$I510*$J510&gt;0,OR($I510&lt;&gt;$I511,$L510-$L511&gt;25),IF(ABS($I510)&gt;10,$I510/POW(10,$J510),$J510/POW(10,$I510))*MAXIFS(Token!$C:$C,Token!$A:$A,$K510)&gt;0.01),$L510/86400+DATE(1970,1,1)+$G$6,)</f>
        <v/>
      </c>
      <c r="B510" s="27" t="str">
        <f t="shared" si="1"/>
        <v/>
      </c>
      <c r="C510" s="14" t="str">
        <f>IF($A510&lt;&gt;"",MINIFS(Merchant!$A:$A,Merchant!$B:$B,$G$2),)</f>
        <v/>
      </c>
      <c r="D510" s="14" t="str">
        <f t="shared" si="2"/>
        <v/>
      </c>
      <c r="E510" s="14" t="str">
        <f t="shared" si="3"/>
        <v/>
      </c>
      <c r="F510" s="7" t="str">
        <f>IF($A510&lt;&gt;"",MAXIFS(Token!$C:$C,Token!$A:$A,$D510),)</f>
        <v/>
      </c>
    </row>
    <row r="511">
      <c r="A511" s="39" t="str">
        <f>IF(AND($L511*1&gt;=$G$3,$L511*1&lt;=$G$4,$I511*$J511&gt;0,OR($I511&lt;&gt;$I512,$L511-$L512&gt;25),IF(ABS($I511)&gt;10,$I511/POW(10,$J511),$J511/POW(10,$I511))*MAXIFS(Token!$C:$C,Token!$A:$A,$K511)&gt;0.01),$L511/86400+DATE(1970,1,1)+$G$6,)</f>
        <v/>
      </c>
      <c r="B511" s="27" t="str">
        <f t="shared" si="1"/>
        <v/>
      </c>
      <c r="C511" s="14" t="str">
        <f>IF($A511&lt;&gt;"",MINIFS(Merchant!$A:$A,Merchant!$B:$B,$G$2),)</f>
        <v/>
      </c>
      <c r="D511" s="14" t="str">
        <f t="shared" si="2"/>
        <v/>
      </c>
      <c r="E511" s="14" t="str">
        <f t="shared" si="3"/>
        <v/>
      </c>
      <c r="F511" s="7" t="str">
        <f>IF($A511&lt;&gt;"",MAXIFS(Token!$C:$C,Token!$A:$A,$D511),)</f>
        <v/>
      </c>
    </row>
    <row r="512">
      <c r="A512" s="39" t="str">
        <f>IF(AND($L512*1&gt;=$G$3,$L512*1&lt;=$G$4,$I512*$J512&gt;0,OR($I512&lt;&gt;$I513,$L512-$L513&gt;25),IF(ABS($I512)&gt;10,$I512/POW(10,$J512),$J512/POW(10,$I512))*MAXIFS(Token!$C:$C,Token!$A:$A,$K512)&gt;0.01),$L512/86400+DATE(1970,1,1)+$G$6,)</f>
        <v/>
      </c>
      <c r="B512" s="27" t="str">
        <f t="shared" si="1"/>
        <v/>
      </c>
      <c r="C512" s="14" t="str">
        <f>IF($A512&lt;&gt;"",MINIFS(Merchant!$A:$A,Merchant!$B:$B,$G$2),)</f>
        <v/>
      </c>
      <c r="D512" s="14" t="str">
        <f t="shared" si="2"/>
        <v/>
      </c>
      <c r="E512" s="14" t="str">
        <f t="shared" si="3"/>
        <v/>
      </c>
      <c r="F512" s="7" t="str">
        <f>IF($A512&lt;&gt;"",MAXIFS(Token!$C:$C,Token!$A:$A,$D512),)</f>
        <v/>
      </c>
    </row>
    <row r="513">
      <c r="A513" s="39" t="str">
        <f>IF(AND($L513*1&gt;=$G$3,$L513*1&lt;=$G$4,$I513*$J513&gt;0,OR($I513&lt;&gt;$I514,$L513-$L514&gt;25),IF(ABS($I513)&gt;10,$I513/POW(10,$J513),$J513/POW(10,$I513))*MAXIFS(Token!$C:$C,Token!$A:$A,$K513)&gt;0.01),$L513/86400+DATE(1970,1,1)+$G$6,)</f>
        <v/>
      </c>
      <c r="B513" s="27" t="str">
        <f t="shared" si="1"/>
        <v/>
      </c>
      <c r="C513" s="14" t="str">
        <f>IF($A513&lt;&gt;"",MINIFS(Merchant!$A:$A,Merchant!$B:$B,$G$2),)</f>
        <v/>
      </c>
      <c r="D513" s="14" t="str">
        <f t="shared" si="2"/>
        <v/>
      </c>
      <c r="E513" s="14" t="str">
        <f t="shared" si="3"/>
        <v/>
      </c>
      <c r="F513" s="7" t="str">
        <f>IF($A513&lt;&gt;"",MAXIFS(Token!$C:$C,Token!$A:$A,$D513),)</f>
        <v/>
      </c>
    </row>
    <row r="514">
      <c r="A514" s="39" t="str">
        <f>IF(AND($L514*1&gt;=$G$3,$L514*1&lt;=$G$4,$I514*$J514&gt;0,OR($I514&lt;&gt;$I515,$L514-$L515&gt;25),IF(ABS($I514)&gt;10,$I514/POW(10,$J514),$J514/POW(10,$I514))*MAXIFS(Token!$C:$C,Token!$A:$A,$K514)&gt;0.01),$L514/86400+DATE(1970,1,1)+$G$6,)</f>
        <v/>
      </c>
      <c r="B514" s="27" t="str">
        <f t="shared" si="1"/>
        <v/>
      </c>
      <c r="C514" s="14" t="str">
        <f>IF($A514&lt;&gt;"",MINIFS(Merchant!$A:$A,Merchant!$B:$B,$G$2),)</f>
        <v/>
      </c>
      <c r="D514" s="14" t="str">
        <f t="shared" si="2"/>
        <v/>
      </c>
      <c r="E514" s="14" t="str">
        <f t="shared" si="3"/>
        <v/>
      </c>
      <c r="F514" s="7" t="str">
        <f>IF($A514&lt;&gt;"",MAXIFS(Token!$C:$C,Token!$A:$A,$D514),)</f>
        <v/>
      </c>
    </row>
    <row r="515">
      <c r="A515" s="39" t="str">
        <f>IF(AND($L515*1&gt;=$G$3,$L515*1&lt;=$G$4,$I515*$J515&gt;0,OR($I515&lt;&gt;$I516,$L515-$L516&gt;25),IF(ABS($I515)&gt;10,$I515/POW(10,$J515),$J515/POW(10,$I515))*MAXIFS(Token!$C:$C,Token!$A:$A,$K515)&gt;0.01),$L515/86400+DATE(1970,1,1)+$G$6,)</f>
        <v/>
      </c>
      <c r="B515" s="27" t="str">
        <f t="shared" si="1"/>
        <v/>
      </c>
      <c r="C515" s="14" t="str">
        <f>IF($A515&lt;&gt;"",MINIFS(Merchant!$A:$A,Merchant!$B:$B,$G$2),)</f>
        <v/>
      </c>
      <c r="D515" s="14" t="str">
        <f t="shared" si="2"/>
        <v/>
      </c>
      <c r="E515" s="14" t="str">
        <f t="shared" si="3"/>
        <v/>
      </c>
      <c r="F515" s="7" t="str">
        <f>IF($A515&lt;&gt;"",MAXIFS(Token!$C:$C,Token!$A:$A,$D515),)</f>
        <v/>
      </c>
    </row>
    <row r="516">
      <c r="A516" s="39" t="str">
        <f>IF(AND($L516*1&gt;=$G$3,$L516*1&lt;=$G$4,$I516*$J516&gt;0,OR($I516&lt;&gt;$I517,$L516-$L517&gt;25),IF(ABS($I516)&gt;10,$I516/POW(10,$J516),$J516/POW(10,$I516))*MAXIFS(Token!$C:$C,Token!$A:$A,$K516)&gt;0.01),$L516/86400+DATE(1970,1,1)+$G$6,)</f>
        <v/>
      </c>
      <c r="B516" s="27" t="str">
        <f t="shared" si="1"/>
        <v/>
      </c>
      <c r="C516" s="14" t="str">
        <f>IF($A516&lt;&gt;"",MINIFS(Merchant!$A:$A,Merchant!$B:$B,$G$2),)</f>
        <v/>
      </c>
      <c r="D516" s="14" t="str">
        <f t="shared" si="2"/>
        <v/>
      </c>
      <c r="E516" s="14" t="str">
        <f t="shared" si="3"/>
        <v/>
      </c>
      <c r="F516" s="7" t="str">
        <f>IF($A516&lt;&gt;"",MAXIFS(Token!$C:$C,Token!$A:$A,$D516),)</f>
        <v/>
      </c>
    </row>
    <row r="517">
      <c r="A517" s="39" t="str">
        <f>IF(AND($L517*1&gt;=$G$3,$L517*1&lt;=$G$4,$I517*$J517&gt;0,OR($I517&lt;&gt;$I518,$L517-$L518&gt;25),IF(ABS($I517)&gt;10,$I517/POW(10,$J517),$J517/POW(10,$I517))*MAXIFS(Token!$C:$C,Token!$A:$A,$K517)&gt;0.01),$L517/86400+DATE(1970,1,1)+$G$6,)</f>
        <v/>
      </c>
      <c r="B517" s="27" t="str">
        <f t="shared" si="1"/>
        <v/>
      </c>
      <c r="C517" s="14" t="str">
        <f>IF($A517&lt;&gt;"",MINIFS(Merchant!$A:$A,Merchant!$B:$B,$G$2),)</f>
        <v/>
      </c>
      <c r="D517" s="14" t="str">
        <f t="shared" si="2"/>
        <v/>
      </c>
      <c r="E517" s="14" t="str">
        <f t="shared" si="3"/>
        <v/>
      </c>
      <c r="F517" s="7" t="str">
        <f>IF($A517&lt;&gt;"",MAXIFS(Token!$C:$C,Token!$A:$A,$D517),)</f>
        <v/>
      </c>
    </row>
    <row r="518">
      <c r="A518" s="39" t="str">
        <f>IF(AND($L518*1&gt;=$G$3,$L518*1&lt;=$G$4,$I518*$J518&gt;0,OR($I518&lt;&gt;$I519,$L518-$L519&gt;25),IF(ABS($I518)&gt;10,$I518/POW(10,$J518),$J518/POW(10,$I518))*MAXIFS(Token!$C:$C,Token!$A:$A,$K518)&gt;0.01),$L518/86400+DATE(1970,1,1)+$G$6,)</f>
        <v/>
      </c>
      <c r="B518" s="27" t="str">
        <f t="shared" si="1"/>
        <v/>
      </c>
      <c r="C518" s="14" t="str">
        <f>IF($A518&lt;&gt;"",MINIFS(Merchant!$A:$A,Merchant!$B:$B,$G$2),)</f>
        <v/>
      </c>
      <c r="D518" s="14" t="str">
        <f t="shared" si="2"/>
        <v/>
      </c>
      <c r="E518" s="14" t="str">
        <f t="shared" si="3"/>
        <v/>
      </c>
      <c r="F518" s="7" t="str">
        <f>IF($A518&lt;&gt;"",MAXIFS(Token!$C:$C,Token!$A:$A,$D518),)</f>
        <v/>
      </c>
    </row>
    <row r="519">
      <c r="A519" s="39" t="str">
        <f>IF(AND($L519*1&gt;=$G$3,$L519*1&lt;=$G$4,$I519*$J519&gt;0,OR($I519&lt;&gt;$I520,$L519-$L520&gt;25),IF(ABS($I519)&gt;10,$I519/POW(10,$J519),$J519/POW(10,$I519))*MAXIFS(Token!$C:$C,Token!$A:$A,$K519)&gt;0.01),$L519/86400+DATE(1970,1,1)+$G$6,)</f>
        <v/>
      </c>
      <c r="B519" s="27" t="str">
        <f t="shared" si="1"/>
        <v/>
      </c>
      <c r="C519" s="14" t="str">
        <f>IF($A519&lt;&gt;"",MINIFS(Merchant!$A:$A,Merchant!$B:$B,$G$2),)</f>
        <v/>
      </c>
      <c r="D519" s="14" t="str">
        <f t="shared" si="2"/>
        <v/>
      </c>
      <c r="E519" s="14" t="str">
        <f t="shared" si="3"/>
        <v/>
      </c>
      <c r="F519" s="7" t="str">
        <f>IF($A519&lt;&gt;"",MAXIFS(Token!$C:$C,Token!$A:$A,$D519),)</f>
        <v/>
      </c>
    </row>
    <row r="520">
      <c r="A520" s="39" t="str">
        <f>IF(AND($L520*1&gt;=$G$3,$L520*1&lt;=$G$4,$I520*$J520&gt;0,OR($I520&lt;&gt;$I521,$L520-$L521&gt;25),IF(ABS($I520)&gt;10,$I520/POW(10,$J520),$J520/POW(10,$I520))*MAXIFS(Token!$C:$C,Token!$A:$A,$K520)&gt;0.01),$L520/86400+DATE(1970,1,1)+$G$6,)</f>
        <v/>
      </c>
      <c r="B520" s="27" t="str">
        <f t="shared" si="1"/>
        <v/>
      </c>
      <c r="C520" s="14" t="str">
        <f>IF($A520&lt;&gt;"",MINIFS(Merchant!$A:$A,Merchant!$B:$B,$G$2),)</f>
        <v/>
      </c>
      <c r="D520" s="14" t="str">
        <f t="shared" si="2"/>
        <v/>
      </c>
      <c r="E520" s="14" t="str">
        <f t="shared" si="3"/>
        <v/>
      </c>
      <c r="F520" s="7" t="str">
        <f>IF($A520&lt;&gt;"",MAXIFS(Token!$C:$C,Token!$A:$A,$D520),)</f>
        <v/>
      </c>
    </row>
    <row r="521">
      <c r="A521" s="39" t="str">
        <f>IF(AND($L521*1&gt;=$G$3,$L521*1&lt;=$G$4,$I521*$J521&gt;0,OR($I521&lt;&gt;$I522,$L521-$L522&gt;25),IF(ABS($I521)&gt;10,$I521/POW(10,$J521),$J521/POW(10,$I521))*MAXIFS(Token!$C:$C,Token!$A:$A,$K521)&gt;0.01),$L521/86400+DATE(1970,1,1)+$G$6,)</f>
        <v/>
      </c>
      <c r="B521" s="27" t="str">
        <f t="shared" si="1"/>
        <v/>
      </c>
      <c r="C521" s="14" t="str">
        <f>IF($A521&lt;&gt;"",MINIFS(Merchant!$A:$A,Merchant!$B:$B,$G$2),)</f>
        <v/>
      </c>
      <c r="D521" s="14" t="str">
        <f t="shared" si="2"/>
        <v/>
      </c>
      <c r="E521" s="14" t="str">
        <f t="shared" si="3"/>
        <v/>
      </c>
      <c r="F521" s="7" t="str">
        <f>IF($A521&lt;&gt;"",MAXIFS(Token!$C:$C,Token!$A:$A,$D521),)</f>
        <v/>
      </c>
    </row>
    <row r="522">
      <c r="A522" s="39" t="str">
        <f>IF(AND($L522*1&gt;=$G$3,$L522*1&lt;=$G$4,$I522*$J522&gt;0,OR($I522&lt;&gt;$I523,$L522-$L523&gt;25),IF(ABS($I522)&gt;10,$I522/POW(10,$J522),$J522/POW(10,$I522))*MAXIFS(Token!$C:$C,Token!$A:$A,$K522)&gt;0.01),$L522/86400+DATE(1970,1,1)+$G$6,)</f>
        <v/>
      </c>
      <c r="B522" s="27" t="str">
        <f t="shared" si="1"/>
        <v/>
      </c>
      <c r="C522" s="14" t="str">
        <f>IF($A522&lt;&gt;"",MINIFS(Merchant!$A:$A,Merchant!$B:$B,$G$2),)</f>
        <v/>
      </c>
      <c r="D522" s="14" t="str">
        <f t="shared" si="2"/>
        <v/>
      </c>
      <c r="E522" s="14" t="str">
        <f t="shared" si="3"/>
        <v/>
      </c>
      <c r="F522" s="7" t="str">
        <f>IF($A522&lt;&gt;"",MAXIFS(Token!$C:$C,Token!$A:$A,$D522),)</f>
        <v/>
      </c>
    </row>
    <row r="523">
      <c r="A523" s="39" t="str">
        <f>IF(AND($L523*1&gt;=$G$3,$L523*1&lt;=$G$4,$I523*$J523&gt;0,OR($I523&lt;&gt;$I524,$L523-$L524&gt;25),IF(ABS($I523)&gt;10,$I523/POW(10,$J523),$J523/POW(10,$I523))*MAXIFS(Token!$C:$C,Token!$A:$A,$K523)&gt;0.01),$L523/86400+DATE(1970,1,1)+$G$6,)</f>
        <v/>
      </c>
      <c r="B523" s="27" t="str">
        <f t="shared" si="1"/>
        <v/>
      </c>
      <c r="C523" s="14" t="str">
        <f>IF($A523&lt;&gt;"",MINIFS(Merchant!$A:$A,Merchant!$B:$B,$G$2),)</f>
        <v/>
      </c>
      <c r="D523" s="14" t="str">
        <f t="shared" si="2"/>
        <v/>
      </c>
      <c r="E523" s="14" t="str">
        <f t="shared" si="3"/>
        <v/>
      </c>
      <c r="F523" s="7" t="str">
        <f>IF($A523&lt;&gt;"",MAXIFS(Token!$C:$C,Token!$A:$A,$D523),)</f>
        <v/>
      </c>
    </row>
    <row r="524">
      <c r="A524" s="39" t="str">
        <f>IF(AND($L524*1&gt;=$G$3,$L524*1&lt;=$G$4,$I524*$J524&gt;0,OR($I524&lt;&gt;$I525,$L524-$L525&gt;25),IF(ABS($I524)&gt;10,$I524/POW(10,$J524),$J524/POW(10,$I524))*MAXIFS(Token!$C:$C,Token!$A:$A,$K524)&gt;0.01),$L524/86400+DATE(1970,1,1)+$G$6,)</f>
        <v/>
      </c>
      <c r="B524" s="27" t="str">
        <f t="shared" si="1"/>
        <v/>
      </c>
      <c r="C524" s="14" t="str">
        <f>IF($A524&lt;&gt;"",MINIFS(Merchant!$A:$A,Merchant!$B:$B,$G$2),)</f>
        <v/>
      </c>
      <c r="D524" s="14" t="str">
        <f t="shared" si="2"/>
        <v/>
      </c>
      <c r="E524" s="14" t="str">
        <f t="shared" si="3"/>
        <v/>
      </c>
      <c r="F524" s="7" t="str">
        <f>IF($A524&lt;&gt;"",MAXIFS(Token!$C:$C,Token!$A:$A,$D524),)</f>
        <v/>
      </c>
    </row>
    <row r="525">
      <c r="A525" s="39" t="str">
        <f>IF(AND($L525*1&gt;=$G$3,$L525*1&lt;=$G$4,$I525*$J525&gt;0,OR($I525&lt;&gt;$I526,$L525-$L526&gt;25),IF(ABS($I525)&gt;10,$I525/POW(10,$J525),$J525/POW(10,$I525))*MAXIFS(Token!$C:$C,Token!$A:$A,$K525)&gt;0.01),$L525/86400+DATE(1970,1,1)+$G$6,)</f>
        <v/>
      </c>
      <c r="B525" s="27" t="str">
        <f t="shared" si="1"/>
        <v/>
      </c>
      <c r="C525" s="14" t="str">
        <f>IF($A525&lt;&gt;"",MINIFS(Merchant!$A:$A,Merchant!$B:$B,$G$2),)</f>
        <v/>
      </c>
      <c r="D525" s="14" t="str">
        <f t="shared" si="2"/>
        <v/>
      </c>
      <c r="E525" s="14" t="str">
        <f t="shared" si="3"/>
        <v/>
      </c>
      <c r="F525" s="7" t="str">
        <f>IF($A525&lt;&gt;"",MAXIFS(Token!$C:$C,Token!$A:$A,$D525),)</f>
        <v/>
      </c>
    </row>
    <row r="526">
      <c r="A526" s="39" t="str">
        <f>IF(AND($L526*1&gt;=$G$3,$L526*1&lt;=$G$4,$I526*$J526&gt;0,OR($I526&lt;&gt;$I527,$L526-$L527&gt;25),IF(ABS($I526)&gt;10,$I526/POW(10,$J526),$J526/POW(10,$I526))*MAXIFS(Token!$C:$C,Token!$A:$A,$K526)&gt;0.01),$L526/86400+DATE(1970,1,1)+$G$6,)</f>
        <v/>
      </c>
      <c r="B526" s="27" t="str">
        <f t="shared" si="1"/>
        <v/>
      </c>
      <c r="C526" s="14" t="str">
        <f>IF($A526&lt;&gt;"",MINIFS(Merchant!$A:$A,Merchant!$B:$B,$G$2),)</f>
        <v/>
      </c>
      <c r="D526" s="14" t="str">
        <f t="shared" si="2"/>
        <v/>
      </c>
      <c r="E526" s="14" t="str">
        <f t="shared" si="3"/>
        <v/>
      </c>
      <c r="F526" s="7" t="str">
        <f>IF($A526&lt;&gt;"",MAXIFS(Token!$C:$C,Token!$A:$A,$D526),)</f>
        <v/>
      </c>
    </row>
    <row r="527">
      <c r="A527" s="39" t="str">
        <f>IF(AND($L527*1&gt;=$G$3,$L527*1&lt;=$G$4,$I527*$J527&gt;0,OR($I527&lt;&gt;$I528,$L527-$L528&gt;25),IF(ABS($I527)&gt;10,$I527/POW(10,$J527),$J527/POW(10,$I527))*MAXIFS(Token!$C:$C,Token!$A:$A,$K527)&gt;0.01),$L527/86400+DATE(1970,1,1)+$G$6,)</f>
        <v/>
      </c>
      <c r="B527" s="27" t="str">
        <f t="shared" si="1"/>
        <v/>
      </c>
      <c r="C527" s="14" t="str">
        <f>IF($A527&lt;&gt;"",MINIFS(Merchant!$A:$A,Merchant!$B:$B,$G$2),)</f>
        <v/>
      </c>
      <c r="D527" s="14" t="str">
        <f t="shared" si="2"/>
        <v/>
      </c>
      <c r="E527" s="14" t="str">
        <f t="shared" si="3"/>
        <v/>
      </c>
      <c r="F527" s="7" t="str">
        <f>IF($A527&lt;&gt;"",MAXIFS(Token!$C:$C,Token!$A:$A,$D527),)</f>
        <v/>
      </c>
    </row>
    <row r="528">
      <c r="A528" s="39" t="str">
        <f>IF(AND($L528*1&gt;=$G$3,$L528*1&lt;=$G$4,$I528*$J528&gt;0,OR($I528&lt;&gt;$I529,$L528-$L529&gt;25),IF(ABS($I528)&gt;10,$I528/POW(10,$J528),$J528/POW(10,$I528))*MAXIFS(Token!$C:$C,Token!$A:$A,$K528)&gt;0.01),$L528/86400+DATE(1970,1,1)+$G$6,)</f>
        <v/>
      </c>
      <c r="B528" s="27" t="str">
        <f t="shared" si="1"/>
        <v/>
      </c>
      <c r="C528" s="14" t="str">
        <f>IF($A528&lt;&gt;"",MINIFS(Merchant!$A:$A,Merchant!$B:$B,$G$2),)</f>
        <v/>
      </c>
      <c r="D528" s="14" t="str">
        <f t="shared" si="2"/>
        <v/>
      </c>
      <c r="E528" s="14" t="str">
        <f t="shared" si="3"/>
        <v/>
      </c>
      <c r="F528" s="7" t="str">
        <f>IF($A528&lt;&gt;"",MAXIFS(Token!$C:$C,Token!$A:$A,$D528),)</f>
        <v/>
      </c>
    </row>
    <row r="529">
      <c r="A529" s="39" t="str">
        <f>IF(AND($L529*1&gt;=$G$3,$L529*1&lt;=$G$4,$I529*$J529&gt;0,OR($I529&lt;&gt;$I530,$L529-$L530&gt;25),IF(ABS($I529)&gt;10,$I529/POW(10,$J529),$J529/POW(10,$I529))*MAXIFS(Token!$C:$C,Token!$A:$A,$K529)&gt;0.01),$L529/86400+DATE(1970,1,1)+$G$6,)</f>
        <v/>
      </c>
      <c r="B529" s="27" t="str">
        <f t="shared" si="1"/>
        <v/>
      </c>
      <c r="C529" s="14" t="str">
        <f>IF($A529&lt;&gt;"",MINIFS(Merchant!$A:$A,Merchant!$B:$B,$G$2),)</f>
        <v/>
      </c>
      <c r="D529" s="14" t="str">
        <f t="shared" si="2"/>
        <v/>
      </c>
      <c r="E529" s="14" t="str">
        <f t="shared" si="3"/>
        <v/>
      </c>
      <c r="F529" s="7" t="str">
        <f>IF($A529&lt;&gt;"",MAXIFS(Token!$C:$C,Token!$A:$A,$D529),)</f>
        <v/>
      </c>
    </row>
    <row r="530">
      <c r="A530" s="39" t="str">
        <f>IF(AND($L530*1&gt;=$G$3,$L530*1&lt;=$G$4,$I530*$J530&gt;0,OR($I530&lt;&gt;$I531,$L530-$L531&gt;25),IF(ABS($I530)&gt;10,$I530/POW(10,$J530),$J530/POW(10,$I530))*MAXIFS(Token!$C:$C,Token!$A:$A,$K530)&gt;0.01),$L530/86400+DATE(1970,1,1)+$G$6,)</f>
        <v/>
      </c>
      <c r="B530" s="27" t="str">
        <f t="shared" si="1"/>
        <v/>
      </c>
      <c r="C530" s="14" t="str">
        <f>IF($A530&lt;&gt;"",MINIFS(Merchant!$A:$A,Merchant!$B:$B,$G$2),)</f>
        <v/>
      </c>
      <c r="D530" s="14" t="str">
        <f t="shared" si="2"/>
        <v/>
      </c>
      <c r="E530" s="14" t="str">
        <f t="shared" si="3"/>
        <v/>
      </c>
      <c r="F530" s="7" t="str">
        <f>IF($A530&lt;&gt;"",MAXIFS(Token!$C:$C,Token!$A:$A,$D530),)</f>
        <v/>
      </c>
    </row>
    <row r="531">
      <c r="A531" s="39" t="str">
        <f>IF(AND($L531*1&gt;=$G$3,$L531*1&lt;=$G$4,$I531*$J531&gt;0,OR($I531&lt;&gt;$I532,$L531-$L532&gt;25),IF(ABS($I531)&gt;10,$I531/POW(10,$J531),$J531/POW(10,$I531))*MAXIFS(Token!$C:$C,Token!$A:$A,$K531)&gt;0.01),$L531/86400+DATE(1970,1,1)+$G$6,)</f>
        <v/>
      </c>
      <c r="B531" s="27" t="str">
        <f t="shared" si="1"/>
        <v/>
      </c>
      <c r="C531" s="14" t="str">
        <f>IF($A531&lt;&gt;"",MINIFS(Merchant!$A:$A,Merchant!$B:$B,$G$2),)</f>
        <v/>
      </c>
      <c r="D531" s="14" t="str">
        <f t="shared" si="2"/>
        <v/>
      </c>
      <c r="E531" s="14" t="str">
        <f t="shared" si="3"/>
        <v/>
      </c>
      <c r="F531" s="7" t="str">
        <f>IF($A531&lt;&gt;"",MAXIFS(Token!$C:$C,Token!$A:$A,$D531),)</f>
        <v/>
      </c>
    </row>
    <row r="532">
      <c r="A532" s="39" t="str">
        <f>IF(AND($L532*1&gt;=$G$3,$L532*1&lt;=$G$4,$I532*$J532&gt;0,OR($I532&lt;&gt;$I533,$L532-$L533&gt;25),IF(ABS($I532)&gt;10,$I532/POW(10,$J532),$J532/POW(10,$I532))*MAXIFS(Token!$C:$C,Token!$A:$A,$K532)&gt;0.01),$L532/86400+DATE(1970,1,1)+$G$6,)</f>
        <v/>
      </c>
      <c r="B532" s="27" t="str">
        <f t="shared" si="1"/>
        <v/>
      </c>
      <c r="C532" s="14" t="str">
        <f>IF($A532&lt;&gt;"",MINIFS(Merchant!$A:$A,Merchant!$B:$B,$G$2),)</f>
        <v/>
      </c>
      <c r="D532" s="14" t="str">
        <f t="shared" si="2"/>
        <v/>
      </c>
      <c r="E532" s="14" t="str">
        <f t="shared" si="3"/>
        <v/>
      </c>
      <c r="F532" s="7" t="str">
        <f>IF($A532&lt;&gt;"",MAXIFS(Token!$C:$C,Token!$A:$A,$D532),)</f>
        <v/>
      </c>
    </row>
    <row r="533">
      <c r="A533" s="39" t="str">
        <f>IF(AND($L533*1&gt;=$G$3,$L533*1&lt;=$G$4,$I533*$J533&gt;0,OR($I533&lt;&gt;$I534,$L533-$L534&gt;25),IF(ABS($I533)&gt;10,$I533/POW(10,$J533),$J533/POW(10,$I533))*MAXIFS(Token!$C:$C,Token!$A:$A,$K533)&gt;0.01),$L533/86400+DATE(1970,1,1)+$G$6,)</f>
        <v/>
      </c>
      <c r="B533" s="27" t="str">
        <f t="shared" si="1"/>
        <v/>
      </c>
      <c r="C533" s="14" t="str">
        <f>IF($A533&lt;&gt;"",MINIFS(Merchant!$A:$A,Merchant!$B:$B,$G$2),)</f>
        <v/>
      </c>
      <c r="D533" s="14" t="str">
        <f t="shared" si="2"/>
        <v/>
      </c>
      <c r="E533" s="14" t="str">
        <f t="shared" si="3"/>
        <v/>
      </c>
      <c r="F533" s="7" t="str">
        <f>IF($A533&lt;&gt;"",MAXIFS(Token!$C:$C,Token!$A:$A,$D533),)</f>
        <v/>
      </c>
    </row>
    <row r="534">
      <c r="A534" s="39" t="str">
        <f>IF(AND($L534*1&gt;=$G$3,$L534*1&lt;=$G$4,$I534*$J534&gt;0,OR($I534&lt;&gt;$I535,$L534-$L535&gt;25),IF(ABS($I534)&gt;10,$I534/POW(10,$J534),$J534/POW(10,$I534))*MAXIFS(Token!$C:$C,Token!$A:$A,$K534)&gt;0.01),$L534/86400+DATE(1970,1,1)+$G$6,)</f>
        <v/>
      </c>
      <c r="B534" s="27" t="str">
        <f t="shared" si="1"/>
        <v/>
      </c>
      <c r="C534" s="14" t="str">
        <f>IF($A534&lt;&gt;"",MINIFS(Merchant!$A:$A,Merchant!$B:$B,$G$2),)</f>
        <v/>
      </c>
      <c r="D534" s="14" t="str">
        <f t="shared" si="2"/>
        <v/>
      </c>
      <c r="E534" s="14" t="str">
        <f t="shared" si="3"/>
        <v/>
      </c>
      <c r="F534" s="7" t="str">
        <f>IF($A534&lt;&gt;"",MAXIFS(Token!$C:$C,Token!$A:$A,$D534),)</f>
        <v/>
      </c>
    </row>
    <row r="535">
      <c r="A535" s="39" t="str">
        <f>IF(AND($L535*1&gt;=$G$3,$L535*1&lt;=$G$4,$I535*$J535&gt;0,OR($I535&lt;&gt;$I536,$L535-$L536&gt;25),IF(ABS($I535)&gt;10,$I535/POW(10,$J535),$J535/POW(10,$I535))*MAXIFS(Token!$C:$C,Token!$A:$A,$K535)&gt;0.01),$L535/86400+DATE(1970,1,1)+$G$6,)</f>
        <v/>
      </c>
      <c r="B535" s="27" t="str">
        <f t="shared" si="1"/>
        <v/>
      </c>
      <c r="C535" s="14" t="str">
        <f>IF($A535&lt;&gt;"",MINIFS(Merchant!$A:$A,Merchant!$B:$B,$G$2),)</f>
        <v/>
      </c>
      <c r="D535" s="14" t="str">
        <f t="shared" si="2"/>
        <v/>
      </c>
      <c r="E535" s="14" t="str">
        <f t="shared" si="3"/>
        <v/>
      </c>
      <c r="F535" s="7" t="str">
        <f>IF($A535&lt;&gt;"",MAXIFS(Token!$C:$C,Token!$A:$A,$D535),)</f>
        <v/>
      </c>
    </row>
    <row r="536">
      <c r="A536" s="39" t="str">
        <f>IF(AND($L536*1&gt;=$G$3,$L536*1&lt;=$G$4,$I536*$J536&gt;0,OR($I536&lt;&gt;$I537,$L536-$L537&gt;25),IF(ABS($I536)&gt;10,$I536/POW(10,$J536),$J536/POW(10,$I536))*MAXIFS(Token!$C:$C,Token!$A:$A,$K536)&gt;0.01),$L536/86400+DATE(1970,1,1)+$G$6,)</f>
        <v/>
      </c>
      <c r="B536" s="27" t="str">
        <f t="shared" si="1"/>
        <v/>
      </c>
      <c r="C536" s="14" t="str">
        <f>IF($A536&lt;&gt;"",MINIFS(Merchant!$A:$A,Merchant!$B:$B,$G$2),)</f>
        <v/>
      </c>
      <c r="D536" s="14" t="str">
        <f t="shared" si="2"/>
        <v/>
      </c>
      <c r="E536" s="14" t="str">
        <f t="shared" si="3"/>
        <v/>
      </c>
      <c r="F536" s="7" t="str">
        <f>IF($A536&lt;&gt;"",MAXIFS(Token!$C:$C,Token!$A:$A,$D536),)</f>
        <v/>
      </c>
    </row>
    <row r="537">
      <c r="A537" s="39" t="str">
        <f>IF(AND($L537*1&gt;=$G$3,$L537*1&lt;=$G$4,$I537*$J537&gt;0,OR($I537&lt;&gt;$I538,$L537-$L538&gt;25),IF(ABS($I537)&gt;10,$I537/POW(10,$J537),$J537/POW(10,$I537))*MAXIFS(Token!$C:$C,Token!$A:$A,$K537)&gt;0.01),$L537/86400+DATE(1970,1,1)+$G$6,)</f>
        <v/>
      </c>
      <c r="B537" s="27" t="str">
        <f t="shared" si="1"/>
        <v/>
      </c>
      <c r="C537" s="14" t="str">
        <f>IF($A537&lt;&gt;"",MINIFS(Merchant!$A:$A,Merchant!$B:$B,$G$2),)</f>
        <v/>
      </c>
      <c r="D537" s="14" t="str">
        <f t="shared" si="2"/>
        <v/>
      </c>
      <c r="E537" s="14" t="str">
        <f t="shared" si="3"/>
        <v/>
      </c>
      <c r="F537" s="7" t="str">
        <f>IF($A537&lt;&gt;"",MAXIFS(Token!$C:$C,Token!$A:$A,$D537),)</f>
        <v/>
      </c>
    </row>
    <row r="538">
      <c r="A538" s="39" t="str">
        <f>IF(AND($L538*1&gt;=$G$3,$L538*1&lt;=$G$4,$I538*$J538&gt;0,OR($I538&lt;&gt;$I539,$L538-$L539&gt;25),IF(ABS($I538)&gt;10,$I538/POW(10,$J538),$J538/POW(10,$I538))*MAXIFS(Token!$C:$C,Token!$A:$A,$K538)&gt;0.01),$L538/86400+DATE(1970,1,1)+$G$6,)</f>
        <v/>
      </c>
      <c r="B538" s="27" t="str">
        <f t="shared" si="1"/>
        <v/>
      </c>
      <c r="C538" s="14" t="str">
        <f>IF($A538&lt;&gt;"",MINIFS(Merchant!$A:$A,Merchant!$B:$B,$G$2),)</f>
        <v/>
      </c>
      <c r="D538" s="14" t="str">
        <f t="shared" si="2"/>
        <v/>
      </c>
      <c r="E538" s="14" t="str">
        <f t="shared" si="3"/>
        <v/>
      </c>
      <c r="F538" s="7" t="str">
        <f>IF($A538&lt;&gt;"",MAXIFS(Token!$C:$C,Token!$A:$A,$D538),)</f>
        <v/>
      </c>
    </row>
    <row r="539">
      <c r="A539" s="39" t="str">
        <f>IF(AND($L539*1&gt;=$G$3,$L539*1&lt;=$G$4,$I539*$J539&gt;0,OR($I539&lt;&gt;$I540,$L539-$L540&gt;25),IF(ABS($I539)&gt;10,$I539/POW(10,$J539),$J539/POW(10,$I539))*MAXIFS(Token!$C:$C,Token!$A:$A,$K539)&gt;0.01),$L539/86400+DATE(1970,1,1)+$G$6,)</f>
        <v/>
      </c>
      <c r="B539" s="27" t="str">
        <f t="shared" si="1"/>
        <v/>
      </c>
      <c r="C539" s="14" t="str">
        <f>IF($A539&lt;&gt;"",MINIFS(Merchant!$A:$A,Merchant!$B:$B,$G$2),)</f>
        <v/>
      </c>
      <c r="D539" s="14" t="str">
        <f t="shared" si="2"/>
        <v/>
      </c>
      <c r="E539" s="14" t="str">
        <f t="shared" si="3"/>
        <v/>
      </c>
      <c r="F539" s="7" t="str">
        <f>IF($A539&lt;&gt;"",MAXIFS(Token!$C:$C,Token!$A:$A,$D539),)</f>
        <v/>
      </c>
    </row>
    <row r="540">
      <c r="A540" s="39" t="str">
        <f>IF(AND($L540*1&gt;=$G$3,$L540*1&lt;=$G$4,$I540*$J540&gt;0,OR($I540&lt;&gt;$I541,$L540-$L541&gt;25),IF(ABS($I540)&gt;10,$I540/POW(10,$J540),$J540/POW(10,$I540))*MAXIFS(Token!$C:$C,Token!$A:$A,$K540)&gt;0.01),$L540/86400+DATE(1970,1,1)+$G$6,)</f>
        <v/>
      </c>
      <c r="B540" s="27" t="str">
        <f t="shared" si="1"/>
        <v/>
      </c>
      <c r="C540" s="14" t="str">
        <f>IF($A540&lt;&gt;"",MINIFS(Merchant!$A:$A,Merchant!$B:$B,$G$2),)</f>
        <v/>
      </c>
      <c r="D540" s="14" t="str">
        <f t="shared" si="2"/>
        <v/>
      </c>
      <c r="E540" s="14" t="str">
        <f t="shared" si="3"/>
        <v/>
      </c>
      <c r="F540" s="7" t="str">
        <f>IF($A540&lt;&gt;"",MAXIFS(Token!$C:$C,Token!$A:$A,$D540),)</f>
        <v/>
      </c>
    </row>
    <row r="541">
      <c r="A541" s="39" t="str">
        <f>IF(AND($L541*1&gt;=$G$3,$L541*1&lt;=$G$4,$I541*$J541&gt;0,OR($I541&lt;&gt;$I542,$L541-$L542&gt;25),IF(ABS($I541)&gt;10,$I541/POW(10,$J541),$J541/POW(10,$I541))*MAXIFS(Token!$C:$C,Token!$A:$A,$K541)&gt;0.01),$L541/86400+DATE(1970,1,1)+$G$6,)</f>
        <v/>
      </c>
      <c r="B541" s="27" t="str">
        <f t="shared" si="1"/>
        <v/>
      </c>
      <c r="C541" s="14" t="str">
        <f>IF($A541&lt;&gt;"",MINIFS(Merchant!$A:$A,Merchant!$B:$B,$G$2),)</f>
        <v/>
      </c>
      <c r="D541" s="14" t="str">
        <f t="shared" si="2"/>
        <v/>
      </c>
      <c r="E541" s="14" t="str">
        <f t="shared" si="3"/>
        <v/>
      </c>
      <c r="F541" s="7" t="str">
        <f>IF($A541&lt;&gt;"",MAXIFS(Token!$C:$C,Token!$A:$A,$D541),)</f>
        <v/>
      </c>
    </row>
    <row r="542">
      <c r="A542" s="39" t="str">
        <f>IF(AND($L542*1&gt;=$G$3,$L542*1&lt;=$G$4,$I542*$J542&gt;0,OR($I542&lt;&gt;$I543,$L542-$L543&gt;25),IF(ABS($I542)&gt;10,$I542/POW(10,$J542),$J542/POW(10,$I542))*MAXIFS(Token!$C:$C,Token!$A:$A,$K542)&gt;0.01),$L542/86400+DATE(1970,1,1)+$G$6,)</f>
        <v/>
      </c>
      <c r="B542" s="27" t="str">
        <f t="shared" si="1"/>
        <v/>
      </c>
      <c r="C542" s="14" t="str">
        <f>IF($A542&lt;&gt;"",MINIFS(Merchant!$A:$A,Merchant!$B:$B,$G$2),)</f>
        <v/>
      </c>
      <c r="D542" s="14" t="str">
        <f t="shared" si="2"/>
        <v/>
      </c>
      <c r="E542" s="14" t="str">
        <f t="shared" si="3"/>
        <v/>
      </c>
      <c r="F542" s="7" t="str">
        <f>IF($A542&lt;&gt;"",MAXIFS(Token!$C:$C,Token!$A:$A,$D542),)</f>
        <v/>
      </c>
    </row>
    <row r="543">
      <c r="A543" s="39" t="str">
        <f>IF(AND($L543*1&gt;=$G$3,$L543*1&lt;=$G$4,$I543*$J543&gt;0,OR($I543&lt;&gt;$I544,$L543-$L544&gt;25),IF(ABS($I543)&gt;10,$I543/POW(10,$J543),$J543/POW(10,$I543))*MAXIFS(Token!$C:$C,Token!$A:$A,$K543)&gt;0.01),$L543/86400+DATE(1970,1,1)+$G$6,)</f>
        <v/>
      </c>
      <c r="B543" s="27" t="str">
        <f t="shared" si="1"/>
        <v/>
      </c>
      <c r="C543" s="14" t="str">
        <f>IF($A543&lt;&gt;"",MINIFS(Merchant!$A:$A,Merchant!$B:$B,$G$2),)</f>
        <v/>
      </c>
      <c r="D543" s="14" t="str">
        <f t="shared" si="2"/>
        <v/>
      </c>
      <c r="E543" s="14" t="str">
        <f t="shared" si="3"/>
        <v/>
      </c>
      <c r="F543" s="7" t="str">
        <f>IF($A543&lt;&gt;"",MAXIFS(Token!$C:$C,Token!$A:$A,$D543),)</f>
        <v/>
      </c>
    </row>
    <row r="544">
      <c r="A544" s="39" t="str">
        <f>IF(AND($L544*1&gt;=$G$3,$L544*1&lt;=$G$4,$I544*$J544&gt;0,OR($I544&lt;&gt;$I545,$L544-$L545&gt;25),IF(ABS($I544)&gt;10,$I544/POW(10,$J544),$J544/POW(10,$I544))*MAXIFS(Token!$C:$C,Token!$A:$A,$K544)&gt;0.01),$L544/86400+DATE(1970,1,1)+$G$6,)</f>
        <v/>
      </c>
      <c r="B544" s="27" t="str">
        <f t="shared" si="1"/>
        <v/>
      </c>
      <c r="C544" s="14" t="str">
        <f>IF($A544&lt;&gt;"",MINIFS(Merchant!$A:$A,Merchant!$B:$B,$G$2),)</f>
        <v/>
      </c>
      <c r="D544" s="14" t="str">
        <f t="shared" si="2"/>
        <v/>
      </c>
      <c r="E544" s="14" t="str">
        <f t="shared" si="3"/>
        <v/>
      </c>
      <c r="F544" s="7" t="str">
        <f>IF($A544&lt;&gt;"",MAXIFS(Token!$C:$C,Token!$A:$A,$D544),)</f>
        <v/>
      </c>
    </row>
    <row r="545">
      <c r="A545" s="39" t="str">
        <f>IF(AND($L545*1&gt;=$G$3,$L545*1&lt;=$G$4,$I545*$J545&gt;0,OR($I545&lt;&gt;$I546,$L545-$L546&gt;25),IF(ABS($I545)&gt;10,$I545/POW(10,$J545),$J545/POW(10,$I545))*MAXIFS(Token!$C:$C,Token!$A:$A,$K545)&gt;0.01),$L545/86400+DATE(1970,1,1)+$G$6,)</f>
        <v/>
      </c>
      <c r="B545" s="27" t="str">
        <f t="shared" si="1"/>
        <v/>
      </c>
      <c r="C545" s="14" t="str">
        <f>IF($A545&lt;&gt;"",MINIFS(Merchant!$A:$A,Merchant!$B:$B,$G$2),)</f>
        <v/>
      </c>
      <c r="D545" s="14" t="str">
        <f t="shared" si="2"/>
        <v/>
      </c>
      <c r="E545" s="14" t="str">
        <f t="shared" si="3"/>
        <v/>
      </c>
      <c r="F545" s="7" t="str">
        <f>IF($A545&lt;&gt;"",MAXIFS(Token!$C:$C,Token!$A:$A,$D545),)</f>
        <v/>
      </c>
    </row>
    <row r="546">
      <c r="A546" s="39" t="str">
        <f>IF(AND($L546*1&gt;=$G$3,$L546*1&lt;=$G$4,$I546*$J546&gt;0,OR($I546&lt;&gt;$I547,$L546-$L547&gt;25),IF(ABS($I546)&gt;10,$I546/POW(10,$J546),$J546/POW(10,$I546))*MAXIFS(Token!$C:$C,Token!$A:$A,$K546)&gt;0.01),$L546/86400+DATE(1970,1,1)+$G$6,)</f>
        <v/>
      </c>
      <c r="B546" s="27" t="str">
        <f t="shared" si="1"/>
        <v/>
      </c>
      <c r="C546" s="14" t="str">
        <f>IF($A546&lt;&gt;"",MINIFS(Merchant!$A:$A,Merchant!$B:$B,$G$2),)</f>
        <v/>
      </c>
      <c r="D546" s="14" t="str">
        <f t="shared" si="2"/>
        <v/>
      </c>
      <c r="E546" s="14" t="str">
        <f t="shared" si="3"/>
        <v/>
      </c>
      <c r="F546" s="7" t="str">
        <f>IF($A546&lt;&gt;"",MAXIFS(Token!$C:$C,Token!$A:$A,$D546),)</f>
        <v/>
      </c>
    </row>
    <row r="547">
      <c r="A547" s="39" t="str">
        <f>IF(AND($L547*1&gt;=$G$3,$L547*1&lt;=$G$4,$I547*$J547&gt;0,OR($I547&lt;&gt;$I548,$L547-$L548&gt;25),IF(ABS($I547)&gt;10,$I547/POW(10,$J547),$J547/POW(10,$I547))*MAXIFS(Token!$C:$C,Token!$A:$A,$K547)&gt;0.01),$L547/86400+DATE(1970,1,1)+$G$6,)</f>
        <v/>
      </c>
      <c r="B547" s="27" t="str">
        <f t="shared" si="1"/>
        <v/>
      </c>
      <c r="C547" s="14" t="str">
        <f>IF($A547&lt;&gt;"",MINIFS(Merchant!$A:$A,Merchant!$B:$B,$G$2),)</f>
        <v/>
      </c>
      <c r="D547" s="14" t="str">
        <f t="shared" si="2"/>
        <v/>
      </c>
      <c r="E547" s="14" t="str">
        <f t="shared" si="3"/>
        <v/>
      </c>
      <c r="F547" s="7" t="str">
        <f>IF($A547&lt;&gt;"",MAXIFS(Token!$C:$C,Token!$A:$A,$D547),)</f>
        <v/>
      </c>
    </row>
    <row r="548">
      <c r="A548" s="39" t="str">
        <f>IF(AND($L548*1&gt;=$G$3,$L548*1&lt;=$G$4,$I548*$J548&gt;0,OR($I548&lt;&gt;$I549,$L548-$L549&gt;25),IF(ABS($I548)&gt;10,$I548/POW(10,$J548),$J548/POW(10,$I548))*MAXIFS(Token!$C:$C,Token!$A:$A,$K548)&gt;0.01),$L548/86400+DATE(1970,1,1)+$G$6,)</f>
        <v/>
      </c>
      <c r="B548" s="27" t="str">
        <f t="shared" si="1"/>
        <v/>
      </c>
      <c r="C548" s="14" t="str">
        <f>IF($A548&lt;&gt;"",MINIFS(Merchant!$A:$A,Merchant!$B:$B,$G$2),)</f>
        <v/>
      </c>
      <c r="D548" s="14" t="str">
        <f t="shared" si="2"/>
        <v/>
      </c>
      <c r="E548" s="14" t="str">
        <f t="shared" si="3"/>
        <v/>
      </c>
      <c r="F548" s="7" t="str">
        <f>IF($A548&lt;&gt;"",MAXIFS(Token!$C:$C,Token!$A:$A,$D548),)</f>
        <v/>
      </c>
    </row>
    <row r="549">
      <c r="A549" s="39" t="str">
        <f>IF(AND($L549*1&gt;=$G$3,$L549*1&lt;=$G$4,$I549*$J549&gt;0,OR($I549&lt;&gt;$I550,$L549-$L550&gt;25),IF(ABS($I549)&gt;10,$I549/POW(10,$J549),$J549/POW(10,$I549))*MAXIFS(Token!$C:$C,Token!$A:$A,$K549)&gt;0.01),$L549/86400+DATE(1970,1,1)+$G$6,)</f>
        <v/>
      </c>
      <c r="B549" s="27" t="str">
        <f t="shared" si="1"/>
        <v/>
      </c>
      <c r="C549" s="14" t="str">
        <f>IF($A549&lt;&gt;"",MINIFS(Merchant!$A:$A,Merchant!$B:$B,$G$2),)</f>
        <v/>
      </c>
      <c r="D549" s="14" t="str">
        <f t="shared" si="2"/>
        <v/>
      </c>
      <c r="E549" s="14" t="str">
        <f t="shared" si="3"/>
        <v/>
      </c>
      <c r="F549" s="7" t="str">
        <f>IF($A549&lt;&gt;"",MAXIFS(Token!$C:$C,Token!$A:$A,$D549),)</f>
        <v/>
      </c>
    </row>
    <row r="550">
      <c r="A550" s="39" t="str">
        <f>IF(AND($L550*1&gt;=$G$3,$L550*1&lt;=$G$4,$I550*$J550&gt;0,OR($I550&lt;&gt;$I551,$L550-$L551&gt;25),IF(ABS($I550)&gt;10,$I550/POW(10,$J550),$J550/POW(10,$I550))*MAXIFS(Token!$C:$C,Token!$A:$A,$K550)&gt;0.01),$L550/86400+DATE(1970,1,1)+$G$6,)</f>
        <v/>
      </c>
      <c r="B550" s="27" t="str">
        <f t="shared" si="1"/>
        <v/>
      </c>
      <c r="C550" s="14" t="str">
        <f>IF($A550&lt;&gt;"",MINIFS(Merchant!$A:$A,Merchant!$B:$B,$G$2),)</f>
        <v/>
      </c>
      <c r="D550" s="14" t="str">
        <f t="shared" si="2"/>
        <v/>
      </c>
      <c r="E550" s="14" t="str">
        <f t="shared" si="3"/>
        <v/>
      </c>
      <c r="F550" s="7" t="str">
        <f>IF($A550&lt;&gt;"",MAXIFS(Token!$C:$C,Token!$A:$A,$D550),)</f>
        <v/>
      </c>
    </row>
    <row r="551">
      <c r="A551" s="39" t="str">
        <f>IF(AND($L551*1&gt;=$G$3,$L551*1&lt;=$G$4,$I551*$J551&gt;0,OR($I551&lt;&gt;$I552,$L551-$L552&gt;25),IF(ABS($I551)&gt;10,$I551/POW(10,$J551),$J551/POW(10,$I551))*MAXIFS(Token!$C:$C,Token!$A:$A,$K551)&gt;0.01),$L551/86400+DATE(1970,1,1)+$G$6,)</f>
        <v/>
      </c>
      <c r="B551" s="27" t="str">
        <f t="shared" si="1"/>
        <v/>
      </c>
      <c r="C551" s="14" t="str">
        <f>IF($A551&lt;&gt;"",MINIFS(Merchant!$A:$A,Merchant!$B:$B,$G$2),)</f>
        <v/>
      </c>
      <c r="D551" s="14" t="str">
        <f t="shared" si="2"/>
        <v/>
      </c>
      <c r="E551" s="14" t="str">
        <f t="shared" si="3"/>
        <v/>
      </c>
      <c r="F551" s="7" t="str">
        <f>IF($A551&lt;&gt;"",MAXIFS(Token!$C:$C,Token!$A:$A,$D551),)</f>
        <v/>
      </c>
    </row>
    <row r="552">
      <c r="A552" s="39" t="str">
        <f>IF(AND($L552*1&gt;=$G$3,$L552*1&lt;=$G$4,$I552*$J552&gt;0,OR($I552&lt;&gt;$I553,$L552-$L553&gt;25),IF(ABS($I552)&gt;10,$I552/POW(10,$J552),$J552/POW(10,$I552))*MAXIFS(Token!$C:$C,Token!$A:$A,$K552)&gt;0.01),$L552/86400+DATE(1970,1,1)+$G$6,)</f>
        <v/>
      </c>
      <c r="B552" s="27" t="str">
        <f t="shared" si="1"/>
        <v/>
      </c>
      <c r="C552" s="14" t="str">
        <f>IF($A552&lt;&gt;"",MINIFS(Merchant!$A:$A,Merchant!$B:$B,$G$2),)</f>
        <v/>
      </c>
      <c r="D552" s="14" t="str">
        <f t="shared" si="2"/>
        <v/>
      </c>
      <c r="E552" s="14" t="str">
        <f t="shared" si="3"/>
        <v/>
      </c>
      <c r="F552" s="7" t="str">
        <f>IF($A552&lt;&gt;"",MAXIFS(Token!$C:$C,Token!$A:$A,$D552),)</f>
        <v/>
      </c>
    </row>
    <row r="553">
      <c r="A553" s="39" t="str">
        <f>IF(AND($L553*1&gt;=$G$3,$L553*1&lt;=$G$4,$I553*$J553&gt;0,OR($I553&lt;&gt;$I554,$L553-$L554&gt;25),IF(ABS($I553)&gt;10,$I553/POW(10,$J553),$J553/POW(10,$I553))*MAXIFS(Token!$C:$C,Token!$A:$A,$K553)&gt;0.01),$L553/86400+DATE(1970,1,1)+$G$6,)</f>
        <v/>
      </c>
      <c r="B553" s="27" t="str">
        <f t="shared" si="1"/>
        <v/>
      </c>
      <c r="C553" s="14" t="str">
        <f>IF($A553&lt;&gt;"",MINIFS(Merchant!$A:$A,Merchant!$B:$B,$G$2),)</f>
        <v/>
      </c>
      <c r="D553" s="14" t="str">
        <f t="shared" si="2"/>
        <v/>
      </c>
      <c r="E553" s="14" t="str">
        <f t="shared" si="3"/>
        <v/>
      </c>
      <c r="F553" s="7" t="str">
        <f>IF($A553&lt;&gt;"",MAXIFS(Token!$C:$C,Token!$A:$A,$D553),)</f>
        <v/>
      </c>
    </row>
    <row r="554">
      <c r="A554" s="39" t="str">
        <f>IF(AND($L554*1&gt;=$G$3,$L554*1&lt;=$G$4,$I554*$J554&gt;0,OR($I554&lt;&gt;$I555,$L554-$L555&gt;25),IF(ABS($I554)&gt;10,$I554/POW(10,$J554),$J554/POW(10,$I554))*MAXIFS(Token!$C:$C,Token!$A:$A,$K554)&gt;0.01),$L554/86400+DATE(1970,1,1)+$G$6,)</f>
        <v/>
      </c>
      <c r="B554" s="27" t="str">
        <f t="shared" si="1"/>
        <v/>
      </c>
      <c r="C554" s="14" t="str">
        <f>IF($A554&lt;&gt;"",MINIFS(Merchant!$A:$A,Merchant!$B:$B,$G$2),)</f>
        <v/>
      </c>
      <c r="D554" s="14" t="str">
        <f t="shared" si="2"/>
        <v/>
      </c>
      <c r="E554" s="14" t="str">
        <f t="shared" si="3"/>
        <v/>
      </c>
      <c r="F554" s="7" t="str">
        <f>IF($A554&lt;&gt;"",MAXIFS(Token!$C:$C,Token!$A:$A,$D554),)</f>
        <v/>
      </c>
    </row>
    <row r="555">
      <c r="A555" s="39" t="str">
        <f>IF(AND($L555*1&gt;=$G$3,$L555*1&lt;=$G$4,$I555*$J555&gt;0,OR($I555&lt;&gt;$I556,$L555-$L556&gt;25),IF(ABS($I555)&gt;10,$I555/POW(10,$J555),$J555/POW(10,$I555))*MAXIFS(Token!$C:$C,Token!$A:$A,$K555)&gt;0.01),$L555/86400+DATE(1970,1,1)+$G$6,)</f>
        <v/>
      </c>
      <c r="B555" s="27" t="str">
        <f t="shared" si="1"/>
        <v/>
      </c>
      <c r="C555" s="14" t="str">
        <f>IF($A555&lt;&gt;"",MINIFS(Merchant!$A:$A,Merchant!$B:$B,$G$2),)</f>
        <v/>
      </c>
      <c r="D555" s="14" t="str">
        <f t="shared" si="2"/>
        <v/>
      </c>
      <c r="E555" s="14" t="str">
        <f t="shared" si="3"/>
        <v/>
      </c>
      <c r="F555" s="7" t="str">
        <f>IF($A555&lt;&gt;"",MAXIFS(Token!$C:$C,Token!$A:$A,$D555),)</f>
        <v/>
      </c>
    </row>
    <row r="556">
      <c r="A556" s="39" t="str">
        <f>IF(AND($L556*1&gt;=$G$3,$L556*1&lt;=$G$4,$I556*$J556&gt;0,OR($I556&lt;&gt;$I557,$L556-$L557&gt;25),IF(ABS($I556)&gt;10,$I556/POW(10,$J556),$J556/POW(10,$I556))*MAXIFS(Token!$C:$C,Token!$A:$A,$K556)&gt;0.01),$L556/86400+DATE(1970,1,1)+$G$6,)</f>
        <v/>
      </c>
      <c r="B556" s="27" t="str">
        <f t="shared" si="1"/>
        <v/>
      </c>
      <c r="C556" s="14" t="str">
        <f>IF($A556&lt;&gt;"",MINIFS(Merchant!$A:$A,Merchant!$B:$B,$G$2),)</f>
        <v/>
      </c>
      <c r="D556" s="14" t="str">
        <f t="shared" si="2"/>
        <v/>
      </c>
      <c r="E556" s="14" t="str">
        <f t="shared" si="3"/>
        <v/>
      </c>
      <c r="F556" s="7" t="str">
        <f>IF($A556&lt;&gt;"",MAXIFS(Token!$C:$C,Token!$A:$A,$D556),)</f>
        <v/>
      </c>
    </row>
    <row r="557">
      <c r="A557" s="39" t="str">
        <f>IF(AND($L557*1&gt;=$G$3,$L557*1&lt;=$G$4,$I557*$J557&gt;0,OR($I557&lt;&gt;$I558,$L557-$L558&gt;25),IF(ABS($I557)&gt;10,$I557/POW(10,$J557),$J557/POW(10,$I557))*MAXIFS(Token!$C:$C,Token!$A:$A,$K557)&gt;0.01),$L557/86400+DATE(1970,1,1)+$G$6,)</f>
        <v/>
      </c>
      <c r="B557" s="27" t="str">
        <f t="shared" si="1"/>
        <v/>
      </c>
      <c r="C557" s="14" t="str">
        <f>IF($A557&lt;&gt;"",MINIFS(Merchant!$A:$A,Merchant!$B:$B,$G$2),)</f>
        <v/>
      </c>
      <c r="D557" s="14" t="str">
        <f t="shared" si="2"/>
        <v/>
      </c>
      <c r="E557" s="14" t="str">
        <f t="shared" si="3"/>
        <v/>
      </c>
      <c r="F557" s="7" t="str">
        <f>IF($A557&lt;&gt;"",MAXIFS(Token!$C:$C,Token!$A:$A,$D557),)</f>
        <v/>
      </c>
    </row>
    <row r="558">
      <c r="A558" s="39" t="str">
        <f>IF(AND($L558*1&gt;=$G$3,$L558*1&lt;=$G$4,$I558*$J558&gt;0,OR($I558&lt;&gt;$I559,$L558-$L559&gt;25),IF(ABS($I558)&gt;10,$I558/POW(10,$J558),$J558/POW(10,$I558))*MAXIFS(Token!$C:$C,Token!$A:$A,$K558)&gt;0.01),$L558/86400+DATE(1970,1,1)+$G$6,)</f>
        <v/>
      </c>
      <c r="B558" s="27" t="str">
        <f t="shared" si="1"/>
        <v/>
      </c>
      <c r="C558" s="14" t="str">
        <f>IF($A558&lt;&gt;"",MINIFS(Merchant!$A:$A,Merchant!$B:$B,$G$2),)</f>
        <v/>
      </c>
      <c r="D558" s="14" t="str">
        <f t="shared" si="2"/>
        <v/>
      </c>
      <c r="E558" s="14" t="str">
        <f t="shared" si="3"/>
        <v/>
      </c>
      <c r="F558" s="7" t="str">
        <f>IF($A558&lt;&gt;"",MAXIFS(Token!$C:$C,Token!$A:$A,$D558),)</f>
        <v/>
      </c>
    </row>
    <row r="559">
      <c r="A559" s="39" t="str">
        <f>IF(AND($L559*1&gt;=$G$3,$L559*1&lt;=$G$4,$I559*$J559&gt;0,OR($I559&lt;&gt;$I560,$L559-$L560&gt;25),IF(ABS($I559)&gt;10,$I559/POW(10,$J559),$J559/POW(10,$I559))*MAXIFS(Token!$C:$C,Token!$A:$A,$K559)&gt;0.01),$L559/86400+DATE(1970,1,1)+$G$6,)</f>
        <v/>
      </c>
      <c r="B559" s="27" t="str">
        <f t="shared" si="1"/>
        <v/>
      </c>
      <c r="C559" s="14" t="str">
        <f>IF($A559&lt;&gt;"",MINIFS(Merchant!$A:$A,Merchant!$B:$B,$G$2),)</f>
        <v/>
      </c>
      <c r="D559" s="14" t="str">
        <f t="shared" si="2"/>
        <v/>
      </c>
      <c r="E559" s="14" t="str">
        <f t="shared" si="3"/>
        <v/>
      </c>
      <c r="F559" s="7" t="str">
        <f>IF($A559&lt;&gt;"",MAXIFS(Token!$C:$C,Token!$A:$A,$D559),)</f>
        <v/>
      </c>
    </row>
    <row r="560">
      <c r="A560" s="39" t="str">
        <f>IF(AND($L560*1&gt;=$G$3,$L560*1&lt;=$G$4,$I560*$J560&gt;0,OR($I560&lt;&gt;$I561,$L560-$L561&gt;25),IF(ABS($I560)&gt;10,$I560/POW(10,$J560),$J560/POW(10,$I560))*MAXIFS(Token!$C:$C,Token!$A:$A,$K560)&gt;0.01),$L560/86400+DATE(1970,1,1)+$G$6,)</f>
        <v/>
      </c>
      <c r="B560" s="27" t="str">
        <f t="shared" si="1"/>
        <v/>
      </c>
      <c r="C560" s="14" t="str">
        <f>IF($A560&lt;&gt;"",MINIFS(Merchant!$A:$A,Merchant!$B:$B,$G$2),)</f>
        <v/>
      </c>
      <c r="D560" s="14" t="str">
        <f t="shared" si="2"/>
        <v/>
      </c>
      <c r="E560" s="14" t="str">
        <f t="shared" si="3"/>
        <v/>
      </c>
      <c r="F560" s="7" t="str">
        <f>IF($A560&lt;&gt;"",MAXIFS(Token!$C:$C,Token!$A:$A,$D560),)</f>
        <v/>
      </c>
    </row>
    <row r="561">
      <c r="A561" s="39" t="str">
        <f>IF(AND($L561*1&gt;=$G$3,$L561*1&lt;=$G$4,$I561*$J561&gt;0,OR($I561&lt;&gt;$I562,$L561-$L562&gt;25),IF(ABS($I561)&gt;10,$I561/POW(10,$J561),$J561/POW(10,$I561))*MAXIFS(Token!$C:$C,Token!$A:$A,$K561)&gt;0.01),$L561/86400+DATE(1970,1,1)+$G$6,)</f>
        <v/>
      </c>
      <c r="B561" s="27" t="str">
        <f t="shared" si="1"/>
        <v/>
      </c>
      <c r="C561" s="14" t="str">
        <f>IF($A561&lt;&gt;"",MINIFS(Merchant!$A:$A,Merchant!$B:$B,$G$2),)</f>
        <v/>
      </c>
      <c r="D561" s="14" t="str">
        <f t="shared" si="2"/>
        <v/>
      </c>
      <c r="E561" s="14" t="str">
        <f t="shared" si="3"/>
        <v/>
      </c>
      <c r="F561" s="7" t="str">
        <f>IF($A561&lt;&gt;"",MAXIFS(Token!$C:$C,Token!$A:$A,$D561),)</f>
        <v/>
      </c>
    </row>
    <row r="562">
      <c r="A562" s="39" t="str">
        <f>IF(AND($L562*1&gt;=$G$3,$L562*1&lt;=$G$4,$I562*$J562&gt;0,OR($I562&lt;&gt;$I563,$L562-$L563&gt;25),IF(ABS($I562)&gt;10,$I562/POW(10,$J562),$J562/POW(10,$I562))*MAXIFS(Token!$C:$C,Token!$A:$A,$K562)&gt;0.01),$L562/86400+DATE(1970,1,1)+$G$6,)</f>
        <v/>
      </c>
      <c r="B562" s="27" t="str">
        <f t="shared" si="1"/>
        <v/>
      </c>
      <c r="C562" s="14" t="str">
        <f>IF($A562&lt;&gt;"",MINIFS(Merchant!$A:$A,Merchant!$B:$B,$G$2),)</f>
        <v/>
      </c>
      <c r="D562" s="14" t="str">
        <f t="shared" si="2"/>
        <v/>
      </c>
      <c r="E562" s="14" t="str">
        <f t="shared" si="3"/>
        <v/>
      </c>
      <c r="F562" s="7" t="str">
        <f>IF($A562&lt;&gt;"",MAXIFS(Token!$C:$C,Token!$A:$A,$D562),)</f>
        <v/>
      </c>
    </row>
    <row r="563">
      <c r="A563" s="39" t="str">
        <f>IF(AND($L563*1&gt;=$G$3,$L563*1&lt;=$G$4,$I563*$J563&gt;0,OR($I563&lt;&gt;$I564,$L563-$L564&gt;25),IF(ABS($I563)&gt;10,$I563/POW(10,$J563),$J563/POW(10,$I563))*MAXIFS(Token!$C:$C,Token!$A:$A,$K563)&gt;0.01),$L563/86400+DATE(1970,1,1)+$G$6,)</f>
        <v/>
      </c>
      <c r="B563" s="27" t="str">
        <f t="shared" si="1"/>
        <v/>
      </c>
      <c r="C563" s="14" t="str">
        <f>IF($A563&lt;&gt;"",MINIFS(Merchant!$A:$A,Merchant!$B:$B,$G$2),)</f>
        <v/>
      </c>
      <c r="D563" s="14" t="str">
        <f t="shared" si="2"/>
        <v/>
      </c>
      <c r="E563" s="14" t="str">
        <f t="shared" si="3"/>
        <v/>
      </c>
      <c r="F563" s="7" t="str">
        <f>IF($A563&lt;&gt;"",MAXIFS(Token!$C:$C,Token!$A:$A,$D563),)</f>
        <v/>
      </c>
    </row>
    <row r="564">
      <c r="A564" s="39" t="str">
        <f>IF(AND($L564*1&gt;=$G$3,$L564*1&lt;=$G$4,$I564*$J564&gt;0,OR($I564&lt;&gt;$I565,$L564-$L565&gt;25),IF(ABS($I564)&gt;10,$I564/POW(10,$J564),$J564/POW(10,$I564))*MAXIFS(Token!$C:$C,Token!$A:$A,$K564)&gt;0.01),$L564/86400+DATE(1970,1,1)+$G$6,)</f>
        <v/>
      </c>
      <c r="B564" s="27" t="str">
        <f t="shared" si="1"/>
        <v/>
      </c>
      <c r="C564" s="14" t="str">
        <f>IF($A564&lt;&gt;"",MINIFS(Merchant!$A:$A,Merchant!$B:$B,$G$2),)</f>
        <v/>
      </c>
      <c r="D564" s="14" t="str">
        <f t="shared" si="2"/>
        <v/>
      </c>
      <c r="E564" s="14" t="str">
        <f t="shared" si="3"/>
        <v/>
      </c>
      <c r="F564" s="7" t="str">
        <f>IF($A564&lt;&gt;"",MAXIFS(Token!$C:$C,Token!$A:$A,$D564),)</f>
        <v/>
      </c>
    </row>
    <row r="565">
      <c r="A565" s="39" t="str">
        <f>IF(AND($L565*1&gt;=$G$3,$L565*1&lt;=$G$4,$I565*$J565&gt;0,OR($I565&lt;&gt;$I566,$L565-$L566&gt;25),IF(ABS($I565)&gt;10,$I565/POW(10,$J565),$J565/POW(10,$I565))*MAXIFS(Token!$C:$C,Token!$A:$A,$K565)&gt;0.01),$L565/86400+DATE(1970,1,1)+$G$6,)</f>
        <v/>
      </c>
      <c r="B565" s="27" t="str">
        <f t="shared" si="1"/>
        <v/>
      </c>
      <c r="C565" s="14" t="str">
        <f>IF($A565&lt;&gt;"",MINIFS(Merchant!$A:$A,Merchant!$B:$B,$G$2),)</f>
        <v/>
      </c>
      <c r="D565" s="14" t="str">
        <f t="shared" si="2"/>
        <v/>
      </c>
      <c r="E565" s="14" t="str">
        <f t="shared" si="3"/>
        <v/>
      </c>
      <c r="F565" s="7" t="str">
        <f>IF($A565&lt;&gt;"",MAXIFS(Token!$C:$C,Token!$A:$A,$D565),)</f>
        <v/>
      </c>
    </row>
    <row r="566">
      <c r="A566" s="39" t="str">
        <f>IF(AND($L566*1&gt;=$G$3,$L566*1&lt;=$G$4,$I566*$J566&gt;0,OR($I566&lt;&gt;$I567,$L566-$L567&gt;25),IF(ABS($I566)&gt;10,$I566/POW(10,$J566),$J566/POW(10,$I566))*MAXIFS(Token!$C:$C,Token!$A:$A,$K566)&gt;0.01),$L566/86400+DATE(1970,1,1)+$G$6,)</f>
        <v/>
      </c>
      <c r="B566" s="27" t="str">
        <f t="shared" si="1"/>
        <v/>
      </c>
      <c r="C566" s="14" t="str">
        <f>IF($A566&lt;&gt;"",MINIFS(Merchant!$A:$A,Merchant!$B:$B,$G$2),)</f>
        <v/>
      </c>
      <c r="D566" s="14" t="str">
        <f t="shared" si="2"/>
        <v/>
      </c>
      <c r="E566" s="14" t="str">
        <f t="shared" si="3"/>
        <v/>
      </c>
      <c r="F566" s="7" t="str">
        <f>IF($A566&lt;&gt;"",MAXIFS(Token!$C:$C,Token!$A:$A,$D566),)</f>
        <v/>
      </c>
    </row>
    <row r="567">
      <c r="A567" s="39" t="str">
        <f>IF(AND($L567*1&gt;=$G$3,$L567*1&lt;=$G$4,$I567*$J567&gt;0,OR($I567&lt;&gt;$I568,$L567-$L568&gt;25),IF(ABS($I567)&gt;10,$I567/POW(10,$J567),$J567/POW(10,$I567))*MAXIFS(Token!$C:$C,Token!$A:$A,$K567)&gt;0.01),$L567/86400+DATE(1970,1,1)+$G$6,)</f>
        <v/>
      </c>
      <c r="B567" s="27" t="str">
        <f t="shared" si="1"/>
        <v/>
      </c>
      <c r="C567" s="14" t="str">
        <f>IF($A567&lt;&gt;"",MINIFS(Merchant!$A:$A,Merchant!$B:$B,$G$2),)</f>
        <v/>
      </c>
      <c r="D567" s="14" t="str">
        <f t="shared" si="2"/>
        <v/>
      </c>
      <c r="E567" s="14" t="str">
        <f t="shared" si="3"/>
        <v/>
      </c>
      <c r="F567" s="7" t="str">
        <f>IF($A567&lt;&gt;"",MAXIFS(Token!$C:$C,Token!$A:$A,$D567),)</f>
        <v/>
      </c>
    </row>
    <row r="568">
      <c r="A568" s="39" t="str">
        <f>IF(AND($L568*1&gt;=$G$3,$L568*1&lt;=$G$4,$I568*$J568&gt;0,OR($I568&lt;&gt;$I569,$L568-$L569&gt;25),IF(ABS($I568)&gt;10,$I568/POW(10,$J568),$J568/POW(10,$I568))*MAXIFS(Token!$C:$C,Token!$A:$A,$K568)&gt;0.01),$L568/86400+DATE(1970,1,1)+$G$6,)</f>
        <v/>
      </c>
      <c r="B568" s="27" t="str">
        <f t="shared" si="1"/>
        <v/>
      </c>
      <c r="C568" s="14" t="str">
        <f>IF($A568&lt;&gt;"",MINIFS(Merchant!$A:$A,Merchant!$B:$B,$G$2),)</f>
        <v/>
      </c>
      <c r="D568" s="14" t="str">
        <f t="shared" si="2"/>
        <v/>
      </c>
      <c r="E568" s="14" t="str">
        <f t="shared" si="3"/>
        <v/>
      </c>
      <c r="F568" s="7" t="str">
        <f>IF($A568&lt;&gt;"",MAXIFS(Token!$C:$C,Token!$A:$A,$D568),)</f>
        <v/>
      </c>
    </row>
    <row r="569">
      <c r="A569" s="39" t="str">
        <f>IF(AND($L569*1&gt;=$G$3,$L569*1&lt;=$G$4,$I569*$J569&gt;0,OR($I569&lt;&gt;$I570,$L569-$L570&gt;25),IF(ABS($I569)&gt;10,$I569/POW(10,$J569),$J569/POW(10,$I569))*MAXIFS(Token!$C:$C,Token!$A:$A,$K569)&gt;0.01),$L569/86400+DATE(1970,1,1)+$G$6,)</f>
        <v/>
      </c>
      <c r="B569" s="27" t="str">
        <f t="shared" si="1"/>
        <v/>
      </c>
      <c r="C569" s="14" t="str">
        <f>IF($A569&lt;&gt;"",MINIFS(Merchant!$A:$A,Merchant!$B:$B,$G$2),)</f>
        <v/>
      </c>
      <c r="D569" s="14" t="str">
        <f t="shared" si="2"/>
        <v/>
      </c>
      <c r="E569" s="14" t="str">
        <f t="shared" si="3"/>
        <v/>
      </c>
      <c r="F569" s="7" t="str">
        <f>IF($A569&lt;&gt;"",MAXIFS(Token!$C:$C,Token!$A:$A,$D569),)</f>
        <v/>
      </c>
    </row>
    <row r="570">
      <c r="A570" s="39" t="str">
        <f>IF(AND($L570*1&gt;=$G$3,$L570*1&lt;=$G$4,$I570*$J570&gt;0,OR($I570&lt;&gt;$I571,$L570-$L571&gt;25),IF(ABS($I570)&gt;10,$I570/POW(10,$J570),$J570/POW(10,$I570))*MAXIFS(Token!$C:$C,Token!$A:$A,$K570)&gt;0.01),$L570/86400+DATE(1970,1,1)+$G$6,)</f>
        <v/>
      </c>
      <c r="B570" s="27" t="str">
        <f t="shared" si="1"/>
        <v/>
      </c>
      <c r="C570" s="14" t="str">
        <f>IF($A570&lt;&gt;"",MINIFS(Merchant!$A:$A,Merchant!$B:$B,$G$2),)</f>
        <v/>
      </c>
      <c r="D570" s="14" t="str">
        <f t="shared" si="2"/>
        <v/>
      </c>
      <c r="E570" s="14" t="str">
        <f t="shared" si="3"/>
        <v/>
      </c>
      <c r="F570" s="7" t="str">
        <f>IF($A570&lt;&gt;"",MAXIFS(Token!$C:$C,Token!$A:$A,$D570),)</f>
        <v/>
      </c>
    </row>
    <row r="571">
      <c r="A571" s="39" t="str">
        <f>IF(AND($L571*1&gt;=$G$3,$L571*1&lt;=$G$4,$I571*$J571&gt;0,OR($I571&lt;&gt;$I572,$L571-$L572&gt;25),IF(ABS($I571)&gt;10,$I571/POW(10,$J571),$J571/POW(10,$I571))*MAXIFS(Token!$C:$C,Token!$A:$A,$K571)&gt;0.01),$L571/86400+DATE(1970,1,1)+$G$6,)</f>
        <v/>
      </c>
      <c r="B571" s="27" t="str">
        <f t="shared" si="1"/>
        <v/>
      </c>
      <c r="C571" s="14" t="str">
        <f>IF($A571&lt;&gt;"",MINIFS(Merchant!$A:$A,Merchant!$B:$B,$G$2),)</f>
        <v/>
      </c>
      <c r="D571" s="14" t="str">
        <f t="shared" si="2"/>
        <v/>
      </c>
      <c r="E571" s="14" t="str">
        <f t="shared" si="3"/>
        <v/>
      </c>
      <c r="F571" s="7" t="str">
        <f>IF($A571&lt;&gt;"",MAXIFS(Token!$C:$C,Token!$A:$A,$D571),)</f>
        <v/>
      </c>
    </row>
    <row r="572">
      <c r="A572" s="39" t="str">
        <f>IF(AND($L572*1&gt;=$G$3,$L572*1&lt;=$G$4,$I572*$J572&gt;0,OR($I572&lt;&gt;$I573,$L572-$L573&gt;25),IF(ABS($I572)&gt;10,$I572/POW(10,$J572),$J572/POW(10,$I572))*MAXIFS(Token!$C:$C,Token!$A:$A,$K572)&gt;0.01),$L572/86400+DATE(1970,1,1)+$G$6,)</f>
        <v/>
      </c>
      <c r="B572" s="27" t="str">
        <f t="shared" si="1"/>
        <v/>
      </c>
      <c r="C572" s="14" t="str">
        <f>IF($A572&lt;&gt;"",MINIFS(Merchant!$A:$A,Merchant!$B:$B,$G$2),)</f>
        <v/>
      </c>
      <c r="D572" s="14" t="str">
        <f t="shared" si="2"/>
        <v/>
      </c>
      <c r="E572" s="14" t="str">
        <f t="shared" si="3"/>
        <v/>
      </c>
      <c r="F572" s="7" t="str">
        <f>IF($A572&lt;&gt;"",MAXIFS(Token!$C:$C,Token!$A:$A,$D572),)</f>
        <v/>
      </c>
    </row>
    <row r="573">
      <c r="A573" s="39" t="str">
        <f>IF(AND($L573*1&gt;=$G$3,$L573*1&lt;=$G$4,$I573*$J573&gt;0,OR($I573&lt;&gt;$I574,$L573-$L574&gt;25),IF(ABS($I573)&gt;10,$I573/POW(10,$J573),$J573/POW(10,$I573))*MAXIFS(Token!$C:$C,Token!$A:$A,$K573)&gt;0.01),$L573/86400+DATE(1970,1,1)+$G$6,)</f>
        <v/>
      </c>
      <c r="B573" s="27" t="str">
        <f t="shared" si="1"/>
        <v/>
      </c>
      <c r="C573" s="14" t="str">
        <f>IF($A573&lt;&gt;"",MINIFS(Merchant!$A:$A,Merchant!$B:$B,$G$2),)</f>
        <v/>
      </c>
      <c r="D573" s="14" t="str">
        <f t="shared" si="2"/>
        <v/>
      </c>
      <c r="E573" s="14" t="str">
        <f t="shared" si="3"/>
        <v/>
      </c>
      <c r="F573" s="7" t="str">
        <f>IF($A573&lt;&gt;"",MAXIFS(Token!$C:$C,Token!$A:$A,$D573),)</f>
        <v/>
      </c>
    </row>
    <row r="574">
      <c r="A574" s="39" t="str">
        <f>IF(AND($L574*1&gt;=$G$3,$L574*1&lt;=$G$4,$I574*$J574&gt;0,OR($I574&lt;&gt;$I575,$L574-$L575&gt;25),IF(ABS($I574)&gt;10,$I574/POW(10,$J574),$J574/POW(10,$I574))*MAXIFS(Token!$C:$C,Token!$A:$A,$K574)&gt;0.01),$L574/86400+DATE(1970,1,1)+$G$6,)</f>
        <v/>
      </c>
      <c r="B574" s="27" t="str">
        <f t="shared" si="1"/>
        <v/>
      </c>
      <c r="C574" s="14" t="str">
        <f>IF($A574&lt;&gt;"",MINIFS(Merchant!$A:$A,Merchant!$B:$B,$G$2),)</f>
        <v/>
      </c>
      <c r="D574" s="14" t="str">
        <f t="shared" si="2"/>
        <v/>
      </c>
      <c r="E574" s="14" t="str">
        <f t="shared" si="3"/>
        <v/>
      </c>
      <c r="F574" s="7" t="str">
        <f>IF($A574&lt;&gt;"",MAXIFS(Token!$C:$C,Token!$A:$A,$D574),)</f>
        <v/>
      </c>
    </row>
    <row r="575">
      <c r="A575" s="39" t="str">
        <f>IF(AND($L575*1&gt;=$G$3,$L575*1&lt;=$G$4,$I575*$J575&gt;0,OR($I575&lt;&gt;$I576,$L575-$L576&gt;25),IF(ABS($I575)&gt;10,$I575/POW(10,$J575),$J575/POW(10,$I575))*MAXIFS(Token!$C:$C,Token!$A:$A,$K575)&gt;0.01),$L575/86400+DATE(1970,1,1)+$G$6,)</f>
        <v/>
      </c>
      <c r="B575" s="27" t="str">
        <f t="shared" si="1"/>
        <v/>
      </c>
      <c r="C575" s="14" t="str">
        <f>IF($A575&lt;&gt;"",MINIFS(Merchant!$A:$A,Merchant!$B:$B,$G$2),)</f>
        <v/>
      </c>
      <c r="D575" s="14" t="str">
        <f t="shared" si="2"/>
        <v/>
      </c>
      <c r="E575" s="14" t="str">
        <f t="shared" si="3"/>
        <v/>
      </c>
      <c r="F575" s="7" t="str">
        <f>IF($A575&lt;&gt;"",MAXIFS(Token!$C:$C,Token!$A:$A,$D575),)</f>
        <v/>
      </c>
    </row>
    <row r="576">
      <c r="A576" s="39" t="str">
        <f>IF(AND($L576*1&gt;=$G$3,$L576*1&lt;=$G$4,$I576*$J576&gt;0,OR($I576&lt;&gt;$I577,$L576-$L577&gt;25),IF(ABS($I576)&gt;10,$I576/POW(10,$J576),$J576/POW(10,$I576))*MAXIFS(Token!$C:$C,Token!$A:$A,$K576)&gt;0.01),$L576/86400+DATE(1970,1,1)+$G$6,)</f>
        <v/>
      </c>
      <c r="B576" s="27" t="str">
        <f t="shared" si="1"/>
        <v/>
      </c>
      <c r="C576" s="14" t="str">
        <f>IF($A576&lt;&gt;"",MINIFS(Merchant!$A:$A,Merchant!$B:$B,$G$2),)</f>
        <v/>
      </c>
      <c r="D576" s="14" t="str">
        <f t="shared" si="2"/>
        <v/>
      </c>
      <c r="E576" s="14" t="str">
        <f t="shared" si="3"/>
        <v/>
      </c>
      <c r="F576" s="7" t="str">
        <f>IF($A576&lt;&gt;"",MAXIFS(Token!$C:$C,Token!$A:$A,$D576),)</f>
        <v/>
      </c>
    </row>
    <row r="577">
      <c r="A577" s="39" t="str">
        <f>IF(AND($L577*1&gt;=$G$3,$L577*1&lt;=$G$4,$I577*$J577&gt;0,OR($I577&lt;&gt;$I578,$L577-$L578&gt;25),IF(ABS($I577)&gt;10,$I577/POW(10,$J577),$J577/POW(10,$I577))*MAXIFS(Token!$C:$C,Token!$A:$A,$K577)&gt;0.01),$L577/86400+DATE(1970,1,1)+$G$6,)</f>
        <v/>
      </c>
      <c r="B577" s="27" t="str">
        <f t="shared" si="1"/>
        <v/>
      </c>
      <c r="C577" s="14" t="str">
        <f>IF($A577&lt;&gt;"",MINIFS(Merchant!$A:$A,Merchant!$B:$B,$G$2),)</f>
        <v/>
      </c>
      <c r="D577" s="14" t="str">
        <f t="shared" si="2"/>
        <v/>
      </c>
      <c r="E577" s="14" t="str">
        <f t="shared" si="3"/>
        <v/>
      </c>
      <c r="F577" s="7" t="str">
        <f>IF($A577&lt;&gt;"",MAXIFS(Token!$C:$C,Token!$A:$A,$D577),)</f>
        <v/>
      </c>
    </row>
    <row r="578">
      <c r="A578" s="39" t="str">
        <f>IF(AND($L578*1&gt;=$G$3,$L578*1&lt;=$G$4,$I578*$J578&gt;0,OR($I578&lt;&gt;$I579,$L578-$L579&gt;25),IF(ABS($I578)&gt;10,$I578/POW(10,$J578),$J578/POW(10,$I578))*MAXIFS(Token!$C:$C,Token!$A:$A,$K578)&gt;0.01),$L578/86400+DATE(1970,1,1)+$G$6,)</f>
        <v/>
      </c>
      <c r="B578" s="27" t="str">
        <f t="shared" si="1"/>
        <v/>
      </c>
      <c r="C578" s="14" t="str">
        <f>IF($A578&lt;&gt;"",MINIFS(Merchant!$A:$A,Merchant!$B:$B,$G$2),)</f>
        <v/>
      </c>
      <c r="D578" s="14" t="str">
        <f t="shared" si="2"/>
        <v/>
      </c>
      <c r="E578" s="14" t="str">
        <f t="shared" si="3"/>
        <v/>
      </c>
      <c r="F578" s="7" t="str">
        <f>IF($A578&lt;&gt;"",MAXIFS(Token!$C:$C,Token!$A:$A,$D578),)</f>
        <v/>
      </c>
    </row>
    <row r="579">
      <c r="A579" s="39" t="str">
        <f>IF(AND($L579*1&gt;=$G$3,$L579*1&lt;=$G$4,$I579*$J579&gt;0,OR($I579&lt;&gt;$I580,$L579-$L580&gt;25),IF(ABS($I579)&gt;10,$I579/POW(10,$J579),$J579/POW(10,$I579))*MAXIFS(Token!$C:$C,Token!$A:$A,$K579)&gt;0.01),$L579/86400+DATE(1970,1,1)+$G$6,)</f>
        <v/>
      </c>
      <c r="B579" s="27" t="str">
        <f t="shared" si="1"/>
        <v/>
      </c>
      <c r="C579" s="14" t="str">
        <f>IF($A579&lt;&gt;"",MINIFS(Merchant!$A:$A,Merchant!$B:$B,$G$2),)</f>
        <v/>
      </c>
      <c r="D579" s="14" t="str">
        <f t="shared" si="2"/>
        <v/>
      </c>
      <c r="E579" s="14" t="str">
        <f t="shared" si="3"/>
        <v/>
      </c>
      <c r="F579" s="7" t="str">
        <f>IF($A579&lt;&gt;"",MAXIFS(Token!$C:$C,Token!$A:$A,$D579),)</f>
        <v/>
      </c>
    </row>
    <row r="580">
      <c r="A580" s="39" t="str">
        <f>IF(AND($L580*1&gt;=$G$3,$L580*1&lt;=$G$4,$I580*$J580&gt;0,OR($I580&lt;&gt;$I581,$L580-$L581&gt;25),IF(ABS($I580)&gt;10,$I580/POW(10,$J580),$J580/POW(10,$I580))*MAXIFS(Token!$C:$C,Token!$A:$A,$K580)&gt;0.01),$L580/86400+DATE(1970,1,1)+$G$6,)</f>
        <v/>
      </c>
      <c r="B580" s="27" t="str">
        <f t="shared" si="1"/>
        <v/>
      </c>
      <c r="C580" s="14" t="str">
        <f>IF($A580&lt;&gt;"",MINIFS(Merchant!$A:$A,Merchant!$B:$B,$G$2),)</f>
        <v/>
      </c>
      <c r="D580" s="14" t="str">
        <f t="shared" si="2"/>
        <v/>
      </c>
      <c r="E580" s="14" t="str">
        <f t="shared" si="3"/>
        <v/>
      </c>
      <c r="F580" s="7" t="str">
        <f>IF($A580&lt;&gt;"",MAXIFS(Token!$C:$C,Token!$A:$A,$D580),)</f>
        <v/>
      </c>
    </row>
    <row r="581">
      <c r="A581" s="39" t="str">
        <f>IF(AND($L581*1&gt;=$G$3,$L581*1&lt;=$G$4,$I581*$J581&gt;0,OR($I581&lt;&gt;$I582,$L581-$L582&gt;25),IF(ABS($I581)&gt;10,$I581/POW(10,$J581),$J581/POW(10,$I581))*MAXIFS(Token!$C:$C,Token!$A:$A,$K581)&gt;0.01),$L581/86400+DATE(1970,1,1)+$G$6,)</f>
        <v/>
      </c>
      <c r="B581" s="27" t="str">
        <f t="shared" si="1"/>
        <v/>
      </c>
      <c r="C581" s="14" t="str">
        <f>IF($A581&lt;&gt;"",MINIFS(Merchant!$A:$A,Merchant!$B:$B,$G$2),)</f>
        <v/>
      </c>
      <c r="D581" s="14" t="str">
        <f t="shared" si="2"/>
        <v/>
      </c>
      <c r="E581" s="14" t="str">
        <f t="shared" si="3"/>
        <v/>
      </c>
      <c r="F581" s="7" t="str">
        <f>IF($A581&lt;&gt;"",MAXIFS(Token!$C:$C,Token!$A:$A,$D581),)</f>
        <v/>
      </c>
    </row>
    <row r="582">
      <c r="A582" s="39" t="str">
        <f>IF(AND($L582*1&gt;=$G$3,$L582*1&lt;=$G$4,$I582*$J582&gt;0,OR($I582&lt;&gt;$I583,$L582-$L583&gt;25),IF(ABS($I582)&gt;10,$I582/POW(10,$J582),$J582/POW(10,$I582))*MAXIFS(Token!$C:$C,Token!$A:$A,$K582)&gt;0.01),$L582/86400+DATE(1970,1,1)+$G$6,)</f>
        <v/>
      </c>
      <c r="B582" s="27" t="str">
        <f t="shared" si="1"/>
        <v/>
      </c>
      <c r="C582" s="14" t="str">
        <f>IF($A582&lt;&gt;"",MINIFS(Merchant!$A:$A,Merchant!$B:$B,$G$2),)</f>
        <v/>
      </c>
      <c r="D582" s="14" t="str">
        <f t="shared" si="2"/>
        <v/>
      </c>
      <c r="E582" s="14" t="str">
        <f t="shared" si="3"/>
        <v/>
      </c>
      <c r="F582" s="7" t="str">
        <f>IF($A582&lt;&gt;"",MAXIFS(Token!$C:$C,Token!$A:$A,$D582),)</f>
        <v/>
      </c>
    </row>
    <row r="583">
      <c r="A583" s="39" t="str">
        <f>IF(AND($L583*1&gt;=$G$3,$L583*1&lt;=$G$4,$I583*$J583&gt;0,OR($I583&lt;&gt;$I584,$L583-$L584&gt;25),IF(ABS($I583)&gt;10,$I583/POW(10,$J583),$J583/POW(10,$I583))*MAXIFS(Token!$C:$C,Token!$A:$A,$K583)&gt;0.01),$L583/86400+DATE(1970,1,1)+$G$6,)</f>
        <v/>
      </c>
      <c r="B583" s="27" t="str">
        <f t="shared" si="1"/>
        <v/>
      </c>
      <c r="C583" s="14" t="str">
        <f>IF($A583&lt;&gt;"",MINIFS(Merchant!$A:$A,Merchant!$B:$B,$G$2),)</f>
        <v/>
      </c>
      <c r="D583" s="14" t="str">
        <f t="shared" si="2"/>
        <v/>
      </c>
      <c r="E583" s="14" t="str">
        <f t="shared" si="3"/>
        <v/>
      </c>
      <c r="F583" s="7" t="str">
        <f>IF($A583&lt;&gt;"",MAXIFS(Token!$C:$C,Token!$A:$A,$D583),)</f>
        <v/>
      </c>
    </row>
    <row r="584">
      <c r="A584" s="39" t="str">
        <f>IF(AND($L584*1&gt;=$G$3,$L584*1&lt;=$G$4,$I584*$J584&gt;0,OR($I584&lt;&gt;$I585,$L584-$L585&gt;25),IF(ABS($I584)&gt;10,$I584/POW(10,$J584),$J584/POW(10,$I584))*MAXIFS(Token!$C:$C,Token!$A:$A,$K584)&gt;0.01),$L584/86400+DATE(1970,1,1)+$G$6,)</f>
        <v/>
      </c>
      <c r="B584" s="27" t="str">
        <f t="shared" si="1"/>
        <v/>
      </c>
      <c r="C584" s="14" t="str">
        <f>IF($A584&lt;&gt;"",MINIFS(Merchant!$A:$A,Merchant!$B:$B,$G$2),)</f>
        <v/>
      </c>
      <c r="D584" s="14" t="str">
        <f t="shared" si="2"/>
        <v/>
      </c>
      <c r="E584" s="14" t="str">
        <f t="shared" si="3"/>
        <v/>
      </c>
      <c r="F584" s="7" t="str">
        <f>IF($A584&lt;&gt;"",MAXIFS(Token!$C:$C,Token!$A:$A,$D584),)</f>
        <v/>
      </c>
    </row>
    <row r="585">
      <c r="A585" s="39" t="str">
        <f>IF(AND($L585*1&gt;=$G$3,$L585*1&lt;=$G$4,$I585*$J585&gt;0,OR($I585&lt;&gt;$I586,$L585-$L586&gt;25),IF(ABS($I585)&gt;10,$I585/POW(10,$J585),$J585/POW(10,$I585))*MAXIFS(Token!$C:$C,Token!$A:$A,$K585)&gt;0.01),$L585/86400+DATE(1970,1,1)+$G$6,)</f>
        <v/>
      </c>
      <c r="B585" s="27" t="str">
        <f t="shared" si="1"/>
        <v/>
      </c>
      <c r="C585" s="14" t="str">
        <f>IF($A585&lt;&gt;"",MINIFS(Merchant!$A:$A,Merchant!$B:$B,$G$2),)</f>
        <v/>
      </c>
      <c r="D585" s="14" t="str">
        <f t="shared" si="2"/>
        <v/>
      </c>
      <c r="E585" s="14" t="str">
        <f t="shared" si="3"/>
        <v/>
      </c>
      <c r="F585" s="7" t="str">
        <f>IF($A585&lt;&gt;"",MAXIFS(Token!$C:$C,Token!$A:$A,$D585),)</f>
        <v/>
      </c>
    </row>
    <row r="586">
      <c r="A586" s="39" t="str">
        <f>IF(AND($L586*1&gt;=$G$3,$L586*1&lt;=$G$4,$I586*$J586&gt;0,OR($I586&lt;&gt;$I587,$L586-$L587&gt;25),IF(ABS($I586)&gt;10,$I586/POW(10,$J586),$J586/POW(10,$I586))*MAXIFS(Token!$C:$C,Token!$A:$A,$K586)&gt;0.01),$L586/86400+DATE(1970,1,1)+$G$6,)</f>
        <v/>
      </c>
      <c r="B586" s="27" t="str">
        <f t="shared" si="1"/>
        <v/>
      </c>
      <c r="C586" s="14" t="str">
        <f>IF($A586&lt;&gt;"",MINIFS(Merchant!$A:$A,Merchant!$B:$B,$G$2),)</f>
        <v/>
      </c>
      <c r="D586" s="14" t="str">
        <f t="shared" si="2"/>
        <v/>
      </c>
      <c r="E586" s="14" t="str">
        <f t="shared" si="3"/>
        <v/>
      </c>
      <c r="F586" s="7" t="str">
        <f>IF($A586&lt;&gt;"",MAXIFS(Token!$C:$C,Token!$A:$A,$D586),)</f>
        <v/>
      </c>
    </row>
    <row r="587">
      <c r="A587" s="39" t="str">
        <f>IF(AND($L587*1&gt;=$G$3,$L587*1&lt;=$G$4,$I587*$J587&gt;0,OR($I587&lt;&gt;$I588,$L587-$L588&gt;25),IF(ABS($I587)&gt;10,$I587/POW(10,$J587),$J587/POW(10,$I587))*MAXIFS(Token!$C:$C,Token!$A:$A,$K587)&gt;0.01),$L587/86400+DATE(1970,1,1)+$G$6,)</f>
        <v/>
      </c>
      <c r="B587" s="27" t="str">
        <f t="shared" si="1"/>
        <v/>
      </c>
      <c r="C587" s="14" t="str">
        <f>IF($A587&lt;&gt;"",MINIFS(Merchant!$A:$A,Merchant!$B:$B,$G$2),)</f>
        <v/>
      </c>
      <c r="D587" s="14" t="str">
        <f t="shared" si="2"/>
        <v/>
      </c>
      <c r="E587" s="14" t="str">
        <f t="shared" si="3"/>
        <v/>
      </c>
      <c r="F587" s="7" t="str">
        <f>IF($A587&lt;&gt;"",MAXIFS(Token!$C:$C,Token!$A:$A,$D587),)</f>
        <v/>
      </c>
    </row>
    <row r="588">
      <c r="A588" s="39" t="str">
        <f>IF(AND($L588*1&gt;=$G$3,$L588*1&lt;=$G$4,$I588*$J588&gt;0,OR($I588&lt;&gt;$I589,$L588-$L589&gt;25),IF(ABS($I588)&gt;10,$I588/POW(10,$J588),$J588/POW(10,$I588))*MAXIFS(Token!$C:$C,Token!$A:$A,$K588)&gt;0.01),$L588/86400+DATE(1970,1,1)+$G$6,)</f>
        <v/>
      </c>
      <c r="B588" s="27" t="str">
        <f t="shared" si="1"/>
        <v/>
      </c>
      <c r="C588" s="14" t="str">
        <f>IF($A588&lt;&gt;"",MINIFS(Merchant!$A:$A,Merchant!$B:$B,$G$2),)</f>
        <v/>
      </c>
      <c r="D588" s="14" t="str">
        <f t="shared" si="2"/>
        <v/>
      </c>
      <c r="E588" s="14" t="str">
        <f t="shared" si="3"/>
        <v/>
      </c>
      <c r="F588" s="7" t="str">
        <f>IF($A588&lt;&gt;"",MAXIFS(Token!$C:$C,Token!$A:$A,$D588),)</f>
        <v/>
      </c>
    </row>
    <row r="589">
      <c r="A589" s="39" t="str">
        <f>IF(AND($L589*1&gt;=$G$3,$L589*1&lt;=$G$4,$I589*$J589&gt;0,OR($I589&lt;&gt;$I590,$L589-$L590&gt;25),IF(ABS($I589)&gt;10,$I589/POW(10,$J589),$J589/POW(10,$I589))*MAXIFS(Token!$C:$C,Token!$A:$A,$K589)&gt;0.01),$L589/86400+DATE(1970,1,1)+$G$6,)</f>
        <v/>
      </c>
      <c r="B589" s="27" t="str">
        <f t="shared" si="1"/>
        <v/>
      </c>
      <c r="C589" s="14" t="str">
        <f>IF($A589&lt;&gt;"",MINIFS(Merchant!$A:$A,Merchant!$B:$B,$G$2),)</f>
        <v/>
      </c>
      <c r="D589" s="14" t="str">
        <f t="shared" si="2"/>
        <v/>
      </c>
      <c r="E589" s="14" t="str">
        <f t="shared" si="3"/>
        <v/>
      </c>
      <c r="F589" s="7" t="str">
        <f>IF($A589&lt;&gt;"",MAXIFS(Token!$C:$C,Token!$A:$A,$D589),)</f>
        <v/>
      </c>
    </row>
    <row r="590">
      <c r="A590" s="39" t="str">
        <f>IF(AND($L590*1&gt;=$G$3,$L590*1&lt;=$G$4,$I590*$J590&gt;0,OR($I590&lt;&gt;$I591,$L590-$L591&gt;25),IF(ABS($I590)&gt;10,$I590/POW(10,$J590),$J590/POW(10,$I590))*MAXIFS(Token!$C:$C,Token!$A:$A,$K590)&gt;0.01),$L590/86400+DATE(1970,1,1)+$G$6,)</f>
        <v/>
      </c>
      <c r="B590" s="27" t="str">
        <f t="shared" si="1"/>
        <v/>
      </c>
      <c r="C590" s="14" t="str">
        <f>IF($A590&lt;&gt;"",MINIFS(Merchant!$A:$A,Merchant!$B:$B,$G$2),)</f>
        <v/>
      </c>
      <c r="D590" s="14" t="str">
        <f t="shared" si="2"/>
        <v/>
      </c>
      <c r="E590" s="14" t="str">
        <f t="shared" si="3"/>
        <v/>
      </c>
      <c r="F590" s="7" t="str">
        <f>IF($A590&lt;&gt;"",MAXIFS(Token!$C:$C,Token!$A:$A,$D590),)</f>
        <v/>
      </c>
    </row>
    <row r="591">
      <c r="A591" s="39" t="str">
        <f>IF(AND($L591*1&gt;=$G$3,$L591*1&lt;=$G$4,$I591*$J591&gt;0,OR($I591&lt;&gt;$I592,$L591-$L592&gt;25),IF(ABS($I591)&gt;10,$I591/POW(10,$J591),$J591/POW(10,$I591))*MAXIFS(Token!$C:$C,Token!$A:$A,$K591)&gt;0.01),$L591/86400+DATE(1970,1,1)+$G$6,)</f>
        <v/>
      </c>
      <c r="B591" s="27" t="str">
        <f t="shared" si="1"/>
        <v/>
      </c>
      <c r="C591" s="14" t="str">
        <f>IF($A591&lt;&gt;"",MINIFS(Merchant!$A:$A,Merchant!$B:$B,$G$2),)</f>
        <v/>
      </c>
      <c r="D591" s="14" t="str">
        <f t="shared" si="2"/>
        <v/>
      </c>
      <c r="E591" s="14" t="str">
        <f t="shared" si="3"/>
        <v/>
      </c>
      <c r="F591" s="7" t="str">
        <f>IF($A591&lt;&gt;"",MAXIFS(Token!$C:$C,Token!$A:$A,$D591),)</f>
        <v/>
      </c>
    </row>
    <row r="592">
      <c r="A592" s="39" t="str">
        <f>IF(AND($L592*1&gt;=$G$3,$L592*1&lt;=$G$4,$I592*$J592&gt;0,OR($I592&lt;&gt;$I593,$L592-$L593&gt;25),IF(ABS($I592)&gt;10,$I592/POW(10,$J592),$J592/POW(10,$I592))*MAXIFS(Token!$C:$C,Token!$A:$A,$K592)&gt;0.01),$L592/86400+DATE(1970,1,1)+$G$6,)</f>
        <v/>
      </c>
      <c r="B592" s="27" t="str">
        <f t="shared" si="1"/>
        <v/>
      </c>
      <c r="C592" s="14" t="str">
        <f>IF($A592&lt;&gt;"",MINIFS(Merchant!$A:$A,Merchant!$B:$B,$G$2),)</f>
        <v/>
      </c>
      <c r="D592" s="14" t="str">
        <f t="shared" si="2"/>
        <v/>
      </c>
      <c r="E592" s="14" t="str">
        <f t="shared" si="3"/>
        <v/>
      </c>
      <c r="F592" s="7" t="str">
        <f>IF($A592&lt;&gt;"",MAXIFS(Token!$C:$C,Token!$A:$A,$D592),)</f>
        <v/>
      </c>
    </row>
    <row r="593">
      <c r="A593" s="39" t="str">
        <f>IF(AND($L593*1&gt;=$G$3,$L593*1&lt;=$G$4,$I593*$J593&gt;0,OR($I593&lt;&gt;$I594,$L593-$L594&gt;25),IF(ABS($I593)&gt;10,$I593/POW(10,$J593),$J593/POW(10,$I593))*MAXIFS(Token!$C:$C,Token!$A:$A,$K593)&gt;0.01),$L593/86400+DATE(1970,1,1)+$G$6,)</f>
        <v/>
      </c>
      <c r="B593" s="27" t="str">
        <f t="shared" si="1"/>
        <v/>
      </c>
      <c r="C593" s="14" t="str">
        <f>IF($A593&lt;&gt;"",MINIFS(Merchant!$A:$A,Merchant!$B:$B,$G$2),)</f>
        <v/>
      </c>
      <c r="D593" s="14" t="str">
        <f t="shared" si="2"/>
        <v/>
      </c>
      <c r="E593" s="14" t="str">
        <f t="shared" si="3"/>
        <v/>
      </c>
      <c r="F593" s="7" t="str">
        <f>IF($A593&lt;&gt;"",MAXIFS(Token!$C:$C,Token!$A:$A,$D593),)</f>
        <v/>
      </c>
    </row>
    <row r="594">
      <c r="A594" s="39" t="str">
        <f>IF(AND($L594*1&gt;=$G$3,$L594*1&lt;=$G$4,$I594*$J594&gt;0,OR($I594&lt;&gt;$I595,$L594-$L595&gt;25),IF(ABS($I594)&gt;10,$I594/POW(10,$J594),$J594/POW(10,$I594))*MAXIFS(Token!$C:$C,Token!$A:$A,$K594)&gt;0.01),$L594/86400+DATE(1970,1,1)+$G$6,)</f>
        <v/>
      </c>
      <c r="B594" s="27" t="str">
        <f t="shared" si="1"/>
        <v/>
      </c>
      <c r="C594" s="14" t="str">
        <f>IF($A594&lt;&gt;"",MINIFS(Merchant!$A:$A,Merchant!$B:$B,$G$2),)</f>
        <v/>
      </c>
      <c r="D594" s="14" t="str">
        <f t="shared" si="2"/>
        <v/>
      </c>
      <c r="E594" s="14" t="str">
        <f t="shared" si="3"/>
        <v/>
      </c>
      <c r="F594" s="7" t="str">
        <f>IF($A594&lt;&gt;"",MAXIFS(Token!$C:$C,Token!$A:$A,$D594),)</f>
        <v/>
      </c>
    </row>
    <row r="595">
      <c r="A595" s="39" t="str">
        <f>IF(AND($L595*1&gt;=$G$3,$L595*1&lt;=$G$4,$I595*$J595&gt;0,OR($I595&lt;&gt;$I596,$L595-$L596&gt;25),IF(ABS($I595)&gt;10,$I595/POW(10,$J595),$J595/POW(10,$I595))*MAXIFS(Token!$C:$C,Token!$A:$A,$K595)&gt;0.01),$L595/86400+DATE(1970,1,1)+$G$6,)</f>
        <v/>
      </c>
      <c r="B595" s="27" t="str">
        <f t="shared" si="1"/>
        <v/>
      </c>
      <c r="C595" s="14" t="str">
        <f>IF($A595&lt;&gt;"",MINIFS(Merchant!$A:$A,Merchant!$B:$B,$G$2),)</f>
        <v/>
      </c>
      <c r="D595" s="14" t="str">
        <f t="shared" si="2"/>
        <v/>
      </c>
      <c r="E595" s="14" t="str">
        <f t="shared" si="3"/>
        <v/>
      </c>
      <c r="F595" s="7" t="str">
        <f>IF($A595&lt;&gt;"",MAXIFS(Token!$C:$C,Token!$A:$A,$D595),)</f>
        <v/>
      </c>
    </row>
    <row r="596">
      <c r="A596" s="39" t="str">
        <f>IF(AND($L596*1&gt;=$G$3,$L596*1&lt;=$G$4,$I596*$J596&gt;0,OR($I596&lt;&gt;$I597,$L596-$L597&gt;25),IF(ABS($I596)&gt;10,$I596/POW(10,$J596),$J596/POW(10,$I596))*MAXIFS(Token!$C:$C,Token!$A:$A,$K596)&gt;0.01),$L596/86400+DATE(1970,1,1)+$G$6,)</f>
        <v/>
      </c>
      <c r="B596" s="27" t="str">
        <f t="shared" si="1"/>
        <v/>
      </c>
      <c r="C596" s="14" t="str">
        <f>IF($A596&lt;&gt;"",MINIFS(Merchant!$A:$A,Merchant!$B:$B,$G$2),)</f>
        <v/>
      </c>
      <c r="D596" s="14" t="str">
        <f t="shared" si="2"/>
        <v/>
      </c>
      <c r="E596" s="14" t="str">
        <f t="shared" si="3"/>
        <v/>
      </c>
      <c r="F596" s="7" t="str">
        <f>IF($A596&lt;&gt;"",MAXIFS(Token!$C:$C,Token!$A:$A,$D596),)</f>
        <v/>
      </c>
    </row>
    <row r="597">
      <c r="A597" s="39" t="str">
        <f>IF(AND($L597*1&gt;=$G$3,$L597*1&lt;=$G$4,$I597*$J597&gt;0,OR($I597&lt;&gt;$I598,$L597-$L598&gt;25),IF(ABS($I597)&gt;10,$I597/POW(10,$J597),$J597/POW(10,$I597))*MAXIFS(Token!$C:$C,Token!$A:$A,$K597)&gt;0.01),$L597/86400+DATE(1970,1,1)+$G$6,)</f>
        <v/>
      </c>
      <c r="B597" s="27" t="str">
        <f t="shared" si="1"/>
        <v/>
      </c>
      <c r="C597" s="14" t="str">
        <f>IF($A597&lt;&gt;"",MINIFS(Merchant!$A:$A,Merchant!$B:$B,$G$2),)</f>
        <v/>
      </c>
      <c r="D597" s="14" t="str">
        <f t="shared" si="2"/>
        <v/>
      </c>
      <c r="E597" s="14" t="str">
        <f t="shared" si="3"/>
        <v/>
      </c>
      <c r="F597" s="7" t="str">
        <f>IF($A597&lt;&gt;"",MAXIFS(Token!$C:$C,Token!$A:$A,$D597),)</f>
        <v/>
      </c>
    </row>
    <row r="598">
      <c r="A598" s="39" t="str">
        <f>IF(AND($L598*1&gt;=$G$3,$L598*1&lt;=$G$4,$I598*$J598&gt;0,OR($I598&lt;&gt;$I599,$L598-$L599&gt;25),IF(ABS($I598)&gt;10,$I598/POW(10,$J598),$J598/POW(10,$I598))*MAXIFS(Token!$C:$C,Token!$A:$A,$K598)&gt;0.01),$L598/86400+DATE(1970,1,1)+$G$6,)</f>
        <v/>
      </c>
      <c r="B598" s="27" t="str">
        <f t="shared" si="1"/>
        <v/>
      </c>
      <c r="C598" s="14" t="str">
        <f>IF($A598&lt;&gt;"",MINIFS(Merchant!$A:$A,Merchant!$B:$B,$G$2),)</f>
        <v/>
      </c>
      <c r="D598" s="14" t="str">
        <f t="shared" si="2"/>
        <v/>
      </c>
      <c r="E598" s="14" t="str">
        <f t="shared" si="3"/>
        <v/>
      </c>
      <c r="F598" s="7" t="str">
        <f>IF($A598&lt;&gt;"",MAXIFS(Token!$C:$C,Token!$A:$A,$D598),)</f>
        <v/>
      </c>
    </row>
    <row r="599">
      <c r="A599" s="39" t="str">
        <f>IF(AND($L599*1&gt;=$G$3,$L599*1&lt;=$G$4,$I599*$J599&gt;0,OR($I599&lt;&gt;$I600,$L599-$L600&gt;25),IF(ABS($I599)&gt;10,$I599/POW(10,$J599),$J599/POW(10,$I599))*MAXIFS(Token!$C:$C,Token!$A:$A,$K599)&gt;0.01),$L599/86400+DATE(1970,1,1)+$G$6,)</f>
        <v/>
      </c>
      <c r="B599" s="27" t="str">
        <f t="shared" si="1"/>
        <v/>
      </c>
      <c r="C599" s="14" t="str">
        <f>IF($A599&lt;&gt;"",MINIFS(Merchant!$A:$A,Merchant!$B:$B,$G$2),)</f>
        <v/>
      </c>
      <c r="D599" s="14" t="str">
        <f t="shared" si="2"/>
        <v/>
      </c>
      <c r="E599" s="14" t="str">
        <f t="shared" si="3"/>
        <v/>
      </c>
      <c r="F599" s="7" t="str">
        <f>IF($A599&lt;&gt;"",MAXIFS(Token!$C:$C,Token!$A:$A,$D599),)</f>
        <v/>
      </c>
    </row>
    <row r="600">
      <c r="A600" s="39" t="str">
        <f>IF(AND($L600*1&gt;=$G$3,$L600*1&lt;=$G$4,$I600*$J600&gt;0,OR($I600&lt;&gt;$I601,$L600-$L601&gt;25),IF(ABS($I600)&gt;10,$I600/POW(10,$J600),$J600/POW(10,$I600))*MAXIFS(Token!$C:$C,Token!$A:$A,$K600)&gt;0.01),$L600/86400+DATE(1970,1,1)+$G$6,)</f>
        <v/>
      </c>
      <c r="B600" s="27" t="str">
        <f t="shared" si="1"/>
        <v/>
      </c>
      <c r="C600" s="14" t="str">
        <f>IF($A600&lt;&gt;"",MINIFS(Merchant!$A:$A,Merchant!$B:$B,$G$2),)</f>
        <v/>
      </c>
      <c r="D600" s="14" t="str">
        <f t="shared" si="2"/>
        <v/>
      </c>
      <c r="E600" s="14" t="str">
        <f t="shared" si="3"/>
        <v/>
      </c>
      <c r="F600" s="7" t="str">
        <f>IF($A600&lt;&gt;"",MAXIFS(Token!$C:$C,Token!$A:$A,$D600),)</f>
        <v/>
      </c>
    </row>
    <row r="601">
      <c r="A601" s="39" t="str">
        <f>IF(AND($L601*1&gt;=$G$3,$L601*1&lt;=$G$4,$I601*$J601&gt;0,OR($I601&lt;&gt;$I602,$L601-$L602&gt;25),IF(ABS($I601)&gt;10,$I601/POW(10,$J601),$J601/POW(10,$I601))*MAXIFS(Token!$C:$C,Token!$A:$A,$K601)&gt;0.01),$L601/86400+DATE(1970,1,1)+$G$6,)</f>
        <v/>
      </c>
      <c r="B601" s="27" t="str">
        <f t="shared" si="1"/>
        <v/>
      </c>
      <c r="C601" s="14" t="str">
        <f>IF($A601&lt;&gt;"",MINIFS(Merchant!$A:$A,Merchant!$B:$B,$G$2),)</f>
        <v/>
      </c>
      <c r="D601" s="14" t="str">
        <f t="shared" si="2"/>
        <v/>
      </c>
      <c r="E601" s="14" t="str">
        <f t="shared" si="3"/>
        <v/>
      </c>
      <c r="F601" s="7" t="str">
        <f>IF($A601&lt;&gt;"",MAXIFS(Token!$C:$C,Token!$A:$A,$D601),)</f>
        <v/>
      </c>
    </row>
    <row r="602">
      <c r="A602" s="39" t="str">
        <f>IF(AND($L602*1&gt;=$G$3,$L602*1&lt;=$G$4,$I602*$J602&gt;0,OR($I602&lt;&gt;$I603,$L602-$L603&gt;25),IF(ABS($I602)&gt;10,$I602/POW(10,$J602),$J602/POW(10,$I602))*MAXIFS(Token!$C:$C,Token!$A:$A,$K602)&gt;0.01),$L602/86400+DATE(1970,1,1)+$G$6,)</f>
        <v/>
      </c>
      <c r="B602" s="27" t="str">
        <f t="shared" si="1"/>
        <v/>
      </c>
      <c r="C602" s="14" t="str">
        <f>IF($A602&lt;&gt;"",MINIFS(Merchant!$A:$A,Merchant!$B:$B,$G$2),)</f>
        <v/>
      </c>
      <c r="D602" s="14" t="str">
        <f t="shared" si="2"/>
        <v/>
      </c>
      <c r="E602" s="14" t="str">
        <f t="shared" si="3"/>
        <v/>
      </c>
      <c r="F602" s="7" t="str">
        <f>IF($A602&lt;&gt;"",MAXIFS(Token!$C:$C,Token!$A:$A,$D602),)</f>
        <v/>
      </c>
    </row>
    <row r="603">
      <c r="A603" s="39" t="str">
        <f>IF(AND($L603*1&gt;=$G$3,$L603*1&lt;=$G$4,$I603*$J603&gt;0,OR($I603&lt;&gt;$I604,$L603-$L604&gt;25),IF(ABS($I603)&gt;10,$I603/POW(10,$J603),$J603/POW(10,$I603))*MAXIFS(Token!$C:$C,Token!$A:$A,$K603)&gt;0.01),$L603/86400+DATE(1970,1,1)+$G$6,)</f>
        <v/>
      </c>
      <c r="B603" s="27" t="str">
        <f t="shared" si="1"/>
        <v/>
      </c>
      <c r="C603" s="14" t="str">
        <f>IF($A603&lt;&gt;"",MINIFS(Merchant!$A:$A,Merchant!$B:$B,$G$2),)</f>
        <v/>
      </c>
      <c r="D603" s="14" t="str">
        <f t="shared" si="2"/>
        <v/>
      </c>
      <c r="E603" s="14" t="str">
        <f t="shared" si="3"/>
        <v/>
      </c>
      <c r="F603" s="7" t="str">
        <f>IF($A603&lt;&gt;"",MAXIFS(Token!$C:$C,Token!$A:$A,$D603),)</f>
        <v/>
      </c>
    </row>
    <row r="604">
      <c r="A604" s="39" t="str">
        <f>IF(AND($L604*1&gt;=$G$3,$L604*1&lt;=$G$4,$I604*$J604&gt;0,OR($I604&lt;&gt;$I605,$L604-$L605&gt;25),IF(ABS($I604)&gt;10,$I604/POW(10,$J604),$J604/POW(10,$I604))*MAXIFS(Token!$C:$C,Token!$A:$A,$K604)&gt;0.01),$L604/86400+DATE(1970,1,1)+$G$6,)</f>
        <v/>
      </c>
      <c r="B604" s="27" t="str">
        <f t="shared" si="1"/>
        <v/>
      </c>
      <c r="C604" s="14" t="str">
        <f>IF($A604&lt;&gt;"",MINIFS(Merchant!$A:$A,Merchant!$B:$B,$G$2),)</f>
        <v/>
      </c>
      <c r="D604" s="14" t="str">
        <f t="shared" si="2"/>
        <v/>
      </c>
      <c r="E604" s="14" t="str">
        <f t="shared" si="3"/>
        <v/>
      </c>
      <c r="F604" s="7" t="str">
        <f>IF($A604&lt;&gt;"",MAXIFS(Token!$C:$C,Token!$A:$A,$D604),)</f>
        <v/>
      </c>
    </row>
    <row r="605">
      <c r="A605" s="39" t="str">
        <f>IF(AND($L605*1&gt;=$G$3,$L605*1&lt;=$G$4,$I605*$J605&gt;0,OR($I605&lt;&gt;$I606,$L605-$L606&gt;25),IF(ABS($I605)&gt;10,$I605/POW(10,$J605),$J605/POW(10,$I605))*MAXIFS(Token!$C:$C,Token!$A:$A,$K605)&gt;0.01),$L605/86400+DATE(1970,1,1)+$G$6,)</f>
        <v/>
      </c>
      <c r="B605" s="27" t="str">
        <f t="shared" si="1"/>
        <v/>
      </c>
      <c r="C605" s="14" t="str">
        <f>IF($A605&lt;&gt;"",MINIFS(Merchant!$A:$A,Merchant!$B:$B,$G$2),)</f>
        <v/>
      </c>
      <c r="D605" s="14" t="str">
        <f t="shared" si="2"/>
        <v/>
      </c>
      <c r="E605" s="14" t="str">
        <f t="shared" si="3"/>
        <v/>
      </c>
      <c r="F605" s="7" t="str">
        <f>IF($A605&lt;&gt;"",MAXIFS(Token!$C:$C,Token!$A:$A,$D605),)</f>
        <v/>
      </c>
    </row>
    <row r="606">
      <c r="A606" s="39" t="str">
        <f>IF(AND($L606*1&gt;=$G$3,$L606*1&lt;=$G$4,$I606*$J606&gt;0,OR($I606&lt;&gt;$I607,$L606-$L607&gt;25),IF(ABS($I606)&gt;10,$I606/POW(10,$J606),$J606/POW(10,$I606))*MAXIFS(Token!$C:$C,Token!$A:$A,$K606)&gt;0.01),$L606/86400+DATE(1970,1,1)+$G$6,)</f>
        <v/>
      </c>
      <c r="B606" s="27" t="str">
        <f t="shared" si="1"/>
        <v/>
      </c>
      <c r="C606" s="14" t="str">
        <f>IF($A606&lt;&gt;"",MINIFS(Merchant!$A:$A,Merchant!$B:$B,$G$2),)</f>
        <v/>
      </c>
      <c r="D606" s="14" t="str">
        <f t="shared" si="2"/>
        <v/>
      </c>
      <c r="E606" s="14" t="str">
        <f t="shared" si="3"/>
        <v/>
      </c>
      <c r="F606" s="7" t="str">
        <f>IF($A606&lt;&gt;"",MAXIFS(Token!$C:$C,Token!$A:$A,$D606),)</f>
        <v/>
      </c>
    </row>
    <row r="607">
      <c r="A607" s="39" t="str">
        <f>IF(AND($L607*1&gt;=$G$3,$L607*1&lt;=$G$4,$I607*$J607&gt;0,OR($I607&lt;&gt;$I608,$L607-$L608&gt;25),IF(ABS($I607)&gt;10,$I607/POW(10,$J607),$J607/POW(10,$I607))*MAXIFS(Token!$C:$C,Token!$A:$A,$K607)&gt;0.01),$L607/86400+DATE(1970,1,1)+$G$6,)</f>
        <v/>
      </c>
      <c r="B607" s="27" t="str">
        <f t="shared" si="1"/>
        <v/>
      </c>
      <c r="C607" s="14" t="str">
        <f>IF($A607&lt;&gt;"",MINIFS(Merchant!$A:$A,Merchant!$B:$B,$G$2),)</f>
        <v/>
      </c>
      <c r="D607" s="14" t="str">
        <f t="shared" si="2"/>
        <v/>
      </c>
      <c r="E607" s="14" t="str">
        <f t="shared" si="3"/>
        <v/>
      </c>
      <c r="F607" s="7" t="str">
        <f>IF($A607&lt;&gt;"",MAXIFS(Token!$C:$C,Token!$A:$A,$D607),)</f>
        <v/>
      </c>
    </row>
    <row r="608">
      <c r="A608" s="39" t="str">
        <f>IF(AND($L608*1&gt;=$G$3,$L608*1&lt;=$G$4,$I608*$J608&gt;0,OR($I608&lt;&gt;$I609,$L608-$L609&gt;25),IF(ABS($I608)&gt;10,$I608/POW(10,$J608),$J608/POW(10,$I608))*MAXIFS(Token!$C:$C,Token!$A:$A,$K608)&gt;0.01),$L608/86400+DATE(1970,1,1)+$G$6,)</f>
        <v/>
      </c>
      <c r="B608" s="27" t="str">
        <f t="shared" si="1"/>
        <v/>
      </c>
      <c r="C608" s="14" t="str">
        <f>IF($A608&lt;&gt;"",MINIFS(Merchant!$A:$A,Merchant!$B:$B,$G$2),)</f>
        <v/>
      </c>
      <c r="D608" s="14" t="str">
        <f t="shared" si="2"/>
        <v/>
      </c>
      <c r="E608" s="14" t="str">
        <f t="shared" si="3"/>
        <v/>
      </c>
      <c r="F608" s="7" t="str">
        <f>IF($A608&lt;&gt;"",MAXIFS(Token!$C:$C,Token!$A:$A,$D608),)</f>
        <v/>
      </c>
    </row>
    <row r="609">
      <c r="A609" s="39" t="str">
        <f>IF(AND($L609*1&gt;=$G$3,$L609*1&lt;=$G$4,$I609*$J609&gt;0,OR($I609&lt;&gt;$I610,$L609-$L610&gt;25),IF(ABS($I609)&gt;10,$I609/POW(10,$J609),$J609/POW(10,$I609))*MAXIFS(Token!$C:$C,Token!$A:$A,$K609)&gt;0.01),$L609/86400+DATE(1970,1,1)+$G$6,)</f>
        <v/>
      </c>
      <c r="B609" s="27" t="str">
        <f t="shared" si="1"/>
        <v/>
      </c>
      <c r="C609" s="14" t="str">
        <f>IF($A609&lt;&gt;"",MINIFS(Merchant!$A:$A,Merchant!$B:$B,$G$2),)</f>
        <v/>
      </c>
      <c r="D609" s="14" t="str">
        <f t="shared" si="2"/>
        <v/>
      </c>
      <c r="E609" s="14" t="str">
        <f t="shared" si="3"/>
        <v/>
      </c>
      <c r="F609" s="7" t="str">
        <f>IF($A609&lt;&gt;"",MAXIFS(Token!$C:$C,Token!$A:$A,$D609),)</f>
        <v/>
      </c>
    </row>
    <row r="610">
      <c r="A610" s="39" t="str">
        <f>IF(AND($L610*1&gt;=$G$3,$L610*1&lt;=$G$4,$I610*$J610&gt;0,OR($I610&lt;&gt;$I611,$L610-$L611&gt;25),IF(ABS($I610)&gt;10,$I610/POW(10,$J610),$J610/POW(10,$I610))*MAXIFS(Token!$C:$C,Token!$A:$A,$K610)&gt;0.01),$L610/86400+DATE(1970,1,1)+$G$6,)</f>
        <v/>
      </c>
      <c r="B610" s="27" t="str">
        <f t="shared" si="1"/>
        <v/>
      </c>
      <c r="C610" s="14" t="str">
        <f>IF($A610&lt;&gt;"",MINIFS(Merchant!$A:$A,Merchant!$B:$B,$G$2),)</f>
        <v/>
      </c>
      <c r="D610" s="14" t="str">
        <f t="shared" si="2"/>
        <v/>
      </c>
      <c r="E610" s="14" t="str">
        <f t="shared" si="3"/>
        <v/>
      </c>
      <c r="F610" s="7" t="str">
        <f>IF($A610&lt;&gt;"",MAXIFS(Token!$C:$C,Token!$A:$A,$D610),)</f>
        <v/>
      </c>
    </row>
    <row r="611">
      <c r="A611" s="39" t="str">
        <f>IF(AND($L611*1&gt;=$G$3,$L611*1&lt;=$G$4,$I611*$J611&gt;0,OR($I611&lt;&gt;$I612,$L611-$L612&gt;25),IF(ABS($I611)&gt;10,$I611/POW(10,$J611),$J611/POW(10,$I611))*MAXIFS(Token!$C:$C,Token!$A:$A,$K611)&gt;0.01),$L611/86400+DATE(1970,1,1)+$G$6,)</f>
        <v/>
      </c>
      <c r="B611" s="27" t="str">
        <f t="shared" si="1"/>
        <v/>
      </c>
      <c r="C611" s="14" t="str">
        <f>IF($A611&lt;&gt;"",MINIFS(Merchant!$A:$A,Merchant!$B:$B,$G$2),)</f>
        <v/>
      </c>
      <c r="D611" s="14" t="str">
        <f t="shared" si="2"/>
        <v/>
      </c>
      <c r="E611" s="14" t="str">
        <f t="shared" si="3"/>
        <v/>
      </c>
      <c r="F611" s="7" t="str">
        <f>IF($A611&lt;&gt;"",MAXIFS(Token!$C:$C,Token!$A:$A,$D611),)</f>
        <v/>
      </c>
    </row>
    <row r="612">
      <c r="A612" s="39" t="str">
        <f>IF(AND($L612*1&gt;=$G$3,$L612*1&lt;=$G$4,$I612*$J612&gt;0,OR($I612&lt;&gt;$I613,$L612-$L613&gt;25),IF(ABS($I612)&gt;10,$I612/POW(10,$J612),$J612/POW(10,$I612))*MAXIFS(Token!$C:$C,Token!$A:$A,$K612)&gt;0.01),$L612/86400+DATE(1970,1,1)+$G$6,)</f>
        <v/>
      </c>
      <c r="B612" s="27" t="str">
        <f t="shared" si="1"/>
        <v/>
      </c>
      <c r="C612" s="14" t="str">
        <f>IF($A612&lt;&gt;"",MINIFS(Merchant!$A:$A,Merchant!$B:$B,$G$2),)</f>
        <v/>
      </c>
      <c r="D612" s="14" t="str">
        <f t="shared" si="2"/>
        <v/>
      </c>
      <c r="E612" s="14" t="str">
        <f t="shared" si="3"/>
        <v/>
      </c>
      <c r="F612" s="7" t="str">
        <f>IF($A612&lt;&gt;"",MAXIFS(Token!$C:$C,Token!$A:$A,$D612),)</f>
        <v/>
      </c>
    </row>
    <row r="613">
      <c r="A613" s="39" t="str">
        <f>IF(AND($L613*1&gt;=$G$3,$L613*1&lt;=$G$4,$I613*$J613&gt;0,OR($I613&lt;&gt;$I614,$L613-$L614&gt;25),IF(ABS($I613)&gt;10,$I613/POW(10,$J613),$J613/POW(10,$I613))*MAXIFS(Token!$C:$C,Token!$A:$A,$K613)&gt;0.01),$L613/86400+DATE(1970,1,1)+$G$6,)</f>
        <v/>
      </c>
      <c r="B613" s="27" t="str">
        <f t="shared" si="1"/>
        <v/>
      </c>
      <c r="C613" s="14" t="str">
        <f>IF($A613&lt;&gt;"",MINIFS(Merchant!$A:$A,Merchant!$B:$B,$G$2),)</f>
        <v/>
      </c>
      <c r="D613" s="14" t="str">
        <f t="shared" si="2"/>
        <v/>
      </c>
      <c r="E613" s="14" t="str">
        <f t="shared" si="3"/>
        <v/>
      </c>
      <c r="F613" s="7" t="str">
        <f>IF($A613&lt;&gt;"",MAXIFS(Token!$C:$C,Token!$A:$A,$D613),)</f>
        <v/>
      </c>
    </row>
    <row r="614">
      <c r="A614" s="39" t="str">
        <f>IF(AND($L614*1&gt;=$G$3,$L614*1&lt;=$G$4,$I614*$J614&gt;0,OR($I614&lt;&gt;$I615,$L614-$L615&gt;25),IF(ABS($I614)&gt;10,$I614/POW(10,$J614),$J614/POW(10,$I614))*MAXIFS(Token!$C:$C,Token!$A:$A,$K614)&gt;0.01),$L614/86400+DATE(1970,1,1)+$G$6,)</f>
        <v/>
      </c>
      <c r="B614" s="27" t="str">
        <f t="shared" si="1"/>
        <v/>
      </c>
      <c r="C614" s="14" t="str">
        <f>IF($A614&lt;&gt;"",MINIFS(Merchant!$A:$A,Merchant!$B:$B,$G$2),)</f>
        <v/>
      </c>
      <c r="D614" s="14" t="str">
        <f t="shared" si="2"/>
        <v/>
      </c>
      <c r="E614" s="14" t="str">
        <f t="shared" si="3"/>
        <v/>
      </c>
      <c r="F614" s="7" t="str">
        <f>IF($A614&lt;&gt;"",MAXIFS(Token!$C:$C,Token!$A:$A,$D614),)</f>
        <v/>
      </c>
    </row>
    <row r="615">
      <c r="A615" s="39" t="str">
        <f>IF(AND($L615*1&gt;=$G$3,$L615*1&lt;=$G$4,$I615*$J615&gt;0,OR($I615&lt;&gt;$I616,$L615-$L616&gt;25),IF(ABS($I615)&gt;10,$I615/POW(10,$J615),$J615/POW(10,$I615))*MAXIFS(Token!$C:$C,Token!$A:$A,$K615)&gt;0.01),$L615/86400+DATE(1970,1,1)+$G$6,)</f>
        <v/>
      </c>
      <c r="B615" s="27" t="str">
        <f t="shared" si="1"/>
        <v/>
      </c>
      <c r="C615" s="14" t="str">
        <f>IF($A615&lt;&gt;"",MINIFS(Merchant!$A:$A,Merchant!$B:$B,$G$2),)</f>
        <v/>
      </c>
      <c r="D615" s="14" t="str">
        <f t="shared" si="2"/>
        <v/>
      </c>
      <c r="E615" s="14" t="str">
        <f t="shared" si="3"/>
        <v/>
      </c>
      <c r="F615" s="7" t="str">
        <f>IF($A615&lt;&gt;"",MAXIFS(Token!$C:$C,Token!$A:$A,$D615),)</f>
        <v/>
      </c>
    </row>
    <row r="616">
      <c r="A616" s="39" t="str">
        <f>IF(AND($L616*1&gt;=$G$3,$L616*1&lt;=$G$4,$I616*$J616&gt;0,OR($I616&lt;&gt;$I617,$L616-$L617&gt;25),IF(ABS($I616)&gt;10,$I616/POW(10,$J616),$J616/POW(10,$I616))*MAXIFS(Token!$C:$C,Token!$A:$A,$K616)&gt;0.01),$L616/86400+DATE(1970,1,1)+$G$6,)</f>
        <v/>
      </c>
      <c r="B616" s="27" t="str">
        <f t="shared" si="1"/>
        <v/>
      </c>
      <c r="C616" s="14" t="str">
        <f>IF($A616&lt;&gt;"",MINIFS(Merchant!$A:$A,Merchant!$B:$B,$G$2),)</f>
        <v/>
      </c>
      <c r="D616" s="14" t="str">
        <f t="shared" si="2"/>
        <v/>
      </c>
      <c r="E616" s="14" t="str">
        <f t="shared" si="3"/>
        <v/>
      </c>
      <c r="F616" s="7" t="str">
        <f>IF($A616&lt;&gt;"",MAXIFS(Token!$C:$C,Token!$A:$A,$D616),)</f>
        <v/>
      </c>
    </row>
    <row r="617">
      <c r="A617" s="39" t="str">
        <f>IF(AND($L617*1&gt;=$G$3,$L617*1&lt;=$G$4,$I617*$J617&gt;0,OR($I617&lt;&gt;$I618,$L617-$L618&gt;25),IF(ABS($I617)&gt;10,$I617/POW(10,$J617),$J617/POW(10,$I617))*MAXIFS(Token!$C:$C,Token!$A:$A,$K617)&gt;0.01),$L617/86400+DATE(1970,1,1)+$G$6,)</f>
        <v/>
      </c>
      <c r="B617" s="27" t="str">
        <f t="shared" si="1"/>
        <v/>
      </c>
      <c r="C617" s="14" t="str">
        <f>IF($A617&lt;&gt;"",MINIFS(Merchant!$A:$A,Merchant!$B:$B,$G$2),)</f>
        <v/>
      </c>
      <c r="D617" s="14" t="str">
        <f t="shared" si="2"/>
        <v/>
      </c>
      <c r="E617" s="14" t="str">
        <f t="shared" si="3"/>
        <v/>
      </c>
      <c r="F617" s="7" t="str">
        <f>IF($A617&lt;&gt;"",MAXIFS(Token!$C:$C,Token!$A:$A,$D617),)</f>
        <v/>
      </c>
    </row>
    <row r="618">
      <c r="A618" s="39" t="str">
        <f>IF(AND($L618*1&gt;=$G$3,$L618*1&lt;=$G$4,$I618*$J618&gt;0,OR($I618&lt;&gt;$I619,$L618-$L619&gt;25),IF(ABS($I618)&gt;10,$I618/POW(10,$J618),$J618/POW(10,$I618))*MAXIFS(Token!$C:$C,Token!$A:$A,$K618)&gt;0.01),$L618/86400+DATE(1970,1,1)+$G$6,)</f>
        <v/>
      </c>
      <c r="B618" s="27" t="str">
        <f t="shared" si="1"/>
        <v/>
      </c>
      <c r="C618" s="14" t="str">
        <f>IF($A618&lt;&gt;"",MINIFS(Merchant!$A:$A,Merchant!$B:$B,$G$2),)</f>
        <v/>
      </c>
      <c r="D618" s="14" t="str">
        <f t="shared" si="2"/>
        <v/>
      </c>
      <c r="E618" s="14" t="str">
        <f t="shared" si="3"/>
        <v/>
      </c>
      <c r="F618" s="7" t="str">
        <f>IF($A618&lt;&gt;"",MAXIFS(Token!$C:$C,Token!$A:$A,$D618),)</f>
        <v/>
      </c>
    </row>
    <row r="619">
      <c r="A619" s="39" t="str">
        <f>IF(AND($L619*1&gt;=$G$3,$L619*1&lt;=$G$4,$I619*$J619&gt;0,OR($I619&lt;&gt;$I620,$L619-$L620&gt;25),IF(ABS($I619)&gt;10,$I619/POW(10,$J619),$J619/POW(10,$I619))*MAXIFS(Token!$C:$C,Token!$A:$A,$K619)&gt;0.01),$L619/86400+DATE(1970,1,1)+$G$6,)</f>
        <v/>
      </c>
      <c r="B619" s="27" t="str">
        <f t="shared" si="1"/>
        <v/>
      </c>
      <c r="C619" s="14" t="str">
        <f>IF($A619&lt;&gt;"",MINIFS(Merchant!$A:$A,Merchant!$B:$B,$G$2),)</f>
        <v/>
      </c>
      <c r="D619" s="14" t="str">
        <f t="shared" si="2"/>
        <v/>
      </c>
      <c r="E619" s="14" t="str">
        <f t="shared" si="3"/>
        <v/>
      </c>
      <c r="F619" s="7" t="str">
        <f>IF($A619&lt;&gt;"",MAXIFS(Token!$C:$C,Token!$A:$A,$D619),)</f>
        <v/>
      </c>
    </row>
    <row r="620">
      <c r="A620" s="39" t="str">
        <f>IF(AND($L620*1&gt;=$G$3,$L620*1&lt;=$G$4,$I620*$J620&gt;0,OR($I620&lt;&gt;$I621,$L620-$L621&gt;25),IF(ABS($I620)&gt;10,$I620/POW(10,$J620),$J620/POW(10,$I620))*MAXIFS(Token!$C:$C,Token!$A:$A,$K620)&gt;0.01),$L620/86400+DATE(1970,1,1)+$G$6,)</f>
        <v/>
      </c>
      <c r="B620" s="27" t="str">
        <f t="shared" si="1"/>
        <v/>
      </c>
      <c r="C620" s="14" t="str">
        <f>IF($A620&lt;&gt;"",MINIFS(Merchant!$A:$A,Merchant!$B:$B,$G$2),)</f>
        <v/>
      </c>
      <c r="D620" s="14" t="str">
        <f t="shared" si="2"/>
        <v/>
      </c>
      <c r="E620" s="14" t="str">
        <f t="shared" si="3"/>
        <v/>
      </c>
      <c r="F620" s="7" t="str">
        <f>IF($A620&lt;&gt;"",MAXIFS(Token!$C:$C,Token!$A:$A,$D620),)</f>
        <v/>
      </c>
    </row>
    <row r="621">
      <c r="A621" s="39" t="str">
        <f>IF(AND($L621*1&gt;=$G$3,$L621*1&lt;=$G$4,$I621*$J621&gt;0,OR($I621&lt;&gt;$I622,$L621-$L622&gt;25),IF(ABS($I621)&gt;10,$I621/POW(10,$J621),$J621/POW(10,$I621))*MAXIFS(Token!$C:$C,Token!$A:$A,$K621)&gt;0.01),$L621/86400+DATE(1970,1,1)+$G$6,)</f>
        <v/>
      </c>
      <c r="B621" s="27" t="str">
        <f t="shared" si="1"/>
        <v/>
      </c>
      <c r="C621" s="14" t="str">
        <f>IF($A621&lt;&gt;"",MINIFS(Merchant!$A:$A,Merchant!$B:$B,$G$2),)</f>
        <v/>
      </c>
      <c r="D621" s="14" t="str">
        <f t="shared" si="2"/>
        <v/>
      </c>
      <c r="E621" s="14" t="str">
        <f t="shared" si="3"/>
        <v/>
      </c>
      <c r="F621" s="7" t="str">
        <f>IF($A621&lt;&gt;"",MAXIFS(Token!$C:$C,Token!$A:$A,$D621),)</f>
        <v/>
      </c>
    </row>
    <row r="622">
      <c r="A622" s="39" t="str">
        <f>IF(AND($L622*1&gt;=$G$3,$L622*1&lt;=$G$4,$I622*$J622&gt;0,OR($I622&lt;&gt;$I623,$L622-$L623&gt;25),IF(ABS($I622)&gt;10,$I622/POW(10,$J622),$J622/POW(10,$I622))*MAXIFS(Token!$C:$C,Token!$A:$A,$K622)&gt;0.01),$L622/86400+DATE(1970,1,1)+$G$6,)</f>
        <v/>
      </c>
      <c r="B622" s="27" t="str">
        <f t="shared" si="1"/>
        <v/>
      </c>
      <c r="C622" s="14" t="str">
        <f>IF($A622&lt;&gt;"",MINIFS(Merchant!$A:$A,Merchant!$B:$B,$G$2),)</f>
        <v/>
      </c>
      <c r="D622" s="14" t="str">
        <f t="shared" si="2"/>
        <v/>
      </c>
      <c r="E622" s="14" t="str">
        <f t="shared" si="3"/>
        <v/>
      </c>
      <c r="F622" s="7" t="str">
        <f>IF($A622&lt;&gt;"",MAXIFS(Token!$C:$C,Token!$A:$A,$D622),)</f>
        <v/>
      </c>
    </row>
    <row r="623">
      <c r="A623" s="39" t="str">
        <f>IF(AND($L623*1&gt;=$G$3,$L623*1&lt;=$G$4,$I623*$J623&gt;0,OR($I623&lt;&gt;$I624,$L623-$L624&gt;25),IF(ABS($I623)&gt;10,$I623/POW(10,$J623),$J623/POW(10,$I623))*MAXIFS(Token!$C:$C,Token!$A:$A,$K623)&gt;0.01),$L623/86400+DATE(1970,1,1)+$G$6,)</f>
        <v/>
      </c>
      <c r="B623" s="27" t="str">
        <f t="shared" si="1"/>
        <v/>
      </c>
      <c r="C623" s="14" t="str">
        <f>IF($A623&lt;&gt;"",MINIFS(Merchant!$A:$A,Merchant!$B:$B,$G$2),)</f>
        <v/>
      </c>
      <c r="D623" s="14" t="str">
        <f t="shared" si="2"/>
        <v/>
      </c>
      <c r="E623" s="14" t="str">
        <f t="shared" si="3"/>
        <v/>
      </c>
      <c r="F623" s="7" t="str">
        <f>IF($A623&lt;&gt;"",MAXIFS(Token!$C:$C,Token!$A:$A,$D623),)</f>
        <v/>
      </c>
    </row>
    <row r="624">
      <c r="A624" s="39" t="str">
        <f>IF(AND($L624*1&gt;=$G$3,$L624*1&lt;=$G$4,$I624*$J624&gt;0,OR($I624&lt;&gt;$I625,$L624-$L625&gt;25),IF(ABS($I624)&gt;10,$I624/POW(10,$J624),$J624/POW(10,$I624))*MAXIFS(Token!$C:$C,Token!$A:$A,$K624)&gt;0.01),$L624/86400+DATE(1970,1,1)+$G$6,)</f>
        <v/>
      </c>
      <c r="B624" s="27" t="str">
        <f t="shared" si="1"/>
        <v/>
      </c>
      <c r="C624" s="14" t="str">
        <f>IF($A624&lt;&gt;"",MINIFS(Merchant!$A:$A,Merchant!$B:$B,$G$2),)</f>
        <v/>
      </c>
      <c r="D624" s="14" t="str">
        <f t="shared" si="2"/>
        <v/>
      </c>
      <c r="E624" s="14" t="str">
        <f t="shared" si="3"/>
        <v/>
      </c>
      <c r="F624" s="7" t="str">
        <f>IF($A624&lt;&gt;"",MAXIFS(Token!$C:$C,Token!$A:$A,$D624),)</f>
        <v/>
      </c>
    </row>
    <row r="625">
      <c r="A625" s="39" t="str">
        <f>IF(AND($L625*1&gt;=$G$3,$L625*1&lt;=$G$4,$I625*$J625&gt;0,OR($I625&lt;&gt;$I626,$L625-$L626&gt;25),IF(ABS($I625)&gt;10,$I625/POW(10,$J625),$J625/POW(10,$I625))*MAXIFS(Token!$C:$C,Token!$A:$A,$K625)&gt;0.01),$L625/86400+DATE(1970,1,1)+$G$6,)</f>
        <v/>
      </c>
      <c r="B625" s="27" t="str">
        <f t="shared" si="1"/>
        <v/>
      </c>
      <c r="C625" s="14" t="str">
        <f>IF($A625&lt;&gt;"",MINIFS(Merchant!$A:$A,Merchant!$B:$B,$G$2),)</f>
        <v/>
      </c>
      <c r="D625" s="14" t="str">
        <f t="shared" si="2"/>
        <v/>
      </c>
      <c r="E625" s="14" t="str">
        <f t="shared" si="3"/>
        <v/>
      </c>
      <c r="F625" s="7" t="str">
        <f>IF($A625&lt;&gt;"",MAXIFS(Token!$C:$C,Token!$A:$A,$D625),)</f>
        <v/>
      </c>
    </row>
    <row r="626">
      <c r="A626" s="39" t="str">
        <f>IF(AND($L626*1&gt;=$G$3,$L626*1&lt;=$G$4,$I626*$J626&gt;0,OR($I626&lt;&gt;$I627,$L626-$L627&gt;25),IF(ABS($I626)&gt;10,$I626/POW(10,$J626),$J626/POW(10,$I626))*MAXIFS(Token!$C:$C,Token!$A:$A,$K626)&gt;0.01),$L626/86400+DATE(1970,1,1)+$G$6,)</f>
        <v/>
      </c>
      <c r="B626" s="27" t="str">
        <f t="shared" si="1"/>
        <v/>
      </c>
      <c r="C626" s="14" t="str">
        <f>IF($A626&lt;&gt;"",MINIFS(Merchant!$A:$A,Merchant!$B:$B,$G$2),)</f>
        <v/>
      </c>
      <c r="D626" s="14" t="str">
        <f t="shared" si="2"/>
        <v/>
      </c>
      <c r="E626" s="14" t="str">
        <f t="shared" si="3"/>
        <v/>
      </c>
      <c r="F626" s="7" t="str">
        <f>IF($A626&lt;&gt;"",MAXIFS(Token!$C:$C,Token!$A:$A,$D626),)</f>
        <v/>
      </c>
    </row>
    <row r="627">
      <c r="A627" s="39" t="str">
        <f>IF(AND($L627*1&gt;=$G$3,$L627*1&lt;=$G$4,$I627*$J627&gt;0,OR($I627&lt;&gt;$I628,$L627-$L628&gt;25),IF(ABS($I627)&gt;10,$I627/POW(10,$J627),$J627/POW(10,$I627))*MAXIFS(Token!$C:$C,Token!$A:$A,$K627)&gt;0.01),$L627/86400+DATE(1970,1,1)+$G$6,)</f>
        <v/>
      </c>
      <c r="B627" s="27" t="str">
        <f t="shared" si="1"/>
        <v/>
      </c>
      <c r="C627" s="14" t="str">
        <f>IF($A627&lt;&gt;"",MINIFS(Merchant!$A:$A,Merchant!$B:$B,$G$2),)</f>
        <v/>
      </c>
      <c r="D627" s="14" t="str">
        <f t="shared" si="2"/>
        <v/>
      </c>
      <c r="E627" s="14" t="str">
        <f t="shared" si="3"/>
        <v/>
      </c>
      <c r="F627" s="7" t="str">
        <f>IF($A627&lt;&gt;"",MAXIFS(Token!$C:$C,Token!$A:$A,$D627),)</f>
        <v/>
      </c>
    </row>
    <row r="628">
      <c r="A628" s="39" t="str">
        <f>IF(AND($L628*1&gt;=$G$3,$L628*1&lt;=$G$4,$I628*$J628&gt;0,OR($I628&lt;&gt;$I629,$L628-$L629&gt;25),IF(ABS($I628)&gt;10,$I628/POW(10,$J628),$J628/POW(10,$I628))*MAXIFS(Token!$C:$C,Token!$A:$A,$K628)&gt;0.01),$L628/86400+DATE(1970,1,1)+$G$6,)</f>
        <v/>
      </c>
      <c r="B628" s="27" t="str">
        <f t="shared" si="1"/>
        <v/>
      </c>
      <c r="C628" s="14" t="str">
        <f>IF($A628&lt;&gt;"",MINIFS(Merchant!$A:$A,Merchant!$B:$B,$G$2),)</f>
        <v/>
      </c>
      <c r="D628" s="14" t="str">
        <f t="shared" si="2"/>
        <v/>
      </c>
      <c r="E628" s="14" t="str">
        <f t="shared" si="3"/>
        <v/>
      </c>
      <c r="F628" s="7" t="str">
        <f>IF($A628&lt;&gt;"",MAXIFS(Token!$C:$C,Token!$A:$A,$D628),)</f>
        <v/>
      </c>
    </row>
    <row r="629">
      <c r="A629" s="39" t="str">
        <f>IF(AND($L629*1&gt;=$G$3,$L629*1&lt;=$G$4,$I629*$J629&gt;0,OR($I629&lt;&gt;$I630,$L629-$L630&gt;25),IF(ABS($I629)&gt;10,$I629/POW(10,$J629),$J629/POW(10,$I629))*MAXIFS(Token!$C:$C,Token!$A:$A,$K629)&gt;0.01),$L629/86400+DATE(1970,1,1)+$G$6,)</f>
        <v/>
      </c>
      <c r="B629" s="27" t="str">
        <f t="shared" si="1"/>
        <v/>
      </c>
      <c r="C629" s="14" t="str">
        <f>IF($A629&lt;&gt;"",MINIFS(Merchant!$A:$A,Merchant!$B:$B,$G$2),)</f>
        <v/>
      </c>
      <c r="D629" s="14" t="str">
        <f t="shared" si="2"/>
        <v/>
      </c>
      <c r="E629" s="14" t="str">
        <f t="shared" si="3"/>
        <v/>
      </c>
      <c r="F629" s="7" t="str">
        <f>IF($A629&lt;&gt;"",MAXIFS(Token!$C:$C,Token!$A:$A,$D629),)</f>
        <v/>
      </c>
    </row>
    <row r="630">
      <c r="A630" s="39" t="str">
        <f>IF(AND($L630*1&gt;=$G$3,$L630*1&lt;=$G$4,$I630*$J630&gt;0,OR($I630&lt;&gt;$I631,$L630-$L631&gt;25),IF(ABS($I630)&gt;10,$I630/POW(10,$J630),$J630/POW(10,$I630))*MAXIFS(Token!$C:$C,Token!$A:$A,$K630)&gt;0.01),$L630/86400+DATE(1970,1,1)+$G$6,)</f>
        <v/>
      </c>
      <c r="B630" s="27" t="str">
        <f t="shared" si="1"/>
        <v/>
      </c>
      <c r="C630" s="14" t="str">
        <f>IF($A630&lt;&gt;"",MINIFS(Merchant!$A:$A,Merchant!$B:$B,$G$2),)</f>
        <v/>
      </c>
      <c r="D630" s="14" t="str">
        <f t="shared" si="2"/>
        <v/>
      </c>
      <c r="E630" s="14" t="str">
        <f t="shared" si="3"/>
        <v/>
      </c>
      <c r="F630" s="7" t="str">
        <f>IF($A630&lt;&gt;"",MAXIFS(Token!$C:$C,Token!$A:$A,$D630),)</f>
        <v/>
      </c>
    </row>
    <row r="631">
      <c r="A631" s="39" t="str">
        <f>IF(AND($L631*1&gt;=$G$3,$L631*1&lt;=$G$4,$I631*$J631&gt;0,OR($I631&lt;&gt;$I632,$L631-$L632&gt;25),IF(ABS($I631)&gt;10,$I631/POW(10,$J631),$J631/POW(10,$I631))*MAXIFS(Token!$C:$C,Token!$A:$A,$K631)&gt;0.01),$L631/86400+DATE(1970,1,1)+$G$6,)</f>
        <v/>
      </c>
      <c r="B631" s="27" t="str">
        <f t="shared" si="1"/>
        <v/>
      </c>
      <c r="C631" s="14" t="str">
        <f>IF($A631&lt;&gt;"",MINIFS(Merchant!$A:$A,Merchant!$B:$B,$G$2),)</f>
        <v/>
      </c>
      <c r="D631" s="14" t="str">
        <f t="shared" si="2"/>
        <v/>
      </c>
      <c r="E631" s="14" t="str">
        <f t="shared" si="3"/>
        <v/>
      </c>
      <c r="F631" s="7" t="str">
        <f>IF($A631&lt;&gt;"",MAXIFS(Token!$C:$C,Token!$A:$A,$D631),)</f>
        <v/>
      </c>
    </row>
    <row r="632">
      <c r="A632" s="39" t="str">
        <f>IF(AND($L632*1&gt;=$G$3,$L632*1&lt;=$G$4,$I632*$J632&gt;0,OR($I632&lt;&gt;$I633,$L632-$L633&gt;25),IF(ABS($I632)&gt;10,$I632/POW(10,$J632),$J632/POW(10,$I632))*MAXIFS(Token!$C:$C,Token!$A:$A,$K632)&gt;0.01),$L632/86400+DATE(1970,1,1)+$G$6,)</f>
        <v/>
      </c>
      <c r="B632" s="27" t="str">
        <f t="shared" si="1"/>
        <v/>
      </c>
      <c r="C632" s="14" t="str">
        <f>IF($A632&lt;&gt;"",MINIFS(Merchant!$A:$A,Merchant!$B:$B,$G$2),)</f>
        <v/>
      </c>
      <c r="D632" s="14" t="str">
        <f t="shared" si="2"/>
        <v/>
      </c>
      <c r="E632" s="14" t="str">
        <f t="shared" si="3"/>
        <v/>
      </c>
      <c r="F632" s="7" t="str">
        <f>IF($A632&lt;&gt;"",MAXIFS(Token!$C:$C,Token!$A:$A,$D632),)</f>
        <v/>
      </c>
    </row>
    <row r="633">
      <c r="A633" s="39" t="str">
        <f>IF(AND($L633*1&gt;=$G$3,$L633*1&lt;=$G$4,$I633*$J633&gt;0,OR($I633&lt;&gt;$I634,$L633-$L634&gt;25),IF(ABS($I633)&gt;10,$I633/POW(10,$J633),$J633/POW(10,$I633))*MAXIFS(Token!$C:$C,Token!$A:$A,$K633)&gt;0.01),$L633/86400+DATE(1970,1,1)+$G$6,)</f>
        <v/>
      </c>
      <c r="B633" s="27" t="str">
        <f t="shared" si="1"/>
        <v/>
      </c>
      <c r="C633" s="14" t="str">
        <f>IF($A633&lt;&gt;"",MINIFS(Merchant!$A:$A,Merchant!$B:$B,$G$2),)</f>
        <v/>
      </c>
      <c r="D633" s="14" t="str">
        <f t="shared" si="2"/>
        <v/>
      </c>
      <c r="E633" s="14" t="str">
        <f t="shared" si="3"/>
        <v/>
      </c>
      <c r="F633" s="7" t="str">
        <f>IF($A633&lt;&gt;"",MAXIFS(Token!$C:$C,Token!$A:$A,$D633),)</f>
        <v/>
      </c>
    </row>
    <row r="634">
      <c r="A634" s="39" t="str">
        <f>IF(AND($L634*1&gt;=$G$3,$L634*1&lt;=$G$4,$I634*$J634&gt;0,OR($I634&lt;&gt;$I635,$L634-$L635&gt;25),IF(ABS($I634)&gt;10,$I634/POW(10,$J634),$J634/POW(10,$I634))*MAXIFS(Token!$C:$C,Token!$A:$A,$K634)&gt;0.01),$L634/86400+DATE(1970,1,1)+$G$6,)</f>
        <v/>
      </c>
      <c r="B634" s="27" t="str">
        <f t="shared" si="1"/>
        <v/>
      </c>
      <c r="C634" s="14" t="str">
        <f>IF($A634&lt;&gt;"",MINIFS(Merchant!$A:$A,Merchant!$B:$B,$G$2),)</f>
        <v/>
      </c>
      <c r="D634" s="14" t="str">
        <f t="shared" si="2"/>
        <v/>
      </c>
      <c r="E634" s="14" t="str">
        <f t="shared" si="3"/>
        <v/>
      </c>
      <c r="F634" s="7" t="str">
        <f>IF($A634&lt;&gt;"",MAXIFS(Token!$C:$C,Token!$A:$A,$D634),)</f>
        <v/>
      </c>
    </row>
    <row r="635">
      <c r="A635" s="39" t="str">
        <f>IF(AND($L635*1&gt;=$G$3,$L635*1&lt;=$G$4,$I635*$J635&gt;0,OR($I635&lt;&gt;$I636,$L635-$L636&gt;25),IF(ABS($I635)&gt;10,$I635/POW(10,$J635),$J635/POW(10,$I635))*MAXIFS(Token!$C:$C,Token!$A:$A,$K635)&gt;0.01),$L635/86400+DATE(1970,1,1)+$G$6,)</f>
        <v/>
      </c>
      <c r="B635" s="27" t="str">
        <f t="shared" si="1"/>
        <v/>
      </c>
      <c r="C635" s="14" t="str">
        <f>IF($A635&lt;&gt;"",MINIFS(Merchant!$A:$A,Merchant!$B:$B,$G$2),)</f>
        <v/>
      </c>
      <c r="D635" s="14" t="str">
        <f t="shared" si="2"/>
        <v/>
      </c>
      <c r="E635" s="14" t="str">
        <f t="shared" si="3"/>
        <v/>
      </c>
      <c r="F635" s="7" t="str">
        <f>IF($A635&lt;&gt;"",MAXIFS(Token!$C:$C,Token!$A:$A,$D635),)</f>
        <v/>
      </c>
    </row>
    <row r="636">
      <c r="A636" s="39" t="str">
        <f>IF(AND($L636*1&gt;=$G$3,$L636*1&lt;=$G$4,$I636*$J636&gt;0,OR($I636&lt;&gt;$I637,$L636-$L637&gt;25),IF(ABS($I636)&gt;10,$I636/POW(10,$J636),$J636/POW(10,$I636))*MAXIFS(Token!$C:$C,Token!$A:$A,$K636)&gt;0.01),$L636/86400+DATE(1970,1,1)+$G$6,)</f>
        <v/>
      </c>
      <c r="B636" s="27" t="str">
        <f t="shared" si="1"/>
        <v/>
      </c>
      <c r="C636" s="14" t="str">
        <f>IF($A636&lt;&gt;"",MINIFS(Merchant!$A:$A,Merchant!$B:$B,$G$2),)</f>
        <v/>
      </c>
      <c r="D636" s="14" t="str">
        <f t="shared" si="2"/>
        <v/>
      </c>
      <c r="E636" s="14" t="str">
        <f t="shared" si="3"/>
        <v/>
      </c>
      <c r="F636" s="7" t="str">
        <f>IF($A636&lt;&gt;"",MAXIFS(Token!$C:$C,Token!$A:$A,$D636),)</f>
        <v/>
      </c>
    </row>
    <row r="637">
      <c r="A637" s="39" t="str">
        <f>IF(AND($L637*1&gt;=$G$3,$L637*1&lt;=$G$4,$I637*$J637&gt;0,OR($I637&lt;&gt;$I638,$L637-$L638&gt;25),IF(ABS($I637)&gt;10,$I637/POW(10,$J637),$J637/POW(10,$I637))*MAXIFS(Token!$C:$C,Token!$A:$A,$K637)&gt;0.01),$L637/86400+DATE(1970,1,1)+$G$6,)</f>
        <v/>
      </c>
      <c r="B637" s="27" t="str">
        <f t="shared" si="1"/>
        <v/>
      </c>
      <c r="C637" s="14" t="str">
        <f>IF($A637&lt;&gt;"",MINIFS(Merchant!$A:$A,Merchant!$B:$B,$G$2),)</f>
        <v/>
      </c>
      <c r="D637" s="14" t="str">
        <f t="shared" si="2"/>
        <v/>
      </c>
      <c r="E637" s="14" t="str">
        <f t="shared" si="3"/>
        <v/>
      </c>
      <c r="F637" s="7" t="str">
        <f>IF($A637&lt;&gt;"",MAXIFS(Token!$C:$C,Token!$A:$A,$D637),)</f>
        <v/>
      </c>
    </row>
    <row r="638">
      <c r="A638" s="39" t="str">
        <f>IF(AND($L638*1&gt;=$G$3,$L638*1&lt;=$G$4,$I638*$J638&gt;0,OR($I638&lt;&gt;$I639,$L638-$L639&gt;25),IF(ABS($I638)&gt;10,$I638/POW(10,$J638),$J638/POW(10,$I638))*MAXIFS(Token!$C:$C,Token!$A:$A,$K638)&gt;0.01),$L638/86400+DATE(1970,1,1)+$G$6,)</f>
        <v/>
      </c>
      <c r="B638" s="27" t="str">
        <f t="shared" si="1"/>
        <v/>
      </c>
      <c r="C638" s="14" t="str">
        <f>IF($A638&lt;&gt;"",MINIFS(Merchant!$A:$A,Merchant!$B:$B,$G$2),)</f>
        <v/>
      </c>
      <c r="D638" s="14" t="str">
        <f t="shared" si="2"/>
        <v/>
      </c>
      <c r="E638" s="14" t="str">
        <f t="shared" si="3"/>
        <v/>
      </c>
      <c r="F638" s="7" t="str">
        <f>IF($A638&lt;&gt;"",MAXIFS(Token!$C:$C,Token!$A:$A,$D638),)</f>
        <v/>
      </c>
    </row>
    <row r="639">
      <c r="A639" s="39" t="str">
        <f>IF(AND($L639*1&gt;=$G$3,$L639*1&lt;=$G$4,$I639*$J639&gt;0,OR($I639&lt;&gt;$I640,$L639-$L640&gt;25),IF(ABS($I639)&gt;10,$I639/POW(10,$J639),$J639/POW(10,$I639))*MAXIFS(Token!$C:$C,Token!$A:$A,$K639)&gt;0.01),$L639/86400+DATE(1970,1,1)+$G$6,)</f>
        <v/>
      </c>
      <c r="B639" s="27" t="str">
        <f t="shared" si="1"/>
        <v/>
      </c>
      <c r="C639" s="14" t="str">
        <f>IF($A639&lt;&gt;"",MINIFS(Merchant!$A:$A,Merchant!$B:$B,$G$2),)</f>
        <v/>
      </c>
      <c r="D639" s="14" t="str">
        <f t="shared" si="2"/>
        <v/>
      </c>
      <c r="E639" s="14" t="str">
        <f t="shared" si="3"/>
        <v/>
      </c>
      <c r="F639" s="7" t="str">
        <f>IF($A639&lt;&gt;"",MAXIFS(Token!$C:$C,Token!$A:$A,$D639),)</f>
        <v/>
      </c>
    </row>
    <row r="640">
      <c r="A640" s="39" t="str">
        <f>IF(AND($L640*1&gt;=$G$3,$L640*1&lt;=$G$4,$I640*$J640&gt;0,OR($I640&lt;&gt;$I641,$L640-$L641&gt;25),IF(ABS($I640)&gt;10,$I640/POW(10,$J640),$J640/POW(10,$I640))*MAXIFS(Token!$C:$C,Token!$A:$A,$K640)&gt;0.01),$L640/86400+DATE(1970,1,1)+$G$6,)</f>
        <v/>
      </c>
      <c r="B640" s="27" t="str">
        <f t="shared" si="1"/>
        <v/>
      </c>
      <c r="C640" s="14" t="str">
        <f>IF($A640&lt;&gt;"",MINIFS(Merchant!$A:$A,Merchant!$B:$B,$G$2),)</f>
        <v/>
      </c>
      <c r="D640" s="14" t="str">
        <f t="shared" si="2"/>
        <v/>
      </c>
      <c r="E640" s="14" t="str">
        <f t="shared" si="3"/>
        <v/>
      </c>
      <c r="F640" s="7" t="str">
        <f>IF($A640&lt;&gt;"",MAXIFS(Token!$C:$C,Token!$A:$A,$D640),)</f>
        <v/>
      </c>
    </row>
    <row r="641">
      <c r="A641" s="39" t="str">
        <f>IF(AND($L641*1&gt;=$G$3,$L641*1&lt;=$G$4,$I641*$J641&gt;0,OR($I641&lt;&gt;$I642,$L641-$L642&gt;25),IF(ABS($I641)&gt;10,$I641/POW(10,$J641),$J641/POW(10,$I641))*MAXIFS(Token!$C:$C,Token!$A:$A,$K641)&gt;0.01),$L641/86400+DATE(1970,1,1)+$G$6,)</f>
        <v/>
      </c>
      <c r="B641" s="27" t="str">
        <f t="shared" si="1"/>
        <v/>
      </c>
      <c r="C641" s="14" t="str">
        <f>IF($A641&lt;&gt;"",MINIFS(Merchant!$A:$A,Merchant!$B:$B,$G$2),)</f>
        <v/>
      </c>
      <c r="D641" s="14" t="str">
        <f t="shared" si="2"/>
        <v/>
      </c>
      <c r="E641" s="14" t="str">
        <f t="shared" si="3"/>
        <v/>
      </c>
      <c r="F641" s="7" t="str">
        <f>IF($A641&lt;&gt;"",MAXIFS(Token!$C:$C,Token!$A:$A,$D641),)</f>
        <v/>
      </c>
    </row>
    <row r="642">
      <c r="A642" s="39" t="str">
        <f>IF(AND($L642*1&gt;=$G$3,$L642*1&lt;=$G$4,$I642*$J642&gt;0,OR($I642&lt;&gt;$I643,$L642-$L643&gt;25),IF(ABS($I642)&gt;10,$I642/POW(10,$J642),$J642/POW(10,$I642))*MAXIFS(Token!$C:$C,Token!$A:$A,$K642)&gt;0.01),$L642/86400+DATE(1970,1,1)+$G$6,)</f>
        <v/>
      </c>
      <c r="B642" s="27" t="str">
        <f t="shared" si="1"/>
        <v/>
      </c>
      <c r="C642" s="14" t="str">
        <f>IF($A642&lt;&gt;"",MINIFS(Merchant!$A:$A,Merchant!$B:$B,$G$2),)</f>
        <v/>
      </c>
      <c r="D642" s="14" t="str">
        <f t="shared" si="2"/>
        <v/>
      </c>
      <c r="E642" s="14" t="str">
        <f t="shared" si="3"/>
        <v/>
      </c>
      <c r="F642" s="7" t="str">
        <f>IF($A642&lt;&gt;"",MAXIFS(Token!$C:$C,Token!$A:$A,$D642),)</f>
        <v/>
      </c>
    </row>
    <row r="643">
      <c r="A643" s="39" t="str">
        <f>IF(AND($L643*1&gt;=$G$3,$L643*1&lt;=$G$4,$I643*$J643&gt;0,OR($I643&lt;&gt;$I644,$L643-$L644&gt;25),IF(ABS($I643)&gt;10,$I643/POW(10,$J643),$J643/POW(10,$I643))*MAXIFS(Token!$C:$C,Token!$A:$A,$K643)&gt;0.01),$L643/86400+DATE(1970,1,1)+$G$6,)</f>
        <v/>
      </c>
      <c r="B643" s="27" t="str">
        <f t="shared" si="1"/>
        <v/>
      </c>
      <c r="C643" s="14" t="str">
        <f>IF($A643&lt;&gt;"",MINIFS(Merchant!$A:$A,Merchant!$B:$B,$G$2),)</f>
        <v/>
      </c>
      <c r="D643" s="14" t="str">
        <f t="shared" si="2"/>
        <v/>
      </c>
      <c r="E643" s="14" t="str">
        <f t="shared" si="3"/>
        <v/>
      </c>
      <c r="F643" s="7" t="str">
        <f>IF($A643&lt;&gt;"",MAXIFS(Token!$C:$C,Token!$A:$A,$D643),)</f>
        <v/>
      </c>
    </row>
    <row r="644">
      <c r="A644" s="39" t="str">
        <f>IF(AND($L644*1&gt;=$G$3,$L644*1&lt;=$G$4,$I644*$J644&gt;0,OR($I644&lt;&gt;$I645,$L644-$L645&gt;25),IF(ABS($I644)&gt;10,$I644/POW(10,$J644),$J644/POW(10,$I644))*MAXIFS(Token!$C:$C,Token!$A:$A,$K644)&gt;0.01),$L644/86400+DATE(1970,1,1)+$G$6,)</f>
        <v/>
      </c>
      <c r="B644" s="27" t="str">
        <f t="shared" si="1"/>
        <v/>
      </c>
      <c r="C644" s="14" t="str">
        <f>IF($A644&lt;&gt;"",MINIFS(Merchant!$A:$A,Merchant!$B:$B,$G$2),)</f>
        <v/>
      </c>
      <c r="D644" s="14" t="str">
        <f t="shared" si="2"/>
        <v/>
      </c>
      <c r="E644" s="14" t="str">
        <f t="shared" si="3"/>
        <v/>
      </c>
      <c r="F644" s="7" t="str">
        <f>IF($A644&lt;&gt;"",MAXIFS(Token!$C:$C,Token!$A:$A,$D644),)</f>
        <v/>
      </c>
    </row>
    <row r="645">
      <c r="A645" s="39" t="str">
        <f>IF(AND($L645*1&gt;=$G$3,$L645*1&lt;=$G$4,$I645*$J645&gt;0,OR($I645&lt;&gt;$I646,$L645-$L646&gt;25),IF(ABS($I645)&gt;10,$I645/POW(10,$J645),$J645/POW(10,$I645))*MAXIFS(Token!$C:$C,Token!$A:$A,$K645)&gt;0.01),$L645/86400+DATE(1970,1,1)+$G$6,)</f>
        <v/>
      </c>
      <c r="B645" s="27" t="str">
        <f t="shared" si="1"/>
        <v/>
      </c>
      <c r="C645" s="14" t="str">
        <f>IF($A645&lt;&gt;"",MINIFS(Merchant!$A:$A,Merchant!$B:$B,$G$2),)</f>
        <v/>
      </c>
      <c r="D645" s="14" t="str">
        <f t="shared" si="2"/>
        <v/>
      </c>
      <c r="E645" s="14" t="str">
        <f t="shared" si="3"/>
        <v/>
      </c>
      <c r="F645" s="7" t="str">
        <f>IF($A645&lt;&gt;"",MAXIFS(Token!$C:$C,Token!$A:$A,$D645),)</f>
        <v/>
      </c>
    </row>
    <row r="646">
      <c r="A646" s="39" t="str">
        <f>IF(AND($L646*1&gt;=$G$3,$L646*1&lt;=$G$4,$I646*$J646&gt;0,OR($I646&lt;&gt;$I647,$L646-$L647&gt;25),IF(ABS($I646)&gt;10,$I646/POW(10,$J646),$J646/POW(10,$I646))*MAXIFS(Token!$C:$C,Token!$A:$A,$K646)&gt;0.01),$L646/86400+DATE(1970,1,1)+$G$6,)</f>
        <v/>
      </c>
      <c r="B646" s="27" t="str">
        <f t="shared" si="1"/>
        <v/>
      </c>
      <c r="C646" s="14" t="str">
        <f>IF($A646&lt;&gt;"",MINIFS(Merchant!$A:$A,Merchant!$B:$B,$G$2),)</f>
        <v/>
      </c>
      <c r="D646" s="14" t="str">
        <f t="shared" si="2"/>
        <v/>
      </c>
      <c r="E646" s="14" t="str">
        <f t="shared" si="3"/>
        <v/>
      </c>
      <c r="F646" s="7" t="str">
        <f>IF($A646&lt;&gt;"",MAXIFS(Token!$C:$C,Token!$A:$A,$D646),)</f>
        <v/>
      </c>
    </row>
    <row r="647">
      <c r="A647" s="39" t="str">
        <f>IF(AND($L647*1&gt;=$G$3,$L647*1&lt;=$G$4,$I647*$J647&gt;0,OR($I647&lt;&gt;$I648,$L647-$L648&gt;25),IF(ABS($I647)&gt;10,$I647/POW(10,$J647),$J647/POW(10,$I647))*MAXIFS(Token!$C:$C,Token!$A:$A,$K647)&gt;0.01),$L647/86400+DATE(1970,1,1)+$G$6,)</f>
        <v/>
      </c>
      <c r="B647" s="27" t="str">
        <f t="shared" si="1"/>
        <v/>
      </c>
      <c r="C647" s="14" t="str">
        <f>IF($A647&lt;&gt;"",MINIFS(Merchant!$A:$A,Merchant!$B:$B,$G$2),)</f>
        <v/>
      </c>
      <c r="D647" s="14" t="str">
        <f t="shared" si="2"/>
        <v/>
      </c>
      <c r="E647" s="14" t="str">
        <f t="shared" si="3"/>
        <v/>
      </c>
      <c r="F647" s="7" t="str">
        <f>IF($A647&lt;&gt;"",MAXIFS(Token!$C:$C,Token!$A:$A,$D647),)</f>
        <v/>
      </c>
    </row>
    <row r="648">
      <c r="A648" s="39" t="str">
        <f>IF(AND($L648*1&gt;=$G$3,$L648*1&lt;=$G$4,$I648*$J648&gt;0,OR($I648&lt;&gt;$I649,$L648-$L649&gt;25),IF(ABS($I648)&gt;10,$I648/POW(10,$J648),$J648/POW(10,$I648))*MAXIFS(Token!$C:$C,Token!$A:$A,$K648)&gt;0.01),$L648/86400+DATE(1970,1,1)+$G$6,)</f>
        <v/>
      </c>
      <c r="B648" s="27" t="str">
        <f t="shared" si="1"/>
        <v/>
      </c>
      <c r="C648" s="14" t="str">
        <f>IF($A648&lt;&gt;"",MINIFS(Merchant!$A:$A,Merchant!$B:$B,$G$2),)</f>
        <v/>
      </c>
      <c r="D648" s="14" t="str">
        <f t="shared" si="2"/>
        <v/>
      </c>
      <c r="E648" s="14" t="str">
        <f t="shared" si="3"/>
        <v/>
      </c>
      <c r="F648" s="7" t="str">
        <f>IF($A648&lt;&gt;"",MAXIFS(Token!$C:$C,Token!$A:$A,$D648),)</f>
        <v/>
      </c>
    </row>
    <row r="649">
      <c r="A649" s="39" t="str">
        <f>IF(AND($L649*1&gt;=$G$3,$L649*1&lt;=$G$4,$I649*$J649&gt;0,OR($I649&lt;&gt;$I650,$L649-$L650&gt;25),IF(ABS($I649)&gt;10,$I649/POW(10,$J649),$J649/POW(10,$I649))*MAXIFS(Token!$C:$C,Token!$A:$A,$K649)&gt;0.01),$L649/86400+DATE(1970,1,1)+$G$6,)</f>
        <v/>
      </c>
      <c r="B649" s="27" t="str">
        <f t="shared" si="1"/>
        <v/>
      </c>
      <c r="C649" s="14" t="str">
        <f>IF($A649&lt;&gt;"",MINIFS(Merchant!$A:$A,Merchant!$B:$B,$G$2),)</f>
        <v/>
      </c>
      <c r="D649" s="14" t="str">
        <f t="shared" si="2"/>
        <v/>
      </c>
      <c r="E649" s="14" t="str">
        <f t="shared" si="3"/>
        <v/>
      </c>
      <c r="F649" s="7" t="str">
        <f>IF($A649&lt;&gt;"",MAXIFS(Token!$C:$C,Token!$A:$A,$D649),)</f>
        <v/>
      </c>
    </row>
    <row r="650">
      <c r="A650" s="39" t="str">
        <f>IF(AND($L650*1&gt;=$G$3,$L650*1&lt;=$G$4,$I650*$J650&gt;0,OR($I650&lt;&gt;$I651,$L650-$L651&gt;25),IF(ABS($I650)&gt;10,$I650/POW(10,$J650),$J650/POW(10,$I650))*MAXIFS(Token!$C:$C,Token!$A:$A,$K650)&gt;0.01),$L650/86400+DATE(1970,1,1)+$G$6,)</f>
        <v/>
      </c>
      <c r="B650" s="27" t="str">
        <f t="shared" si="1"/>
        <v/>
      </c>
      <c r="C650" s="14" t="str">
        <f>IF($A650&lt;&gt;"",MINIFS(Merchant!$A:$A,Merchant!$B:$B,$G$2),)</f>
        <v/>
      </c>
      <c r="D650" s="14" t="str">
        <f t="shared" si="2"/>
        <v/>
      </c>
      <c r="E650" s="14" t="str">
        <f t="shared" si="3"/>
        <v/>
      </c>
      <c r="F650" s="7" t="str">
        <f>IF($A650&lt;&gt;"",MAXIFS(Token!$C:$C,Token!$A:$A,$D650),)</f>
        <v/>
      </c>
    </row>
    <row r="651">
      <c r="A651" s="39" t="str">
        <f>IF(AND($L651*1&gt;=$G$3,$L651*1&lt;=$G$4,$I651*$J651&gt;0,OR($I651&lt;&gt;$I652,$L651-$L652&gt;25),IF(ABS($I651)&gt;10,$I651/POW(10,$J651),$J651/POW(10,$I651))*MAXIFS(Token!$C:$C,Token!$A:$A,$K651)&gt;0.01),$L651/86400+DATE(1970,1,1)+$G$6,)</f>
        <v/>
      </c>
      <c r="B651" s="27" t="str">
        <f t="shared" si="1"/>
        <v/>
      </c>
      <c r="C651" s="14" t="str">
        <f>IF($A651&lt;&gt;"",MINIFS(Merchant!$A:$A,Merchant!$B:$B,$G$2),)</f>
        <v/>
      </c>
      <c r="D651" s="14" t="str">
        <f t="shared" si="2"/>
        <v/>
      </c>
      <c r="E651" s="14" t="str">
        <f t="shared" si="3"/>
        <v/>
      </c>
      <c r="F651" s="7" t="str">
        <f>IF($A651&lt;&gt;"",MAXIFS(Token!$C:$C,Token!$A:$A,$D651),)</f>
        <v/>
      </c>
    </row>
    <row r="652">
      <c r="A652" s="39" t="str">
        <f>IF(AND($L652*1&gt;=$G$3,$L652*1&lt;=$G$4,$I652*$J652&gt;0,OR($I652&lt;&gt;$I653,$L652-$L653&gt;25),IF(ABS($I652)&gt;10,$I652/POW(10,$J652),$J652/POW(10,$I652))*MAXIFS(Token!$C:$C,Token!$A:$A,$K652)&gt;0.01),$L652/86400+DATE(1970,1,1)+$G$6,)</f>
        <v/>
      </c>
      <c r="B652" s="27" t="str">
        <f t="shared" si="1"/>
        <v/>
      </c>
      <c r="C652" s="14" t="str">
        <f>IF($A652&lt;&gt;"",MINIFS(Merchant!$A:$A,Merchant!$B:$B,$G$2),)</f>
        <v/>
      </c>
      <c r="D652" s="14" t="str">
        <f t="shared" si="2"/>
        <v/>
      </c>
      <c r="E652" s="14" t="str">
        <f t="shared" si="3"/>
        <v/>
      </c>
      <c r="F652" s="7" t="str">
        <f>IF($A652&lt;&gt;"",MAXIFS(Token!$C:$C,Token!$A:$A,$D652),)</f>
        <v/>
      </c>
    </row>
    <row r="653">
      <c r="A653" s="39" t="str">
        <f>IF(AND($L653*1&gt;=$G$3,$L653*1&lt;=$G$4,$I653*$J653&gt;0,OR($I653&lt;&gt;$I654,$L653-$L654&gt;25),IF(ABS($I653)&gt;10,$I653/POW(10,$J653),$J653/POW(10,$I653))*MAXIFS(Token!$C:$C,Token!$A:$A,$K653)&gt;0.01),$L653/86400+DATE(1970,1,1)+$G$6,)</f>
        <v/>
      </c>
      <c r="B653" s="27" t="str">
        <f t="shared" si="1"/>
        <v/>
      </c>
      <c r="C653" s="14" t="str">
        <f>IF($A653&lt;&gt;"",MINIFS(Merchant!$A:$A,Merchant!$B:$B,$G$2),)</f>
        <v/>
      </c>
      <c r="D653" s="14" t="str">
        <f t="shared" si="2"/>
        <v/>
      </c>
      <c r="E653" s="14" t="str">
        <f t="shared" si="3"/>
        <v/>
      </c>
      <c r="F653" s="7" t="str">
        <f>IF($A653&lt;&gt;"",MAXIFS(Token!$C:$C,Token!$A:$A,$D653),)</f>
        <v/>
      </c>
    </row>
    <row r="654">
      <c r="A654" s="39" t="str">
        <f>IF(AND($L654*1&gt;=$G$3,$L654*1&lt;=$G$4,$I654*$J654&gt;0,OR($I654&lt;&gt;$I655,$L654-$L655&gt;25),IF(ABS($I654)&gt;10,$I654/POW(10,$J654),$J654/POW(10,$I654))*MAXIFS(Token!$C:$C,Token!$A:$A,$K654)&gt;0.01),$L654/86400+DATE(1970,1,1)+$G$6,)</f>
        <v/>
      </c>
      <c r="B654" s="27" t="str">
        <f t="shared" si="1"/>
        <v/>
      </c>
      <c r="C654" s="14" t="str">
        <f>IF($A654&lt;&gt;"",MINIFS(Merchant!$A:$A,Merchant!$B:$B,$G$2),)</f>
        <v/>
      </c>
      <c r="D654" s="14" t="str">
        <f t="shared" si="2"/>
        <v/>
      </c>
      <c r="E654" s="14" t="str">
        <f t="shared" si="3"/>
        <v/>
      </c>
      <c r="F654" s="7" t="str">
        <f>IF($A654&lt;&gt;"",MAXIFS(Token!$C:$C,Token!$A:$A,$D654),)</f>
        <v/>
      </c>
    </row>
    <row r="655">
      <c r="A655" s="39" t="str">
        <f>IF(AND($L655*1&gt;=$G$3,$L655*1&lt;=$G$4,$I655*$J655&gt;0,OR($I655&lt;&gt;$I656,$L655-$L656&gt;25),IF(ABS($I655)&gt;10,$I655/POW(10,$J655),$J655/POW(10,$I655))*MAXIFS(Token!$C:$C,Token!$A:$A,$K655)&gt;0.01),$L655/86400+DATE(1970,1,1)+$G$6,)</f>
        <v/>
      </c>
      <c r="B655" s="27" t="str">
        <f t="shared" si="1"/>
        <v/>
      </c>
      <c r="C655" s="14" t="str">
        <f>IF($A655&lt;&gt;"",MINIFS(Merchant!$A:$A,Merchant!$B:$B,$G$2),)</f>
        <v/>
      </c>
      <c r="D655" s="14" t="str">
        <f t="shared" si="2"/>
        <v/>
      </c>
      <c r="E655" s="14" t="str">
        <f t="shared" si="3"/>
        <v/>
      </c>
      <c r="F655" s="7" t="str">
        <f>IF($A655&lt;&gt;"",MAXIFS(Token!$C:$C,Token!$A:$A,$D655),)</f>
        <v/>
      </c>
    </row>
    <row r="656">
      <c r="A656" s="39" t="str">
        <f>IF(AND($L656*1&gt;=$G$3,$L656*1&lt;=$G$4,$I656*$J656&gt;0,OR($I656&lt;&gt;$I657,$L656-$L657&gt;25),IF(ABS($I656)&gt;10,$I656/POW(10,$J656),$J656/POW(10,$I656))*MAXIFS(Token!$C:$C,Token!$A:$A,$K656)&gt;0.01),$L656/86400+DATE(1970,1,1)+$G$6,)</f>
        <v/>
      </c>
      <c r="B656" s="27" t="str">
        <f t="shared" si="1"/>
        <v/>
      </c>
      <c r="C656" s="14" t="str">
        <f>IF($A656&lt;&gt;"",MINIFS(Merchant!$A:$A,Merchant!$B:$B,$G$2),)</f>
        <v/>
      </c>
      <c r="D656" s="14" t="str">
        <f t="shared" si="2"/>
        <v/>
      </c>
      <c r="E656" s="14" t="str">
        <f t="shared" si="3"/>
        <v/>
      </c>
      <c r="F656" s="7" t="str">
        <f>IF($A656&lt;&gt;"",MAXIFS(Token!$C:$C,Token!$A:$A,$D656),)</f>
        <v/>
      </c>
    </row>
    <row r="657">
      <c r="A657" s="39" t="str">
        <f>IF(AND($L657*1&gt;=$G$3,$L657*1&lt;=$G$4,$I657*$J657&gt;0,OR($I657&lt;&gt;$I658,$L657-$L658&gt;25),IF(ABS($I657)&gt;10,$I657/POW(10,$J657),$J657/POW(10,$I657))*MAXIFS(Token!$C:$C,Token!$A:$A,$K657)&gt;0.01),$L657/86400+DATE(1970,1,1)+$G$6,)</f>
        <v/>
      </c>
      <c r="B657" s="27" t="str">
        <f t="shared" si="1"/>
        <v/>
      </c>
      <c r="C657" s="14" t="str">
        <f>IF($A657&lt;&gt;"",MINIFS(Merchant!$A:$A,Merchant!$B:$B,$G$2),)</f>
        <v/>
      </c>
      <c r="D657" s="14" t="str">
        <f t="shared" si="2"/>
        <v/>
      </c>
      <c r="E657" s="14" t="str">
        <f t="shared" si="3"/>
        <v/>
      </c>
      <c r="F657" s="7" t="str">
        <f>IF($A657&lt;&gt;"",MAXIFS(Token!$C:$C,Token!$A:$A,$D657),)</f>
        <v/>
      </c>
    </row>
    <row r="658">
      <c r="A658" s="39" t="str">
        <f>IF(AND($L658*1&gt;=$G$3,$L658*1&lt;=$G$4,$I658*$J658&gt;0,OR($I658&lt;&gt;$I659,$L658-$L659&gt;25),IF(ABS($I658)&gt;10,$I658/POW(10,$J658),$J658/POW(10,$I658))*MAXIFS(Token!$C:$C,Token!$A:$A,$K658)&gt;0.01),$L658/86400+DATE(1970,1,1)+$G$6,)</f>
        <v/>
      </c>
      <c r="B658" s="27" t="str">
        <f t="shared" si="1"/>
        <v/>
      </c>
      <c r="C658" s="14" t="str">
        <f>IF($A658&lt;&gt;"",MINIFS(Merchant!$A:$A,Merchant!$B:$B,$G$2),)</f>
        <v/>
      </c>
      <c r="D658" s="14" t="str">
        <f t="shared" si="2"/>
        <v/>
      </c>
      <c r="E658" s="14" t="str">
        <f t="shared" si="3"/>
        <v/>
      </c>
      <c r="F658" s="7" t="str">
        <f>IF($A658&lt;&gt;"",MAXIFS(Token!$C:$C,Token!$A:$A,$D658),)</f>
        <v/>
      </c>
    </row>
    <row r="659">
      <c r="A659" s="39" t="str">
        <f>IF(AND($L659*1&gt;=$G$3,$L659*1&lt;=$G$4,$I659*$J659&gt;0,OR($I659&lt;&gt;$I660,$L659-$L660&gt;25),IF(ABS($I659)&gt;10,$I659/POW(10,$J659),$J659/POW(10,$I659))*MAXIFS(Token!$C:$C,Token!$A:$A,$K659)&gt;0.01),$L659/86400+DATE(1970,1,1)+$G$6,)</f>
        <v/>
      </c>
      <c r="B659" s="27" t="str">
        <f t="shared" si="1"/>
        <v/>
      </c>
      <c r="C659" s="14" t="str">
        <f>IF($A659&lt;&gt;"",MINIFS(Merchant!$A:$A,Merchant!$B:$B,$G$2),)</f>
        <v/>
      </c>
      <c r="D659" s="14" t="str">
        <f t="shared" si="2"/>
        <v/>
      </c>
      <c r="E659" s="14" t="str">
        <f t="shared" si="3"/>
        <v/>
      </c>
      <c r="F659" s="7" t="str">
        <f>IF($A659&lt;&gt;"",MAXIFS(Token!$C:$C,Token!$A:$A,$D659),)</f>
        <v/>
      </c>
    </row>
    <row r="660">
      <c r="A660" s="39" t="str">
        <f>IF(AND($L660*1&gt;=$G$3,$L660*1&lt;=$G$4,$I660*$J660&gt;0,OR($I660&lt;&gt;$I661,$L660-$L661&gt;25),IF(ABS($I660)&gt;10,$I660/POW(10,$J660),$J660/POW(10,$I660))*MAXIFS(Token!$C:$C,Token!$A:$A,$K660)&gt;0.01),$L660/86400+DATE(1970,1,1)+$G$6,)</f>
        <v/>
      </c>
      <c r="B660" s="27" t="str">
        <f t="shared" si="1"/>
        <v/>
      </c>
      <c r="C660" s="14" t="str">
        <f>IF($A660&lt;&gt;"",MINIFS(Merchant!$A:$A,Merchant!$B:$B,$G$2),)</f>
        <v/>
      </c>
      <c r="D660" s="14" t="str">
        <f t="shared" si="2"/>
        <v/>
      </c>
      <c r="E660" s="14" t="str">
        <f t="shared" si="3"/>
        <v/>
      </c>
      <c r="F660" s="7" t="str">
        <f>IF($A660&lt;&gt;"",MAXIFS(Token!$C:$C,Token!$A:$A,$D660),)</f>
        <v/>
      </c>
    </row>
    <row r="661">
      <c r="A661" s="39" t="str">
        <f>IF(AND($L661*1&gt;=$G$3,$L661*1&lt;=$G$4,$I661*$J661&gt;0,OR($I661&lt;&gt;$I662,$L661-$L662&gt;25),IF(ABS($I661)&gt;10,$I661/POW(10,$J661),$J661/POW(10,$I661))*MAXIFS(Token!$C:$C,Token!$A:$A,$K661)&gt;0.01),$L661/86400+DATE(1970,1,1)+$G$6,)</f>
        <v/>
      </c>
      <c r="B661" s="27" t="str">
        <f t="shared" si="1"/>
        <v/>
      </c>
      <c r="C661" s="14" t="str">
        <f>IF($A661&lt;&gt;"",MINIFS(Merchant!$A:$A,Merchant!$B:$B,$G$2),)</f>
        <v/>
      </c>
      <c r="D661" s="14" t="str">
        <f t="shared" si="2"/>
        <v/>
      </c>
      <c r="E661" s="14" t="str">
        <f t="shared" si="3"/>
        <v/>
      </c>
      <c r="F661" s="7" t="str">
        <f>IF($A661&lt;&gt;"",MAXIFS(Token!$C:$C,Token!$A:$A,$D661),)</f>
        <v/>
      </c>
    </row>
    <row r="662">
      <c r="A662" s="39" t="str">
        <f>IF(AND($L662*1&gt;=$G$3,$L662*1&lt;=$G$4,$I662*$J662&gt;0,OR($I662&lt;&gt;$I663,$L662-$L663&gt;25),IF(ABS($I662)&gt;10,$I662/POW(10,$J662),$J662/POW(10,$I662))*MAXIFS(Token!$C:$C,Token!$A:$A,$K662)&gt;0.01),$L662/86400+DATE(1970,1,1)+$G$6,)</f>
        <v/>
      </c>
      <c r="B662" s="27" t="str">
        <f t="shared" si="1"/>
        <v/>
      </c>
      <c r="C662" s="14" t="str">
        <f>IF($A662&lt;&gt;"",MINIFS(Merchant!$A:$A,Merchant!$B:$B,$G$2),)</f>
        <v/>
      </c>
      <c r="D662" s="14" t="str">
        <f t="shared" si="2"/>
        <v/>
      </c>
      <c r="E662" s="14" t="str">
        <f t="shared" si="3"/>
        <v/>
      </c>
      <c r="F662" s="7" t="str">
        <f>IF($A662&lt;&gt;"",MAXIFS(Token!$C:$C,Token!$A:$A,$D662),)</f>
        <v/>
      </c>
    </row>
    <row r="663">
      <c r="A663" s="39" t="str">
        <f>IF(AND($L663*1&gt;=$G$3,$L663*1&lt;=$G$4,$I663*$J663&gt;0,OR($I663&lt;&gt;$I664,$L663-$L664&gt;25),IF(ABS($I663)&gt;10,$I663/POW(10,$J663),$J663/POW(10,$I663))*MAXIFS(Token!$C:$C,Token!$A:$A,$K663)&gt;0.01),$L663/86400+DATE(1970,1,1)+$G$6,)</f>
        <v/>
      </c>
      <c r="B663" s="27" t="str">
        <f t="shared" si="1"/>
        <v/>
      </c>
      <c r="C663" s="14" t="str">
        <f>IF($A663&lt;&gt;"",MINIFS(Merchant!$A:$A,Merchant!$B:$B,$G$2),)</f>
        <v/>
      </c>
      <c r="D663" s="14" t="str">
        <f t="shared" si="2"/>
        <v/>
      </c>
      <c r="E663" s="14" t="str">
        <f t="shared" si="3"/>
        <v/>
      </c>
      <c r="F663" s="7" t="str">
        <f>IF($A663&lt;&gt;"",MAXIFS(Token!$C:$C,Token!$A:$A,$D663),)</f>
        <v/>
      </c>
    </row>
    <row r="664">
      <c r="A664" s="39" t="str">
        <f>IF(AND($L664*1&gt;=$G$3,$L664*1&lt;=$G$4,$I664*$J664&gt;0,OR($I664&lt;&gt;$I665,$L664-$L665&gt;25),IF(ABS($I664)&gt;10,$I664/POW(10,$J664),$J664/POW(10,$I664))*MAXIFS(Token!$C:$C,Token!$A:$A,$K664)&gt;0.01),$L664/86400+DATE(1970,1,1)+$G$6,)</f>
        <v/>
      </c>
      <c r="B664" s="27" t="str">
        <f t="shared" si="1"/>
        <v/>
      </c>
      <c r="C664" s="14" t="str">
        <f>IF($A664&lt;&gt;"",MINIFS(Merchant!$A:$A,Merchant!$B:$B,$G$2),)</f>
        <v/>
      </c>
      <c r="D664" s="14" t="str">
        <f t="shared" si="2"/>
        <v/>
      </c>
      <c r="E664" s="14" t="str">
        <f t="shared" si="3"/>
        <v/>
      </c>
      <c r="F664" s="7" t="str">
        <f>IF($A664&lt;&gt;"",MAXIFS(Token!$C:$C,Token!$A:$A,$D664),)</f>
        <v/>
      </c>
    </row>
    <row r="665">
      <c r="A665" s="39" t="str">
        <f>IF(AND($L665*1&gt;=$G$3,$L665*1&lt;=$G$4,$I665*$J665&gt;0,OR($I665&lt;&gt;$I666,$L665-$L666&gt;25),IF(ABS($I665)&gt;10,$I665/POW(10,$J665),$J665/POW(10,$I665))*MAXIFS(Token!$C:$C,Token!$A:$A,$K665)&gt;0.01),$L665/86400+DATE(1970,1,1)+$G$6,)</f>
        <v/>
      </c>
      <c r="B665" s="27" t="str">
        <f t="shared" si="1"/>
        <v/>
      </c>
      <c r="C665" s="14" t="str">
        <f>IF($A665&lt;&gt;"",MINIFS(Merchant!$A:$A,Merchant!$B:$B,$G$2),)</f>
        <v/>
      </c>
      <c r="D665" s="14" t="str">
        <f t="shared" si="2"/>
        <v/>
      </c>
      <c r="E665" s="14" t="str">
        <f t="shared" si="3"/>
        <v/>
      </c>
      <c r="F665" s="7" t="str">
        <f>IF($A665&lt;&gt;"",MAXIFS(Token!$C:$C,Token!$A:$A,$D665),)</f>
        <v/>
      </c>
    </row>
    <row r="666">
      <c r="A666" s="39" t="str">
        <f>IF(AND($L666*1&gt;=$G$3,$L666*1&lt;=$G$4,$I666*$J666&gt;0,OR($I666&lt;&gt;$I667,$L666-$L667&gt;25),IF(ABS($I666)&gt;10,$I666/POW(10,$J666),$J666/POW(10,$I666))*MAXIFS(Token!$C:$C,Token!$A:$A,$K666)&gt;0.01),$L666/86400+DATE(1970,1,1)+$G$6,)</f>
        <v/>
      </c>
      <c r="B666" s="27" t="str">
        <f t="shared" si="1"/>
        <v/>
      </c>
      <c r="C666" s="14" t="str">
        <f>IF($A666&lt;&gt;"",MINIFS(Merchant!$A:$A,Merchant!$B:$B,$G$2),)</f>
        <v/>
      </c>
      <c r="D666" s="14" t="str">
        <f t="shared" si="2"/>
        <v/>
      </c>
      <c r="E666" s="14" t="str">
        <f t="shared" si="3"/>
        <v/>
      </c>
      <c r="F666" s="7" t="str">
        <f>IF($A666&lt;&gt;"",MAXIFS(Token!$C:$C,Token!$A:$A,$D666),)</f>
        <v/>
      </c>
    </row>
    <row r="667">
      <c r="A667" s="39" t="str">
        <f>IF(AND($L667*1&gt;=$G$3,$L667*1&lt;=$G$4,$I667*$J667&gt;0,OR($I667&lt;&gt;$I668,$L667-$L668&gt;25),IF(ABS($I667)&gt;10,$I667/POW(10,$J667),$J667/POW(10,$I667))*MAXIFS(Token!$C:$C,Token!$A:$A,$K667)&gt;0.01),$L667/86400+DATE(1970,1,1)+$G$6,)</f>
        <v/>
      </c>
      <c r="B667" s="27" t="str">
        <f t="shared" si="1"/>
        <v/>
      </c>
      <c r="C667" s="14" t="str">
        <f>IF($A667&lt;&gt;"",MINIFS(Merchant!$A:$A,Merchant!$B:$B,$G$2),)</f>
        <v/>
      </c>
      <c r="D667" s="14" t="str">
        <f t="shared" si="2"/>
        <v/>
      </c>
      <c r="E667" s="14" t="str">
        <f t="shared" si="3"/>
        <v/>
      </c>
      <c r="F667" s="7" t="str">
        <f>IF($A667&lt;&gt;"",MAXIFS(Token!$C:$C,Token!$A:$A,$D667),)</f>
        <v/>
      </c>
    </row>
    <row r="668">
      <c r="A668" s="39" t="str">
        <f>IF(AND($L668*1&gt;=$G$3,$L668*1&lt;=$G$4,$I668*$J668&gt;0,OR($I668&lt;&gt;$I669,$L668-$L669&gt;25),IF(ABS($I668)&gt;10,$I668/POW(10,$J668),$J668/POW(10,$I668))*MAXIFS(Token!$C:$C,Token!$A:$A,$K668)&gt;0.01),$L668/86400+DATE(1970,1,1)+$G$6,)</f>
        <v/>
      </c>
      <c r="B668" s="27" t="str">
        <f t="shared" si="1"/>
        <v/>
      </c>
      <c r="C668" s="14" t="str">
        <f>IF($A668&lt;&gt;"",MINIFS(Merchant!$A:$A,Merchant!$B:$B,$G$2),)</f>
        <v/>
      </c>
      <c r="D668" s="14" t="str">
        <f t="shared" si="2"/>
        <v/>
      </c>
      <c r="E668" s="14" t="str">
        <f t="shared" si="3"/>
        <v/>
      </c>
      <c r="F668" s="7" t="str">
        <f>IF($A668&lt;&gt;"",MAXIFS(Token!$C:$C,Token!$A:$A,$D668),)</f>
        <v/>
      </c>
    </row>
    <row r="669">
      <c r="A669" s="39" t="str">
        <f>IF(AND($L669*1&gt;=$G$3,$L669*1&lt;=$G$4,$I669*$J669&gt;0,OR($I669&lt;&gt;$I670,$L669-$L670&gt;25),IF(ABS($I669)&gt;10,$I669/POW(10,$J669),$J669/POW(10,$I669))*MAXIFS(Token!$C:$C,Token!$A:$A,$K669)&gt;0.01),$L669/86400+DATE(1970,1,1)+$G$6,)</f>
        <v/>
      </c>
      <c r="B669" s="27" t="str">
        <f t="shared" si="1"/>
        <v/>
      </c>
      <c r="C669" s="14" t="str">
        <f>IF($A669&lt;&gt;"",MINIFS(Merchant!$A:$A,Merchant!$B:$B,$G$2),)</f>
        <v/>
      </c>
      <c r="D669" s="14" t="str">
        <f t="shared" si="2"/>
        <v/>
      </c>
      <c r="E669" s="14" t="str">
        <f t="shared" si="3"/>
        <v/>
      </c>
      <c r="F669" s="7" t="str">
        <f>IF($A669&lt;&gt;"",MAXIFS(Token!$C:$C,Token!$A:$A,$D669),)</f>
        <v/>
      </c>
    </row>
    <row r="670">
      <c r="A670" s="39" t="str">
        <f>IF(AND($L670*1&gt;=$G$3,$L670*1&lt;=$G$4,$I670*$J670&gt;0,OR($I670&lt;&gt;$I671,$L670-$L671&gt;25),IF(ABS($I670)&gt;10,$I670/POW(10,$J670),$J670/POW(10,$I670))*MAXIFS(Token!$C:$C,Token!$A:$A,$K670)&gt;0.01),$L670/86400+DATE(1970,1,1)+$G$6,)</f>
        <v/>
      </c>
      <c r="B670" s="27" t="str">
        <f t="shared" si="1"/>
        <v/>
      </c>
      <c r="C670" s="14" t="str">
        <f>IF($A670&lt;&gt;"",MINIFS(Merchant!$A:$A,Merchant!$B:$B,$G$2),)</f>
        <v/>
      </c>
      <c r="D670" s="14" t="str">
        <f t="shared" si="2"/>
        <v/>
      </c>
      <c r="E670" s="14" t="str">
        <f t="shared" si="3"/>
        <v/>
      </c>
      <c r="F670" s="7" t="str">
        <f>IF($A670&lt;&gt;"",MAXIFS(Token!$C:$C,Token!$A:$A,$D670),)</f>
        <v/>
      </c>
    </row>
    <row r="671">
      <c r="A671" s="39" t="str">
        <f>IF(AND($L671*1&gt;=$G$3,$L671*1&lt;=$G$4,$I671*$J671&gt;0,OR($I671&lt;&gt;$I672,$L671-$L672&gt;25),IF(ABS($I671)&gt;10,$I671/POW(10,$J671),$J671/POW(10,$I671))*MAXIFS(Token!$C:$C,Token!$A:$A,$K671)&gt;0.01),$L671/86400+DATE(1970,1,1)+$G$6,)</f>
        <v/>
      </c>
      <c r="B671" s="27" t="str">
        <f t="shared" si="1"/>
        <v/>
      </c>
      <c r="C671" s="14" t="str">
        <f>IF($A671&lt;&gt;"",MINIFS(Merchant!$A:$A,Merchant!$B:$B,$G$2),)</f>
        <v/>
      </c>
      <c r="D671" s="14" t="str">
        <f t="shared" si="2"/>
        <v/>
      </c>
      <c r="E671" s="14" t="str">
        <f t="shared" si="3"/>
        <v/>
      </c>
      <c r="F671" s="7" t="str">
        <f>IF($A671&lt;&gt;"",MAXIFS(Token!$C:$C,Token!$A:$A,$D671),)</f>
        <v/>
      </c>
    </row>
    <row r="672">
      <c r="A672" s="39" t="str">
        <f>IF(AND($L672*1&gt;=$G$3,$L672*1&lt;=$G$4,$I672*$J672&gt;0,OR($I672&lt;&gt;$I673,$L672-$L673&gt;25),IF(ABS($I672)&gt;10,$I672/POW(10,$J672),$J672/POW(10,$I672))*MAXIFS(Token!$C:$C,Token!$A:$A,$K672)&gt;0.01),$L672/86400+DATE(1970,1,1)+$G$6,)</f>
        <v/>
      </c>
      <c r="B672" s="27" t="str">
        <f t="shared" si="1"/>
        <v/>
      </c>
      <c r="C672" s="14" t="str">
        <f>IF($A672&lt;&gt;"",MINIFS(Merchant!$A:$A,Merchant!$B:$B,$G$2),)</f>
        <v/>
      </c>
      <c r="D672" s="14" t="str">
        <f t="shared" si="2"/>
        <v/>
      </c>
      <c r="E672" s="14" t="str">
        <f t="shared" si="3"/>
        <v/>
      </c>
      <c r="F672" s="7" t="str">
        <f>IF($A672&lt;&gt;"",MAXIFS(Token!$C:$C,Token!$A:$A,$D672),)</f>
        <v/>
      </c>
    </row>
    <row r="673">
      <c r="A673" s="39" t="str">
        <f>IF(AND($L673*1&gt;=$G$3,$L673*1&lt;=$G$4,$I673*$J673&gt;0,OR($I673&lt;&gt;$I674,$L673-$L674&gt;25),IF(ABS($I673)&gt;10,$I673/POW(10,$J673),$J673/POW(10,$I673))*MAXIFS(Token!$C:$C,Token!$A:$A,$K673)&gt;0.01),$L673/86400+DATE(1970,1,1)+$G$6,)</f>
        <v/>
      </c>
      <c r="B673" s="27" t="str">
        <f t="shared" si="1"/>
        <v/>
      </c>
      <c r="C673" s="14" t="str">
        <f>IF($A673&lt;&gt;"",MINIFS(Merchant!$A:$A,Merchant!$B:$B,$G$2),)</f>
        <v/>
      </c>
      <c r="D673" s="14" t="str">
        <f t="shared" si="2"/>
        <v/>
      </c>
      <c r="E673" s="14" t="str">
        <f t="shared" si="3"/>
        <v/>
      </c>
      <c r="F673" s="7" t="str">
        <f>IF($A673&lt;&gt;"",MAXIFS(Token!$C:$C,Token!$A:$A,$D673),)</f>
        <v/>
      </c>
    </row>
    <row r="674">
      <c r="A674" s="39" t="str">
        <f>IF(AND($L674*1&gt;=$G$3,$L674*1&lt;=$G$4,$I674*$J674&gt;0,OR($I674&lt;&gt;$I675,$L674-$L675&gt;25),IF(ABS($I674)&gt;10,$I674/POW(10,$J674),$J674/POW(10,$I674))*MAXIFS(Token!$C:$C,Token!$A:$A,$K674)&gt;0.01),$L674/86400+DATE(1970,1,1)+$G$6,)</f>
        <v/>
      </c>
      <c r="B674" s="27" t="str">
        <f t="shared" si="1"/>
        <v/>
      </c>
      <c r="C674" s="14" t="str">
        <f>IF($A674&lt;&gt;"",MINIFS(Merchant!$A:$A,Merchant!$B:$B,$G$2),)</f>
        <v/>
      </c>
      <c r="D674" s="14" t="str">
        <f t="shared" si="2"/>
        <v/>
      </c>
      <c r="E674" s="14" t="str">
        <f t="shared" si="3"/>
        <v/>
      </c>
      <c r="F674" s="7" t="str">
        <f>IF($A674&lt;&gt;"",MAXIFS(Token!$C:$C,Token!$A:$A,$D674),)</f>
        <v/>
      </c>
    </row>
    <row r="675">
      <c r="A675" s="39" t="str">
        <f>IF(AND($L675*1&gt;=$G$3,$L675*1&lt;=$G$4,$I675*$J675&gt;0,OR($I675&lt;&gt;$I676,$L675-$L676&gt;25),IF(ABS($I675)&gt;10,$I675/POW(10,$J675),$J675/POW(10,$I675))*MAXIFS(Token!$C:$C,Token!$A:$A,$K675)&gt;0.01),$L675/86400+DATE(1970,1,1)+$G$6,)</f>
        <v/>
      </c>
      <c r="B675" s="27" t="str">
        <f t="shared" si="1"/>
        <v/>
      </c>
      <c r="C675" s="14" t="str">
        <f>IF($A675&lt;&gt;"",MINIFS(Merchant!$A:$A,Merchant!$B:$B,$G$2),)</f>
        <v/>
      </c>
      <c r="D675" s="14" t="str">
        <f t="shared" si="2"/>
        <v/>
      </c>
      <c r="E675" s="14" t="str">
        <f t="shared" si="3"/>
        <v/>
      </c>
      <c r="F675" s="7" t="str">
        <f>IF($A675&lt;&gt;"",MAXIFS(Token!$C:$C,Token!$A:$A,$D675),)</f>
        <v/>
      </c>
    </row>
    <row r="676">
      <c r="A676" s="39" t="str">
        <f>IF(AND($L676*1&gt;=$G$3,$L676*1&lt;=$G$4,$I676*$J676&gt;0,OR($I676&lt;&gt;$I677,$L676-$L677&gt;25),IF(ABS($I676)&gt;10,$I676/POW(10,$J676),$J676/POW(10,$I676))*MAXIFS(Token!$C:$C,Token!$A:$A,$K676)&gt;0.01),$L676/86400+DATE(1970,1,1)+$G$6,)</f>
        <v/>
      </c>
      <c r="B676" s="27" t="str">
        <f t="shared" si="1"/>
        <v/>
      </c>
      <c r="C676" s="14" t="str">
        <f>IF($A676&lt;&gt;"",MINIFS(Merchant!$A:$A,Merchant!$B:$B,$G$2),)</f>
        <v/>
      </c>
      <c r="D676" s="14" t="str">
        <f t="shared" si="2"/>
        <v/>
      </c>
      <c r="E676" s="14" t="str">
        <f t="shared" si="3"/>
        <v/>
      </c>
      <c r="F676" s="7" t="str">
        <f>IF($A676&lt;&gt;"",MAXIFS(Token!$C:$C,Token!$A:$A,$D676),)</f>
        <v/>
      </c>
    </row>
    <row r="677">
      <c r="A677" s="39" t="str">
        <f>IF(AND($L677*1&gt;=$G$3,$L677*1&lt;=$G$4,$I677*$J677&gt;0,OR($I677&lt;&gt;$I678,$L677-$L678&gt;25),IF(ABS($I677)&gt;10,$I677/POW(10,$J677),$J677/POW(10,$I677))*MAXIFS(Token!$C:$C,Token!$A:$A,$K677)&gt;0.01),$L677/86400+DATE(1970,1,1)+$G$6,)</f>
        <v/>
      </c>
      <c r="B677" s="27" t="str">
        <f t="shared" si="1"/>
        <v/>
      </c>
      <c r="C677" s="14" t="str">
        <f>IF($A677&lt;&gt;"",MINIFS(Merchant!$A:$A,Merchant!$B:$B,$G$2),)</f>
        <v/>
      </c>
      <c r="D677" s="14" t="str">
        <f t="shared" si="2"/>
        <v/>
      </c>
      <c r="E677" s="14" t="str">
        <f t="shared" si="3"/>
        <v/>
      </c>
      <c r="F677" s="7" t="str">
        <f>IF($A677&lt;&gt;"",MAXIFS(Token!$C:$C,Token!$A:$A,$D677),)</f>
        <v/>
      </c>
    </row>
    <row r="678">
      <c r="A678" s="39" t="str">
        <f>IF(AND($L678*1&gt;=$G$3,$L678*1&lt;=$G$4,$I678*$J678&gt;0,OR($I678&lt;&gt;$I679,$L678-$L679&gt;25),IF(ABS($I678)&gt;10,$I678/POW(10,$J678),$J678/POW(10,$I678))*MAXIFS(Token!$C:$C,Token!$A:$A,$K678)&gt;0.01),$L678/86400+DATE(1970,1,1)+$G$6,)</f>
        <v/>
      </c>
      <c r="B678" s="27" t="str">
        <f t="shared" si="1"/>
        <v/>
      </c>
      <c r="C678" s="14" t="str">
        <f>IF($A678&lt;&gt;"",MINIFS(Merchant!$A:$A,Merchant!$B:$B,$G$2),)</f>
        <v/>
      </c>
      <c r="D678" s="14" t="str">
        <f t="shared" si="2"/>
        <v/>
      </c>
      <c r="E678" s="14" t="str">
        <f t="shared" si="3"/>
        <v/>
      </c>
      <c r="F678" s="7" t="str">
        <f>IF($A678&lt;&gt;"",MAXIFS(Token!$C:$C,Token!$A:$A,$D678),)</f>
        <v/>
      </c>
    </row>
    <row r="679">
      <c r="A679" s="39" t="str">
        <f>IF(AND($L679*1&gt;=$G$3,$L679*1&lt;=$G$4,$I679*$J679&gt;0,OR($I679&lt;&gt;$I680,$L679-$L680&gt;25),IF(ABS($I679)&gt;10,$I679/POW(10,$J679),$J679/POW(10,$I679))*MAXIFS(Token!$C:$C,Token!$A:$A,$K679)&gt;0.01),$L679/86400+DATE(1970,1,1)+$G$6,)</f>
        <v/>
      </c>
      <c r="B679" s="27" t="str">
        <f t="shared" si="1"/>
        <v/>
      </c>
      <c r="C679" s="14" t="str">
        <f>IF($A679&lt;&gt;"",MINIFS(Merchant!$A:$A,Merchant!$B:$B,$G$2),)</f>
        <v/>
      </c>
      <c r="D679" s="14" t="str">
        <f t="shared" si="2"/>
        <v/>
      </c>
      <c r="E679" s="14" t="str">
        <f t="shared" si="3"/>
        <v/>
      </c>
      <c r="F679" s="7" t="str">
        <f>IF($A679&lt;&gt;"",MAXIFS(Token!$C:$C,Token!$A:$A,$D679),)</f>
        <v/>
      </c>
    </row>
    <row r="680">
      <c r="A680" s="39" t="str">
        <f>IF(AND($L680*1&gt;=$G$3,$L680*1&lt;=$G$4,$I680*$J680&gt;0,OR($I680&lt;&gt;$I681,$L680-$L681&gt;25),IF(ABS($I680)&gt;10,$I680/POW(10,$J680),$J680/POW(10,$I680))*MAXIFS(Token!$C:$C,Token!$A:$A,$K680)&gt;0.01),$L680/86400+DATE(1970,1,1)+$G$6,)</f>
        <v/>
      </c>
      <c r="B680" s="27" t="str">
        <f t="shared" si="1"/>
        <v/>
      </c>
      <c r="C680" s="14" t="str">
        <f>IF($A680&lt;&gt;"",MINIFS(Merchant!$A:$A,Merchant!$B:$B,$G$2),)</f>
        <v/>
      </c>
      <c r="D680" s="14" t="str">
        <f t="shared" si="2"/>
        <v/>
      </c>
      <c r="E680" s="14" t="str">
        <f t="shared" si="3"/>
        <v/>
      </c>
      <c r="F680" s="7" t="str">
        <f>IF($A680&lt;&gt;"",MAXIFS(Token!$C:$C,Token!$A:$A,$D680),)</f>
        <v/>
      </c>
    </row>
    <row r="681">
      <c r="A681" s="39" t="str">
        <f>IF(AND($L681*1&gt;=$G$3,$L681*1&lt;=$G$4,$I681*$J681&gt;0,OR($I681&lt;&gt;$I682,$L681-$L682&gt;25),IF(ABS($I681)&gt;10,$I681/POW(10,$J681),$J681/POW(10,$I681))*MAXIFS(Token!$C:$C,Token!$A:$A,$K681)&gt;0.01),$L681/86400+DATE(1970,1,1)+$G$6,)</f>
        <v/>
      </c>
      <c r="B681" s="27" t="str">
        <f t="shared" si="1"/>
        <v/>
      </c>
      <c r="C681" s="14" t="str">
        <f>IF($A681&lt;&gt;"",MINIFS(Merchant!$A:$A,Merchant!$B:$B,$G$2),)</f>
        <v/>
      </c>
      <c r="D681" s="14" t="str">
        <f t="shared" si="2"/>
        <v/>
      </c>
      <c r="E681" s="14" t="str">
        <f t="shared" si="3"/>
        <v/>
      </c>
      <c r="F681" s="7" t="str">
        <f>IF($A681&lt;&gt;"",MAXIFS(Token!$C:$C,Token!$A:$A,$D681),)</f>
        <v/>
      </c>
    </row>
    <row r="682">
      <c r="A682" s="39" t="str">
        <f>IF(AND($L682*1&gt;=$G$3,$L682*1&lt;=$G$4,$I682*$J682&gt;0,OR($I682&lt;&gt;$I683,$L682-$L683&gt;25),IF(ABS($I682)&gt;10,$I682/POW(10,$J682),$J682/POW(10,$I682))*MAXIFS(Token!$C:$C,Token!$A:$A,$K682)&gt;0.01),$L682/86400+DATE(1970,1,1)+$G$6,)</f>
        <v/>
      </c>
      <c r="B682" s="27" t="str">
        <f t="shared" si="1"/>
        <v/>
      </c>
      <c r="C682" s="14" t="str">
        <f>IF($A682&lt;&gt;"",MINIFS(Merchant!$A:$A,Merchant!$B:$B,$G$2),)</f>
        <v/>
      </c>
      <c r="D682" s="14" t="str">
        <f t="shared" si="2"/>
        <v/>
      </c>
      <c r="E682" s="14" t="str">
        <f t="shared" si="3"/>
        <v/>
      </c>
      <c r="F682" s="7" t="str">
        <f>IF($A682&lt;&gt;"",MAXIFS(Token!$C:$C,Token!$A:$A,$D682),)</f>
        <v/>
      </c>
    </row>
    <row r="683">
      <c r="A683" s="39" t="str">
        <f>IF(AND($L683*1&gt;=$G$3,$L683*1&lt;=$G$4,$I683*$J683&gt;0,OR($I683&lt;&gt;$I684,$L683-$L684&gt;25),IF(ABS($I683)&gt;10,$I683/POW(10,$J683),$J683/POW(10,$I683))*MAXIFS(Token!$C:$C,Token!$A:$A,$K683)&gt;0.01),$L683/86400+DATE(1970,1,1)+$G$6,)</f>
        <v/>
      </c>
      <c r="B683" s="27" t="str">
        <f t="shared" si="1"/>
        <v/>
      </c>
      <c r="C683" s="14" t="str">
        <f>IF($A683&lt;&gt;"",MINIFS(Merchant!$A:$A,Merchant!$B:$B,$G$2),)</f>
        <v/>
      </c>
      <c r="D683" s="14" t="str">
        <f t="shared" si="2"/>
        <v/>
      </c>
      <c r="E683" s="14" t="str">
        <f t="shared" si="3"/>
        <v/>
      </c>
      <c r="F683" s="7" t="str">
        <f>IF($A683&lt;&gt;"",MAXIFS(Token!$C:$C,Token!$A:$A,$D683),)</f>
        <v/>
      </c>
    </row>
    <row r="684">
      <c r="A684" s="39" t="str">
        <f>IF(AND($L684*1&gt;=$G$3,$L684*1&lt;=$G$4,$I684*$J684&gt;0,OR($I684&lt;&gt;$I685,$L684-$L685&gt;25),IF(ABS($I684)&gt;10,$I684/POW(10,$J684),$J684/POW(10,$I684))*MAXIFS(Token!$C:$C,Token!$A:$A,$K684)&gt;0.01),$L684/86400+DATE(1970,1,1)+$G$6,)</f>
        <v/>
      </c>
      <c r="B684" s="27" t="str">
        <f t="shared" si="1"/>
        <v/>
      </c>
      <c r="C684" s="14" t="str">
        <f>IF($A684&lt;&gt;"",MINIFS(Merchant!$A:$A,Merchant!$B:$B,$G$2),)</f>
        <v/>
      </c>
      <c r="D684" s="14" t="str">
        <f t="shared" si="2"/>
        <v/>
      </c>
      <c r="E684" s="14" t="str">
        <f t="shared" si="3"/>
        <v/>
      </c>
      <c r="F684" s="7" t="str">
        <f>IF($A684&lt;&gt;"",MAXIFS(Token!$C:$C,Token!$A:$A,$D684),)</f>
        <v/>
      </c>
    </row>
    <row r="685">
      <c r="A685" s="39" t="str">
        <f>IF(AND($L685*1&gt;=$G$3,$L685*1&lt;=$G$4,$I685*$J685&gt;0,OR($I685&lt;&gt;$I686,$L685-$L686&gt;25),IF(ABS($I685)&gt;10,$I685/POW(10,$J685),$J685/POW(10,$I685))*MAXIFS(Token!$C:$C,Token!$A:$A,$K685)&gt;0.01),$L685/86400+DATE(1970,1,1)+$G$6,)</f>
        <v/>
      </c>
      <c r="B685" s="27" t="str">
        <f t="shared" si="1"/>
        <v/>
      </c>
      <c r="C685" s="14" t="str">
        <f>IF($A685&lt;&gt;"",MINIFS(Merchant!$A:$A,Merchant!$B:$B,$G$2),)</f>
        <v/>
      </c>
      <c r="D685" s="14" t="str">
        <f t="shared" si="2"/>
        <v/>
      </c>
      <c r="E685" s="14" t="str">
        <f t="shared" si="3"/>
        <v/>
      </c>
      <c r="F685" s="7" t="str">
        <f>IF($A685&lt;&gt;"",MAXIFS(Token!$C:$C,Token!$A:$A,$D685),)</f>
        <v/>
      </c>
    </row>
    <row r="686">
      <c r="A686" s="39" t="str">
        <f>IF(AND($L686*1&gt;=$G$3,$L686*1&lt;=$G$4,$I686*$J686&gt;0,OR($I686&lt;&gt;$I687,$L686-$L687&gt;25),IF(ABS($I686)&gt;10,$I686/POW(10,$J686),$J686/POW(10,$I686))*MAXIFS(Token!$C:$C,Token!$A:$A,$K686)&gt;0.01),$L686/86400+DATE(1970,1,1)+$G$6,)</f>
        <v/>
      </c>
      <c r="B686" s="27" t="str">
        <f t="shared" si="1"/>
        <v/>
      </c>
      <c r="C686" s="14" t="str">
        <f>IF($A686&lt;&gt;"",MINIFS(Merchant!$A:$A,Merchant!$B:$B,$G$2),)</f>
        <v/>
      </c>
      <c r="D686" s="14" t="str">
        <f t="shared" si="2"/>
        <v/>
      </c>
      <c r="E686" s="14" t="str">
        <f t="shared" si="3"/>
        <v/>
      </c>
      <c r="F686" s="7" t="str">
        <f>IF($A686&lt;&gt;"",MAXIFS(Token!$C:$C,Token!$A:$A,$D686),)</f>
        <v/>
      </c>
    </row>
    <row r="687">
      <c r="A687" s="39" t="str">
        <f>IF(AND($L687*1&gt;=$G$3,$L687*1&lt;=$G$4,$I687*$J687&gt;0,OR($I687&lt;&gt;$I688,$L687-$L688&gt;25),IF(ABS($I687)&gt;10,$I687/POW(10,$J687),$J687/POW(10,$I687))*MAXIFS(Token!$C:$C,Token!$A:$A,$K687)&gt;0.01),$L687/86400+DATE(1970,1,1)+$G$6,)</f>
        <v/>
      </c>
      <c r="B687" s="27" t="str">
        <f t="shared" si="1"/>
        <v/>
      </c>
      <c r="C687" s="14" t="str">
        <f>IF($A687&lt;&gt;"",MINIFS(Merchant!$A:$A,Merchant!$B:$B,$G$2),)</f>
        <v/>
      </c>
      <c r="D687" s="14" t="str">
        <f t="shared" si="2"/>
        <v/>
      </c>
      <c r="E687" s="14" t="str">
        <f t="shared" si="3"/>
        <v/>
      </c>
      <c r="F687" s="7" t="str">
        <f>IF($A687&lt;&gt;"",MAXIFS(Token!$C:$C,Token!$A:$A,$D687),)</f>
        <v/>
      </c>
    </row>
    <row r="688">
      <c r="A688" s="39" t="str">
        <f>IF(AND($L688*1&gt;=$G$3,$L688*1&lt;=$G$4,$I688*$J688&gt;0,OR($I688&lt;&gt;$I689,$L688-$L689&gt;25),IF(ABS($I688)&gt;10,$I688/POW(10,$J688),$J688/POW(10,$I688))*MAXIFS(Token!$C:$C,Token!$A:$A,$K688)&gt;0.01),$L688/86400+DATE(1970,1,1)+$G$6,)</f>
        <v/>
      </c>
      <c r="B688" s="27" t="str">
        <f t="shared" si="1"/>
        <v/>
      </c>
      <c r="C688" s="14" t="str">
        <f>IF($A688&lt;&gt;"",MINIFS(Merchant!$A:$A,Merchant!$B:$B,$G$2),)</f>
        <v/>
      </c>
      <c r="D688" s="14" t="str">
        <f t="shared" si="2"/>
        <v/>
      </c>
      <c r="E688" s="14" t="str">
        <f t="shared" si="3"/>
        <v/>
      </c>
      <c r="F688" s="7" t="str">
        <f>IF($A688&lt;&gt;"",MAXIFS(Token!$C:$C,Token!$A:$A,$D688),)</f>
        <v/>
      </c>
    </row>
    <row r="689">
      <c r="A689" s="39" t="str">
        <f>IF(AND($L689*1&gt;=$G$3,$L689*1&lt;=$G$4,$I689*$J689&gt;0,OR($I689&lt;&gt;$I690,$L689-$L690&gt;25),IF(ABS($I689)&gt;10,$I689/POW(10,$J689),$J689/POW(10,$I689))*MAXIFS(Token!$C:$C,Token!$A:$A,$K689)&gt;0.01),$L689/86400+DATE(1970,1,1)+$G$6,)</f>
        <v/>
      </c>
      <c r="B689" s="27" t="str">
        <f t="shared" si="1"/>
        <v/>
      </c>
      <c r="C689" s="14" t="str">
        <f>IF($A689&lt;&gt;"",MINIFS(Merchant!$A:$A,Merchant!$B:$B,$G$2),)</f>
        <v/>
      </c>
      <c r="D689" s="14" t="str">
        <f t="shared" si="2"/>
        <v/>
      </c>
      <c r="E689" s="14" t="str">
        <f t="shared" si="3"/>
        <v/>
      </c>
      <c r="F689" s="7" t="str">
        <f>IF($A689&lt;&gt;"",MAXIFS(Token!$C:$C,Token!$A:$A,$D689),)</f>
        <v/>
      </c>
    </row>
    <row r="690">
      <c r="A690" s="39" t="str">
        <f>IF(AND($L690*1&gt;=$G$3,$L690*1&lt;=$G$4,$I690*$J690&gt;0,OR($I690&lt;&gt;$I691,$L690-$L691&gt;25),IF(ABS($I690)&gt;10,$I690/POW(10,$J690),$J690/POW(10,$I690))*MAXIFS(Token!$C:$C,Token!$A:$A,$K690)&gt;0.01),$L690/86400+DATE(1970,1,1)+$G$6,)</f>
        <v/>
      </c>
      <c r="B690" s="27" t="str">
        <f t="shared" si="1"/>
        <v/>
      </c>
      <c r="C690" s="14" t="str">
        <f>IF($A690&lt;&gt;"",MINIFS(Merchant!$A:$A,Merchant!$B:$B,$G$2),)</f>
        <v/>
      </c>
      <c r="D690" s="14" t="str">
        <f t="shared" si="2"/>
        <v/>
      </c>
      <c r="E690" s="14" t="str">
        <f t="shared" si="3"/>
        <v/>
      </c>
      <c r="F690" s="7" t="str">
        <f>IF($A690&lt;&gt;"",MAXIFS(Token!$C:$C,Token!$A:$A,$D690),)</f>
        <v/>
      </c>
    </row>
    <row r="691">
      <c r="A691" s="39" t="str">
        <f>IF(AND($L691*1&gt;=$G$3,$L691*1&lt;=$G$4,$I691*$J691&gt;0,OR($I691&lt;&gt;$I692,$L691-$L692&gt;25),IF(ABS($I691)&gt;10,$I691/POW(10,$J691),$J691/POW(10,$I691))*MAXIFS(Token!$C:$C,Token!$A:$A,$K691)&gt;0.01),$L691/86400+DATE(1970,1,1)+$G$6,)</f>
        <v/>
      </c>
      <c r="B691" s="27" t="str">
        <f t="shared" si="1"/>
        <v/>
      </c>
      <c r="C691" s="14" t="str">
        <f>IF($A691&lt;&gt;"",MINIFS(Merchant!$A:$A,Merchant!$B:$B,$G$2),)</f>
        <v/>
      </c>
      <c r="D691" s="14" t="str">
        <f t="shared" si="2"/>
        <v/>
      </c>
      <c r="E691" s="14" t="str">
        <f t="shared" si="3"/>
        <v/>
      </c>
      <c r="F691" s="7" t="str">
        <f>IF($A691&lt;&gt;"",MAXIFS(Token!$C:$C,Token!$A:$A,$D691),)</f>
        <v/>
      </c>
    </row>
    <row r="692">
      <c r="A692" s="39" t="str">
        <f>IF(AND($L692*1&gt;=$G$3,$L692*1&lt;=$G$4,$I692*$J692&gt;0,OR($I692&lt;&gt;$I693,$L692-$L693&gt;25),IF(ABS($I692)&gt;10,$I692/POW(10,$J692),$J692/POW(10,$I692))*MAXIFS(Token!$C:$C,Token!$A:$A,$K692)&gt;0.01),$L692/86400+DATE(1970,1,1)+$G$6,)</f>
        <v/>
      </c>
      <c r="B692" s="27" t="str">
        <f t="shared" si="1"/>
        <v/>
      </c>
      <c r="C692" s="14" t="str">
        <f>IF($A692&lt;&gt;"",MINIFS(Merchant!$A:$A,Merchant!$B:$B,$G$2),)</f>
        <v/>
      </c>
      <c r="D692" s="14" t="str">
        <f t="shared" si="2"/>
        <v/>
      </c>
      <c r="E692" s="14" t="str">
        <f t="shared" si="3"/>
        <v/>
      </c>
      <c r="F692" s="7" t="str">
        <f>IF($A692&lt;&gt;"",MAXIFS(Token!$C:$C,Token!$A:$A,$D692),)</f>
        <v/>
      </c>
    </row>
    <row r="693">
      <c r="A693" s="39" t="str">
        <f>IF(AND($L693*1&gt;=$G$3,$L693*1&lt;=$G$4,$I693*$J693&gt;0,OR($I693&lt;&gt;$I694,$L693-$L694&gt;25),IF(ABS($I693)&gt;10,$I693/POW(10,$J693),$J693/POW(10,$I693))*MAXIFS(Token!$C:$C,Token!$A:$A,$K693)&gt;0.01),$L693/86400+DATE(1970,1,1)+$G$6,)</f>
        <v/>
      </c>
      <c r="B693" s="27" t="str">
        <f t="shared" si="1"/>
        <v/>
      </c>
      <c r="C693" s="14" t="str">
        <f>IF($A693&lt;&gt;"",MINIFS(Merchant!$A:$A,Merchant!$B:$B,$G$2),)</f>
        <v/>
      </c>
      <c r="D693" s="14" t="str">
        <f t="shared" si="2"/>
        <v/>
      </c>
      <c r="E693" s="14" t="str">
        <f t="shared" si="3"/>
        <v/>
      </c>
      <c r="F693" s="7" t="str">
        <f>IF($A693&lt;&gt;"",MAXIFS(Token!$C:$C,Token!$A:$A,$D693),)</f>
        <v/>
      </c>
    </row>
    <row r="694">
      <c r="A694" s="39" t="str">
        <f>IF(AND($L694*1&gt;=$G$3,$L694*1&lt;=$G$4,$I694*$J694&gt;0,OR($I694&lt;&gt;$I695,$L694-$L695&gt;25),IF(ABS($I694)&gt;10,$I694/POW(10,$J694),$J694/POW(10,$I694))*MAXIFS(Token!$C:$C,Token!$A:$A,$K694)&gt;0.01),$L694/86400+DATE(1970,1,1)+$G$6,)</f>
        <v/>
      </c>
      <c r="B694" s="27" t="str">
        <f t="shared" si="1"/>
        <v/>
      </c>
      <c r="C694" s="14" t="str">
        <f>IF($A694&lt;&gt;"",MINIFS(Merchant!$A:$A,Merchant!$B:$B,$G$2),)</f>
        <v/>
      </c>
      <c r="D694" s="14" t="str">
        <f t="shared" si="2"/>
        <v/>
      </c>
      <c r="E694" s="14" t="str">
        <f t="shared" si="3"/>
        <v/>
      </c>
      <c r="F694" s="7" t="str">
        <f>IF($A694&lt;&gt;"",MAXIFS(Token!$C:$C,Token!$A:$A,$D694),)</f>
        <v/>
      </c>
    </row>
    <row r="695">
      <c r="A695" s="39" t="str">
        <f>IF(AND($L695*1&gt;=$G$3,$L695*1&lt;=$G$4,$I695*$J695&gt;0,OR($I695&lt;&gt;$I696,$L695-$L696&gt;25),IF(ABS($I695)&gt;10,$I695/POW(10,$J695),$J695/POW(10,$I695))*MAXIFS(Token!$C:$C,Token!$A:$A,$K695)&gt;0.01),$L695/86400+DATE(1970,1,1)+$G$6,)</f>
        <v/>
      </c>
      <c r="B695" s="27" t="str">
        <f t="shared" si="1"/>
        <v/>
      </c>
      <c r="C695" s="14" t="str">
        <f>IF($A695&lt;&gt;"",MINIFS(Merchant!$A:$A,Merchant!$B:$B,$G$2),)</f>
        <v/>
      </c>
      <c r="D695" s="14" t="str">
        <f t="shared" si="2"/>
        <v/>
      </c>
      <c r="E695" s="14" t="str">
        <f t="shared" si="3"/>
        <v/>
      </c>
      <c r="F695" s="7" t="str">
        <f>IF($A695&lt;&gt;"",MAXIFS(Token!$C:$C,Token!$A:$A,$D695),)</f>
        <v/>
      </c>
    </row>
    <row r="696">
      <c r="A696" s="39" t="str">
        <f>IF(AND($L696*1&gt;=$G$3,$L696*1&lt;=$G$4,$I696*$J696&gt;0,OR($I696&lt;&gt;$I697,$L696-$L697&gt;25),IF(ABS($I696)&gt;10,$I696/POW(10,$J696),$J696/POW(10,$I696))*MAXIFS(Token!$C:$C,Token!$A:$A,$K696)&gt;0.01),$L696/86400+DATE(1970,1,1)+$G$6,)</f>
        <v/>
      </c>
      <c r="B696" s="27" t="str">
        <f t="shared" si="1"/>
        <v/>
      </c>
      <c r="C696" s="14" t="str">
        <f>IF($A696&lt;&gt;"",MINIFS(Merchant!$A:$A,Merchant!$B:$B,$G$2),)</f>
        <v/>
      </c>
      <c r="D696" s="14" t="str">
        <f t="shared" si="2"/>
        <v/>
      </c>
      <c r="E696" s="14" t="str">
        <f t="shared" si="3"/>
        <v/>
      </c>
      <c r="F696" s="7" t="str">
        <f>IF($A696&lt;&gt;"",MAXIFS(Token!$C:$C,Token!$A:$A,$D696),)</f>
        <v/>
      </c>
    </row>
    <row r="697">
      <c r="A697" s="39" t="str">
        <f>IF(AND($L697*1&gt;=$G$3,$L697*1&lt;=$G$4,$I697*$J697&gt;0,OR($I697&lt;&gt;$I698,$L697-$L698&gt;25),IF(ABS($I697)&gt;10,$I697/POW(10,$J697),$J697/POW(10,$I697))*MAXIFS(Token!$C:$C,Token!$A:$A,$K697)&gt;0.01),$L697/86400+DATE(1970,1,1)+$G$6,)</f>
        <v/>
      </c>
      <c r="B697" s="27" t="str">
        <f t="shared" si="1"/>
        <v/>
      </c>
      <c r="C697" s="14" t="str">
        <f>IF($A697&lt;&gt;"",MINIFS(Merchant!$A:$A,Merchant!$B:$B,$G$2),)</f>
        <v/>
      </c>
      <c r="D697" s="14" t="str">
        <f t="shared" si="2"/>
        <v/>
      </c>
      <c r="E697" s="14" t="str">
        <f t="shared" si="3"/>
        <v/>
      </c>
      <c r="F697" s="7" t="str">
        <f>IF($A697&lt;&gt;"",MAXIFS(Token!$C:$C,Token!$A:$A,$D697),)</f>
        <v/>
      </c>
    </row>
    <row r="698">
      <c r="A698" s="39" t="str">
        <f>IF(AND($L698*1&gt;=$G$3,$L698*1&lt;=$G$4,$I698*$J698&gt;0,OR($I698&lt;&gt;$I699,$L698-$L699&gt;25),IF(ABS($I698)&gt;10,$I698/POW(10,$J698),$J698/POW(10,$I698))*MAXIFS(Token!$C:$C,Token!$A:$A,$K698)&gt;0.01),$L698/86400+DATE(1970,1,1)+$G$6,)</f>
        <v/>
      </c>
      <c r="B698" s="27" t="str">
        <f t="shared" si="1"/>
        <v/>
      </c>
      <c r="C698" s="14" t="str">
        <f>IF($A698&lt;&gt;"",MINIFS(Merchant!$A:$A,Merchant!$B:$B,$G$2),)</f>
        <v/>
      </c>
      <c r="D698" s="14" t="str">
        <f t="shared" si="2"/>
        <v/>
      </c>
      <c r="E698" s="14" t="str">
        <f t="shared" si="3"/>
        <v/>
      </c>
      <c r="F698" s="7" t="str">
        <f>IF($A698&lt;&gt;"",MAXIFS(Token!$C:$C,Token!$A:$A,$D698),)</f>
        <v/>
      </c>
    </row>
    <row r="699">
      <c r="A699" s="39" t="str">
        <f>IF(AND($L699*1&gt;=$G$3,$L699*1&lt;=$G$4,$I699*$J699&gt;0,OR($I699&lt;&gt;$I700,$L699-$L700&gt;25),IF(ABS($I699)&gt;10,$I699/POW(10,$J699),$J699/POW(10,$I699))*MAXIFS(Token!$C:$C,Token!$A:$A,$K699)&gt;0.01),$L699/86400+DATE(1970,1,1)+$G$6,)</f>
        <v/>
      </c>
      <c r="B699" s="27" t="str">
        <f t="shared" si="1"/>
        <v/>
      </c>
      <c r="C699" s="14" t="str">
        <f>IF($A699&lt;&gt;"",MINIFS(Merchant!$A:$A,Merchant!$B:$B,$G$2),)</f>
        <v/>
      </c>
      <c r="D699" s="14" t="str">
        <f t="shared" si="2"/>
        <v/>
      </c>
      <c r="E699" s="14" t="str">
        <f t="shared" si="3"/>
        <v/>
      </c>
      <c r="F699" s="7" t="str">
        <f>IF($A699&lt;&gt;"",MAXIFS(Token!$C:$C,Token!$A:$A,$D699),)</f>
        <v/>
      </c>
    </row>
    <row r="700">
      <c r="A700" s="39" t="str">
        <f>IF(AND($L700*1&gt;=$G$3,$L700*1&lt;=$G$4,$I700*$J700&gt;0,OR($I700&lt;&gt;$I701,$L700-$L701&gt;25),IF(ABS($I700)&gt;10,$I700/POW(10,$J700),$J700/POW(10,$I700))*MAXIFS(Token!$C:$C,Token!$A:$A,$K700)&gt;0.01),$L700/86400+DATE(1970,1,1)+$G$6,)</f>
        <v/>
      </c>
      <c r="B700" s="27" t="str">
        <f t="shared" si="1"/>
        <v/>
      </c>
      <c r="C700" s="14" t="str">
        <f>IF($A700&lt;&gt;"",MINIFS(Merchant!$A:$A,Merchant!$B:$B,$G$2),)</f>
        <v/>
      </c>
      <c r="D700" s="14" t="str">
        <f t="shared" si="2"/>
        <v/>
      </c>
      <c r="E700" s="14" t="str">
        <f t="shared" si="3"/>
        <v/>
      </c>
      <c r="F700" s="7" t="str">
        <f>IF($A700&lt;&gt;"",MAXIFS(Token!$C:$C,Token!$A:$A,$D700),)</f>
        <v/>
      </c>
    </row>
    <row r="701">
      <c r="A701" s="39" t="str">
        <f>IF(AND($L701*1&gt;=$G$3,$L701*1&lt;=$G$4,$I701*$J701&gt;0,OR($I701&lt;&gt;$I702,$L701-$L702&gt;25),IF(ABS($I701)&gt;10,$I701/POW(10,$J701),$J701/POW(10,$I701))*MAXIFS(Token!$C:$C,Token!$A:$A,$K701)&gt;0.01),$L701/86400+DATE(1970,1,1)+$G$6,)</f>
        <v/>
      </c>
      <c r="B701" s="27" t="str">
        <f t="shared" si="1"/>
        <v/>
      </c>
      <c r="C701" s="14" t="str">
        <f>IF($A701&lt;&gt;"",MINIFS(Merchant!$A:$A,Merchant!$B:$B,$G$2),)</f>
        <v/>
      </c>
      <c r="D701" s="14" t="str">
        <f t="shared" si="2"/>
        <v/>
      </c>
      <c r="E701" s="14" t="str">
        <f t="shared" si="3"/>
        <v/>
      </c>
      <c r="F701" s="7" t="str">
        <f>IF($A701&lt;&gt;"",MAXIFS(Token!$C:$C,Token!$A:$A,$D701),)</f>
        <v/>
      </c>
    </row>
    <row r="702">
      <c r="A702" s="39" t="str">
        <f>IF(AND($L702*1&gt;=$G$3,$L702*1&lt;=$G$4,$I702*$J702&gt;0,OR($I702&lt;&gt;$I703,$L702-$L703&gt;25),IF(ABS($I702)&gt;10,$I702/POW(10,$J702),$J702/POW(10,$I702))*MAXIFS(Token!$C:$C,Token!$A:$A,$K702)&gt;0.01),$L702/86400+DATE(1970,1,1)+$G$6,)</f>
        <v/>
      </c>
      <c r="B702" s="27" t="str">
        <f t="shared" si="1"/>
        <v/>
      </c>
      <c r="C702" s="14" t="str">
        <f>IF($A702&lt;&gt;"",MINIFS(Merchant!$A:$A,Merchant!$B:$B,$G$2),)</f>
        <v/>
      </c>
      <c r="D702" s="14" t="str">
        <f t="shared" si="2"/>
        <v/>
      </c>
      <c r="E702" s="14" t="str">
        <f t="shared" si="3"/>
        <v/>
      </c>
      <c r="F702" s="7" t="str">
        <f>IF($A702&lt;&gt;"",MAXIFS(Token!$C:$C,Token!$A:$A,$D702),)</f>
        <v/>
      </c>
    </row>
    <row r="703">
      <c r="A703" s="39" t="str">
        <f>IF(AND($L703*1&gt;=$G$3,$L703*1&lt;=$G$4,$I703*$J703&gt;0,OR($I703&lt;&gt;$I704,$L703-$L704&gt;25),IF(ABS($I703)&gt;10,$I703/POW(10,$J703),$J703/POW(10,$I703))*MAXIFS(Token!$C:$C,Token!$A:$A,$K703)&gt;0.01),$L703/86400+DATE(1970,1,1)+$G$6,)</f>
        <v/>
      </c>
      <c r="B703" s="27" t="str">
        <f t="shared" si="1"/>
        <v/>
      </c>
      <c r="C703" s="14" t="str">
        <f>IF($A703&lt;&gt;"",MINIFS(Merchant!$A:$A,Merchant!$B:$B,$G$2),)</f>
        <v/>
      </c>
      <c r="D703" s="14" t="str">
        <f t="shared" si="2"/>
        <v/>
      </c>
      <c r="E703" s="14" t="str">
        <f t="shared" si="3"/>
        <v/>
      </c>
      <c r="F703" s="7" t="str">
        <f>IF($A703&lt;&gt;"",MAXIFS(Token!$C:$C,Token!$A:$A,$D703),)</f>
        <v/>
      </c>
    </row>
    <row r="704">
      <c r="A704" s="39" t="str">
        <f>IF(AND($L704*1&gt;=$G$3,$L704*1&lt;=$G$4,$I704*$J704&gt;0,OR($I704&lt;&gt;$I705,$L704-$L705&gt;25),IF(ABS($I704)&gt;10,$I704/POW(10,$J704),$J704/POW(10,$I704))*MAXIFS(Token!$C:$C,Token!$A:$A,$K704)&gt;0.01),$L704/86400+DATE(1970,1,1)+$G$6,)</f>
        <v/>
      </c>
      <c r="B704" s="27" t="str">
        <f t="shared" si="1"/>
        <v/>
      </c>
      <c r="C704" s="14" t="str">
        <f>IF($A704&lt;&gt;"",MINIFS(Merchant!$A:$A,Merchant!$B:$B,$G$2),)</f>
        <v/>
      </c>
      <c r="D704" s="14" t="str">
        <f t="shared" si="2"/>
        <v/>
      </c>
      <c r="E704" s="14" t="str">
        <f t="shared" si="3"/>
        <v/>
      </c>
      <c r="F704" s="7" t="str">
        <f>IF($A704&lt;&gt;"",MAXIFS(Token!$C:$C,Token!$A:$A,$D704),)</f>
        <v/>
      </c>
    </row>
    <row r="705">
      <c r="A705" s="39" t="str">
        <f>IF(AND($L705*1&gt;=$G$3,$L705*1&lt;=$G$4,$I705*$J705&gt;0,OR($I705&lt;&gt;$I706,$L705-$L706&gt;25),IF(ABS($I705)&gt;10,$I705/POW(10,$J705),$J705/POW(10,$I705))*MAXIFS(Token!$C:$C,Token!$A:$A,$K705)&gt;0.01),$L705/86400+DATE(1970,1,1)+$G$6,)</f>
        <v/>
      </c>
      <c r="B705" s="27" t="str">
        <f t="shared" si="1"/>
        <v/>
      </c>
      <c r="C705" s="14" t="str">
        <f>IF($A705&lt;&gt;"",MINIFS(Merchant!$A:$A,Merchant!$B:$B,$G$2),)</f>
        <v/>
      </c>
      <c r="D705" s="14" t="str">
        <f t="shared" si="2"/>
        <v/>
      </c>
      <c r="E705" s="14" t="str">
        <f t="shared" si="3"/>
        <v/>
      </c>
      <c r="F705" s="7" t="str">
        <f>IF($A705&lt;&gt;"",MAXIFS(Token!$C:$C,Token!$A:$A,$D705),)</f>
        <v/>
      </c>
    </row>
    <row r="706">
      <c r="A706" s="39" t="str">
        <f>IF(AND($L706*1&gt;=$G$3,$L706*1&lt;=$G$4,$I706*$J706&gt;0,OR($I706&lt;&gt;$I707,$L706-$L707&gt;25),IF(ABS($I706)&gt;10,$I706/POW(10,$J706),$J706/POW(10,$I706))*MAXIFS(Token!$C:$C,Token!$A:$A,$K706)&gt;0.01),$L706/86400+DATE(1970,1,1)+$G$6,)</f>
        <v/>
      </c>
      <c r="B706" s="27" t="str">
        <f t="shared" si="1"/>
        <v/>
      </c>
      <c r="C706" s="14" t="str">
        <f>IF($A706&lt;&gt;"",MINIFS(Merchant!$A:$A,Merchant!$B:$B,$G$2),)</f>
        <v/>
      </c>
      <c r="D706" s="14" t="str">
        <f t="shared" si="2"/>
        <v/>
      </c>
      <c r="E706" s="14" t="str">
        <f t="shared" si="3"/>
        <v/>
      </c>
      <c r="F706" s="7" t="str">
        <f>IF($A706&lt;&gt;"",MAXIFS(Token!$C:$C,Token!$A:$A,$D706),)</f>
        <v/>
      </c>
    </row>
    <row r="707">
      <c r="A707" s="39" t="str">
        <f>IF(AND($L707*1&gt;=$G$3,$L707*1&lt;=$G$4,$I707*$J707&gt;0,OR($I707&lt;&gt;$I708,$L707-$L708&gt;25),IF(ABS($I707)&gt;10,$I707/POW(10,$J707),$J707/POW(10,$I707))*MAXIFS(Token!$C:$C,Token!$A:$A,$K707)&gt;0.01),$L707/86400+DATE(1970,1,1)+$G$6,)</f>
        <v/>
      </c>
      <c r="B707" s="27" t="str">
        <f t="shared" si="1"/>
        <v/>
      </c>
      <c r="C707" s="14" t="str">
        <f>IF($A707&lt;&gt;"",MINIFS(Merchant!$A:$A,Merchant!$B:$B,$G$2),)</f>
        <v/>
      </c>
      <c r="D707" s="14" t="str">
        <f t="shared" si="2"/>
        <v/>
      </c>
      <c r="E707" s="14" t="str">
        <f t="shared" si="3"/>
        <v/>
      </c>
      <c r="F707" s="7" t="str">
        <f>IF($A707&lt;&gt;"",MAXIFS(Token!$C:$C,Token!$A:$A,$D707),)</f>
        <v/>
      </c>
    </row>
    <row r="708">
      <c r="A708" s="39" t="str">
        <f>IF(AND($L708*1&gt;=$G$3,$L708*1&lt;=$G$4,$I708*$J708&gt;0,OR($I708&lt;&gt;$I709,$L708-$L709&gt;25),IF(ABS($I708)&gt;10,$I708/POW(10,$J708),$J708/POW(10,$I708))*MAXIFS(Token!$C:$C,Token!$A:$A,$K708)&gt;0.01),$L708/86400+DATE(1970,1,1)+$G$6,)</f>
        <v/>
      </c>
      <c r="B708" s="27" t="str">
        <f t="shared" si="1"/>
        <v/>
      </c>
      <c r="C708" s="14" t="str">
        <f>IF($A708&lt;&gt;"",MINIFS(Merchant!$A:$A,Merchant!$B:$B,$G$2),)</f>
        <v/>
      </c>
      <c r="D708" s="14" t="str">
        <f t="shared" si="2"/>
        <v/>
      </c>
      <c r="E708" s="14" t="str">
        <f t="shared" si="3"/>
        <v/>
      </c>
      <c r="F708" s="7" t="str">
        <f>IF($A708&lt;&gt;"",MAXIFS(Token!$C:$C,Token!$A:$A,$D708),)</f>
        <v/>
      </c>
    </row>
    <row r="709">
      <c r="A709" s="39" t="str">
        <f>IF(AND($L709*1&gt;=$G$3,$L709*1&lt;=$G$4,$I709*$J709&gt;0,OR($I709&lt;&gt;$I710,$L709-$L710&gt;25),IF(ABS($I709)&gt;10,$I709/POW(10,$J709),$J709/POW(10,$I709))*MAXIFS(Token!$C:$C,Token!$A:$A,$K709)&gt;0.01),$L709/86400+DATE(1970,1,1)+$G$6,)</f>
        <v/>
      </c>
      <c r="B709" s="27" t="str">
        <f t="shared" si="1"/>
        <v/>
      </c>
      <c r="C709" s="14" t="str">
        <f>IF($A709&lt;&gt;"",MINIFS(Merchant!$A:$A,Merchant!$B:$B,$G$2),)</f>
        <v/>
      </c>
      <c r="D709" s="14" t="str">
        <f t="shared" si="2"/>
        <v/>
      </c>
      <c r="E709" s="14" t="str">
        <f t="shared" si="3"/>
        <v/>
      </c>
      <c r="F709" s="7" t="str">
        <f>IF($A709&lt;&gt;"",MAXIFS(Token!$C:$C,Token!$A:$A,$D709),)</f>
        <v/>
      </c>
    </row>
    <row r="710">
      <c r="A710" s="39" t="str">
        <f>IF(AND($L710*1&gt;=$G$3,$L710*1&lt;=$G$4,$I710*$J710&gt;0,OR($I710&lt;&gt;$I711,$L710-$L711&gt;25),IF(ABS($I710)&gt;10,$I710/POW(10,$J710),$J710/POW(10,$I710))*MAXIFS(Token!$C:$C,Token!$A:$A,$K710)&gt;0.01),$L710/86400+DATE(1970,1,1)+$G$6,)</f>
        <v/>
      </c>
      <c r="B710" s="27" t="str">
        <f t="shared" si="1"/>
        <v/>
      </c>
      <c r="C710" s="14" t="str">
        <f>IF($A710&lt;&gt;"",MINIFS(Merchant!$A:$A,Merchant!$B:$B,$G$2),)</f>
        <v/>
      </c>
      <c r="D710" s="14" t="str">
        <f t="shared" si="2"/>
        <v/>
      </c>
      <c r="E710" s="14" t="str">
        <f t="shared" si="3"/>
        <v/>
      </c>
      <c r="F710" s="7" t="str">
        <f>IF($A710&lt;&gt;"",MAXIFS(Token!$C:$C,Token!$A:$A,$D710),)</f>
        <v/>
      </c>
    </row>
    <row r="711">
      <c r="A711" s="39" t="str">
        <f>IF(AND($L711*1&gt;=$G$3,$L711*1&lt;=$G$4,$I711*$J711&gt;0,OR($I711&lt;&gt;$I712,$L711-$L712&gt;25),IF(ABS($I711)&gt;10,$I711/POW(10,$J711),$J711/POW(10,$I711))*MAXIFS(Token!$C:$C,Token!$A:$A,$K711)&gt;0.01),$L711/86400+DATE(1970,1,1)+$G$6,)</f>
        <v/>
      </c>
      <c r="B711" s="27" t="str">
        <f t="shared" si="1"/>
        <v/>
      </c>
      <c r="C711" s="14" t="str">
        <f>IF($A711&lt;&gt;"",MINIFS(Merchant!$A:$A,Merchant!$B:$B,$G$2),)</f>
        <v/>
      </c>
      <c r="D711" s="14" t="str">
        <f t="shared" si="2"/>
        <v/>
      </c>
      <c r="E711" s="14" t="str">
        <f t="shared" si="3"/>
        <v/>
      </c>
      <c r="F711" s="7" t="str">
        <f>IF($A711&lt;&gt;"",MAXIFS(Token!$C:$C,Token!$A:$A,$D711),)</f>
        <v/>
      </c>
    </row>
    <row r="712">
      <c r="A712" s="39" t="str">
        <f>IF(AND($L712*1&gt;=$G$3,$L712*1&lt;=$G$4,$I712*$J712&gt;0,OR($I712&lt;&gt;$I713,$L712-$L713&gt;25),IF(ABS($I712)&gt;10,$I712/POW(10,$J712),$J712/POW(10,$I712))*MAXIFS(Token!$C:$C,Token!$A:$A,$K712)&gt;0.01),$L712/86400+DATE(1970,1,1)+$G$6,)</f>
        <v/>
      </c>
      <c r="B712" s="27" t="str">
        <f t="shared" si="1"/>
        <v/>
      </c>
      <c r="C712" s="14" t="str">
        <f>IF($A712&lt;&gt;"",MINIFS(Merchant!$A:$A,Merchant!$B:$B,$G$2),)</f>
        <v/>
      </c>
      <c r="D712" s="14" t="str">
        <f t="shared" si="2"/>
        <v/>
      </c>
      <c r="E712" s="14" t="str">
        <f t="shared" si="3"/>
        <v/>
      </c>
      <c r="F712" s="7" t="str">
        <f>IF($A712&lt;&gt;"",MAXIFS(Token!$C:$C,Token!$A:$A,$D712),)</f>
        <v/>
      </c>
    </row>
    <row r="713">
      <c r="A713" s="39" t="str">
        <f>IF(AND($L713*1&gt;=$G$3,$L713*1&lt;=$G$4,$I713*$J713&gt;0,OR($I713&lt;&gt;$I714,$L713-$L714&gt;25),IF(ABS($I713)&gt;10,$I713/POW(10,$J713),$J713/POW(10,$I713))*MAXIFS(Token!$C:$C,Token!$A:$A,$K713)&gt;0.01),$L713/86400+DATE(1970,1,1)+$G$6,)</f>
        <v/>
      </c>
      <c r="B713" s="27" t="str">
        <f t="shared" si="1"/>
        <v/>
      </c>
      <c r="C713" s="14" t="str">
        <f>IF($A713&lt;&gt;"",MINIFS(Merchant!$A:$A,Merchant!$B:$B,$G$2),)</f>
        <v/>
      </c>
      <c r="D713" s="14" t="str">
        <f t="shared" si="2"/>
        <v/>
      </c>
      <c r="E713" s="14" t="str">
        <f t="shared" si="3"/>
        <v/>
      </c>
      <c r="F713" s="7" t="str">
        <f>IF($A713&lt;&gt;"",MAXIFS(Token!$C:$C,Token!$A:$A,$D713),)</f>
        <v/>
      </c>
    </row>
    <row r="714">
      <c r="A714" s="39" t="str">
        <f>IF(AND($L714*1&gt;=$G$3,$L714*1&lt;=$G$4,$I714*$J714&gt;0,OR($I714&lt;&gt;$I715,$L714-$L715&gt;25),IF(ABS($I714)&gt;10,$I714/POW(10,$J714),$J714/POW(10,$I714))*MAXIFS(Token!$C:$C,Token!$A:$A,$K714)&gt;0.01),$L714/86400+DATE(1970,1,1)+$G$6,)</f>
        <v/>
      </c>
      <c r="B714" s="27" t="str">
        <f t="shared" si="1"/>
        <v/>
      </c>
      <c r="C714" s="14" t="str">
        <f>IF($A714&lt;&gt;"",MINIFS(Merchant!$A:$A,Merchant!$B:$B,$G$2),)</f>
        <v/>
      </c>
      <c r="D714" s="14" t="str">
        <f t="shared" si="2"/>
        <v/>
      </c>
      <c r="E714" s="14" t="str">
        <f t="shared" si="3"/>
        <v/>
      </c>
      <c r="F714" s="7" t="str">
        <f>IF($A714&lt;&gt;"",MAXIFS(Token!$C:$C,Token!$A:$A,$D714),)</f>
        <v/>
      </c>
    </row>
    <row r="715">
      <c r="A715" s="39" t="str">
        <f>IF(AND($L715*1&gt;=$G$3,$L715*1&lt;=$G$4,$I715*$J715&gt;0,OR($I715&lt;&gt;$I716,$L715-$L716&gt;25),IF(ABS($I715)&gt;10,$I715/POW(10,$J715),$J715/POW(10,$I715))*MAXIFS(Token!$C:$C,Token!$A:$A,$K715)&gt;0.01),$L715/86400+DATE(1970,1,1)+$G$6,)</f>
        <v/>
      </c>
      <c r="B715" s="27" t="str">
        <f t="shared" si="1"/>
        <v/>
      </c>
      <c r="C715" s="14" t="str">
        <f>IF($A715&lt;&gt;"",MINIFS(Merchant!$A:$A,Merchant!$B:$B,$G$2),)</f>
        <v/>
      </c>
      <c r="D715" s="14" t="str">
        <f t="shared" si="2"/>
        <v/>
      </c>
      <c r="E715" s="14" t="str">
        <f t="shared" si="3"/>
        <v/>
      </c>
      <c r="F715" s="7" t="str">
        <f>IF($A715&lt;&gt;"",MAXIFS(Token!$C:$C,Token!$A:$A,$D715),)</f>
        <v/>
      </c>
    </row>
    <row r="716">
      <c r="A716" s="39" t="str">
        <f>IF(AND($L716*1&gt;=$G$3,$L716*1&lt;=$G$4,$I716*$J716&gt;0,OR($I716&lt;&gt;$I717,$L716-$L717&gt;25),IF(ABS($I716)&gt;10,$I716/POW(10,$J716),$J716/POW(10,$I716))*MAXIFS(Token!$C:$C,Token!$A:$A,$K716)&gt;0.01),$L716/86400+DATE(1970,1,1)+$G$6,)</f>
        <v/>
      </c>
      <c r="B716" s="27" t="str">
        <f t="shared" si="1"/>
        <v/>
      </c>
      <c r="C716" s="14" t="str">
        <f>IF($A716&lt;&gt;"",MINIFS(Merchant!$A:$A,Merchant!$B:$B,$G$2),)</f>
        <v/>
      </c>
      <c r="D716" s="14" t="str">
        <f t="shared" si="2"/>
        <v/>
      </c>
      <c r="E716" s="14" t="str">
        <f t="shared" si="3"/>
        <v/>
      </c>
      <c r="F716" s="7" t="str">
        <f>IF($A716&lt;&gt;"",MAXIFS(Token!$C:$C,Token!$A:$A,$D716),)</f>
        <v/>
      </c>
    </row>
    <row r="717">
      <c r="A717" s="39" t="str">
        <f>IF(AND($L717*1&gt;=$G$3,$L717*1&lt;=$G$4,$I717*$J717&gt;0,OR($I717&lt;&gt;$I718,$L717-$L718&gt;25),IF(ABS($I717)&gt;10,$I717/POW(10,$J717),$J717/POW(10,$I717))*MAXIFS(Token!$C:$C,Token!$A:$A,$K717)&gt;0.01),$L717/86400+DATE(1970,1,1)+$G$6,)</f>
        <v/>
      </c>
      <c r="B717" s="27" t="str">
        <f t="shared" si="1"/>
        <v/>
      </c>
      <c r="C717" s="14" t="str">
        <f>IF($A717&lt;&gt;"",MINIFS(Merchant!$A:$A,Merchant!$B:$B,$G$2),)</f>
        <v/>
      </c>
      <c r="D717" s="14" t="str">
        <f t="shared" si="2"/>
        <v/>
      </c>
      <c r="E717" s="14" t="str">
        <f t="shared" si="3"/>
        <v/>
      </c>
      <c r="F717" s="7" t="str">
        <f>IF($A717&lt;&gt;"",MAXIFS(Token!$C:$C,Token!$A:$A,$D717),)</f>
        <v/>
      </c>
    </row>
    <row r="718">
      <c r="A718" s="39" t="str">
        <f>IF(AND($L718*1&gt;=$G$3,$L718*1&lt;=$G$4,$I718*$J718&gt;0,OR($I718&lt;&gt;$I719,$L718-$L719&gt;25),IF(ABS($I718)&gt;10,$I718/POW(10,$J718),$J718/POW(10,$I718))*MAXIFS(Token!$C:$C,Token!$A:$A,$K718)&gt;0.01),$L718/86400+DATE(1970,1,1)+$G$6,)</f>
        <v/>
      </c>
      <c r="B718" s="27" t="str">
        <f t="shared" si="1"/>
        <v/>
      </c>
      <c r="C718" s="14" t="str">
        <f>IF($A718&lt;&gt;"",MINIFS(Merchant!$A:$A,Merchant!$B:$B,$G$2),)</f>
        <v/>
      </c>
      <c r="D718" s="14" t="str">
        <f t="shared" si="2"/>
        <v/>
      </c>
      <c r="E718" s="14" t="str">
        <f t="shared" si="3"/>
        <v/>
      </c>
      <c r="F718" s="7" t="str">
        <f>IF($A718&lt;&gt;"",MAXIFS(Token!$C:$C,Token!$A:$A,$D718),)</f>
        <v/>
      </c>
    </row>
    <row r="719">
      <c r="A719" s="39" t="str">
        <f>IF(AND($L719*1&gt;=$G$3,$L719*1&lt;=$G$4,$I719*$J719&gt;0,OR($I719&lt;&gt;$I720,$L719-$L720&gt;25),IF(ABS($I719)&gt;10,$I719/POW(10,$J719),$J719/POW(10,$I719))*MAXIFS(Token!$C:$C,Token!$A:$A,$K719)&gt;0.01),$L719/86400+DATE(1970,1,1)+$G$6,)</f>
        <v/>
      </c>
      <c r="B719" s="27" t="str">
        <f t="shared" si="1"/>
        <v/>
      </c>
      <c r="C719" s="14" t="str">
        <f>IF($A719&lt;&gt;"",MINIFS(Merchant!$A:$A,Merchant!$B:$B,$G$2),)</f>
        <v/>
      </c>
      <c r="D719" s="14" t="str">
        <f t="shared" si="2"/>
        <v/>
      </c>
      <c r="E719" s="14" t="str">
        <f t="shared" si="3"/>
        <v/>
      </c>
      <c r="F719" s="7" t="str">
        <f>IF($A719&lt;&gt;"",MAXIFS(Token!$C:$C,Token!$A:$A,$D719),)</f>
        <v/>
      </c>
    </row>
    <row r="720">
      <c r="A720" s="39" t="str">
        <f>IF(AND($L720*1&gt;=$G$3,$L720*1&lt;=$G$4,$I720*$J720&gt;0,OR($I720&lt;&gt;$I721,$L720-$L721&gt;25),IF(ABS($I720)&gt;10,$I720/POW(10,$J720),$J720/POW(10,$I720))*MAXIFS(Token!$C:$C,Token!$A:$A,$K720)&gt;0.01),$L720/86400+DATE(1970,1,1)+$G$6,)</f>
        <v/>
      </c>
      <c r="B720" s="27" t="str">
        <f t="shared" si="1"/>
        <v/>
      </c>
      <c r="C720" s="14" t="str">
        <f>IF($A720&lt;&gt;"",MINIFS(Merchant!$A:$A,Merchant!$B:$B,$G$2),)</f>
        <v/>
      </c>
      <c r="D720" s="14" t="str">
        <f t="shared" si="2"/>
        <v/>
      </c>
      <c r="E720" s="14" t="str">
        <f t="shared" si="3"/>
        <v/>
      </c>
      <c r="F720" s="7" t="str">
        <f>IF($A720&lt;&gt;"",MAXIFS(Token!$C:$C,Token!$A:$A,$D720),)</f>
        <v/>
      </c>
    </row>
    <row r="721">
      <c r="A721" s="39" t="str">
        <f>IF(AND($L721*1&gt;=$G$3,$L721*1&lt;=$G$4,$I721*$J721&gt;0,OR($I721&lt;&gt;$I722,$L721-$L722&gt;25),IF(ABS($I721)&gt;10,$I721/POW(10,$J721),$J721/POW(10,$I721))*MAXIFS(Token!$C:$C,Token!$A:$A,$K721)&gt;0.01),$L721/86400+DATE(1970,1,1)+$G$6,)</f>
        <v/>
      </c>
      <c r="B721" s="27" t="str">
        <f t="shared" si="1"/>
        <v/>
      </c>
      <c r="C721" s="14" t="str">
        <f>IF($A721&lt;&gt;"",MINIFS(Merchant!$A:$A,Merchant!$B:$B,$G$2),)</f>
        <v/>
      </c>
      <c r="D721" s="14" t="str">
        <f t="shared" si="2"/>
        <v/>
      </c>
      <c r="E721" s="14" t="str">
        <f t="shared" si="3"/>
        <v/>
      </c>
      <c r="F721" s="7" t="str">
        <f>IF($A721&lt;&gt;"",MAXIFS(Token!$C:$C,Token!$A:$A,$D721),)</f>
        <v/>
      </c>
    </row>
    <row r="722">
      <c r="A722" s="39" t="str">
        <f>IF(AND($L722*1&gt;=$G$3,$L722*1&lt;=$G$4,$I722*$J722&gt;0,OR($I722&lt;&gt;$I723,$L722-$L723&gt;25),IF(ABS($I722)&gt;10,$I722/POW(10,$J722),$J722/POW(10,$I722))*MAXIFS(Token!$C:$C,Token!$A:$A,$K722)&gt;0.01),$L722/86400+DATE(1970,1,1)+$G$6,)</f>
        <v/>
      </c>
      <c r="B722" s="27" t="str">
        <f t="shared" si="1"/>
        <v/>
      </c>
      <c r="C722" s="14" t="str">
        <f>IF($A722&lt;&gt;"",MINIFS(Merchant!$A:$A,Merchant!$B:$B,$G$2),)</f>
        <v/>
      </c>
      <c r="D722" s="14" t="str">
        <f t="shared" si="2"/>
        <v/>
      </c>
      <c r="E722" s="14" t="str">
        <f t="shared" si="3"/>
        <v/>
      </c>
      <c r="F722" s="7" t="str">
        <f>IF($A722&lt;&gt;"",MAXIFS(Token!$C:$C,Token!$A:$A,$D722),)</f>
        <v/>
      </c>
    </row>
    <row r="723">
      <c r="A723" s="39" t="str">
        <f>IF(AND($L723*1&gt;=$G$3,$L723*1&lt;=$G$4,$I723*$J723&gt;0,OR($I723&lt;&gt;$I724,$L723-$L724&gt;25),IF(ABS($I723)&gt;10,$I723/POW(10,$J723),$J723/POW(10,$I723))*MAXIFS(Token!$C:$C,Token!$A:$A,$K723)&gt;0.01),$L723/86400+DATE(1970,1,1)+$G$6,)</f>
        <v/>
      </c>
      <c r="B723" s="27" t="str">
        <f t="shared" si="1"/>
        <v/>
      </c>
      <c r="C723" s="14" t="str">
        <f>IF($A723&lt;&gt;"",MINIFS(Merchant!$A:$A,Merchant!$B:$B,$G$2),)</f>
        <v/>
      </c>
      <c r="D723" s="14" t="str">
        <f t="shared" si="2"/>
        <v/>
      </c>
      <c r="E723" s="14" t="str">
        <f t="shared" si="3"/>
        <v/>
      </c>
      <c r="F723" s="7" t="str">
        <f>IF($A723&lt;&gt;"",MAXIFS(Token!$C:$C,Token!$A:$A,$D723),)</f>
        <v/>
      </c>
    </row>
    <row r="724">
      <c r="A724" s="39" t="str">
        <f>IF(AND($L724*1&gt;=$G$3,$L724*1&lt;=$G$4,$I724*$J724&gt;0,OR($I724&lt;&gt;$I725,$L724-$L725&gt;25),IF(ABS($I724)&gt;10,$I724/POW(10,$J724),$J724/POW(10,$I724))*MAXIFS(Token!$C:$C,Token!$A:$A,$K724)&gt;0.01),$L724/86400+DATE(1970,1,1)+$G$6,)</f>
        <v/>
      </c>
      <c r="B724" s="27" t="str">
        <f t="shared" si="1"/>
        <v/>
      </c>
      <c r="C724" s="14" t="str">
        <f>IF($A724&lt;&gt;"",MINIFS(Merchant!$A:$A,Merchant!$B:$B,$G$2),)</f>
        <v/>
      </c>
      <c r="D724" s="14" t="str">
        <f t="shared" si="2"/>
        <v/>
      </c>
      <c r="E724" s="14" t="str">
        <f t="shared" si="3"/>
        <v/>
      </c>
      <c r="F724" s="7" t="str">
        <f>IF($A724&lt;&gt;"",MAXIFS(Token!$C:$C,Token!$A:$A,$D724),)</f>
        <v/>
      </c>
    </row>
    <row r="725">
      <c r="A725" s="39" t="str">
        <f>IF(AND($L725*1&gt;=$G$3,$L725*1&lt;=$G$4,$I725*$J725&gt;0,OR($I725&lt;&gt;$I726,$L725-$L726&gt;25),IF(ABS($I725)&gt;10,$I725/POW(10,$J725),$J725/POW(10,$I725))*MAXIFS(Token!$C:$C,Token!$A:$A,$K725)&gt;0.01),$L725/86400+DATE(1970,1,1)+$G$6,)</f>
        <v/>
      </c>
      <c r="B725" s="27" t="str">
        <f t="shared" si="1"/>
        <v/>
      </c>
      <c r="C725" s="14" t="str">
        <f>IF($A725&lt;&gt;"",MINIFS(Merchant!$A:$A,Merchant!$B:$B,$G$2),)</f>
        <v/>
      </c>
      <c r="D725" s="14" t="str">
        <f t="shared" si="2"/>
        <v/>
      </c>
      <c r="E725" s="14" t="str">
        <f t="shared" si="3"/>
        <v/>
      </c>
      <c r="F725" s="7" t="str">
        <f>IF($A725&lt;&gt;"",MAXIFS(Token!$C:$C,Token!$A:$A,$D725),)</f>
        <v/>
      </c>
    </row>
    <row r="726">
      <c r="A726" s="39" t="str">
        <f>IF(AND($L726*1&gt;=$G$3,$L726*1&lt;=$G$4,$I726*$J726&gt;0,OR($I726&lt;&gt;$I727,$L726-$L727&gt;25),IF(ABS($I726)&gt;10,$I726/POW(10,$J726),$J726/POW(10,$I726))*MAXIFS(Token!$C:$C,Token!$A:$A,$K726)&gt;0.01),$L726/86400+DATE(1970,1,1)+$G$6,)</f>
        <v/>
      </c>
      <c r="B726" s="27" t="str">
        <f t="shared" si="1"/>
        <v/>
      </c>
      <c r="C726" s="14" t="str">
        <f>IF($A726&lt;&gt;"",MINIFS(Merchant!$A:$A,Merchant!$B:$B,$G$2),)</f>
        <v/>
      </c>
      <c r="D726" s="14" t="str">
        <f t="shared" si="2"/>
        <v/>
      </c>
      <c r="E726" s="14" t="str">
        <f t="shared" si="3"/>
        <v/>
      </c>
      <c r="F726" s="7" t="str">
        <f>IF($A726&lt;&gt;"",MAXIFS(Token!$C:$C,Token!$A:$A,$D726),)</f>
        <v/>
      </c>
    </row>
    <row r="727">
      <c r="A727" s="39" t="str">
        <f>IF(AND($L727*1&gt;=$G$3,$L727*1&lt;=$G$4,$I727*$J727&gt;0,OR($I727&lt;&gt;$I728,$L727-$L728&gt;25),IF(ABS($I727)&gt;10,$I727/POW(10,$J727),$J727/POW(10,$I727))*MAXIFS(Token!$C:$C,Token!$A:$A,$K727)&gt;0.01),$L727/86400+DATE(1970,1,1)+$G$6,)</f>
        <v/>
      </c>
      <c r="B727" s="27" t="str">
        <f t="shared" si="1"/>
        <v/>
      </c>
      <c r="C727" s="14" t="str">
        <f>IF($A727&lt;&gt;"",MINIFS(Merchant!$A:$A,Merchant!$B:$B,$G$2),)</f>
        <v/>
      </c>
      <c r="D727" s="14" t="str">
        <f t="shared" si="2"/>
        <v/>
      </c>
      <c r="E727" s="14" t="str">
        <f t="shared" si="3"/>
        <v/>
      </c>
      <c r="F727" s="7" t="str">
        <f>IF($A727&lt;&gt;"",MAXIFS(Token!$C:$C,Token!$A:$A,$D727),)</f>
        <v/>
      </c>
    </row>
    <row r="728">
      <c r="A728" s="39" t="str">
        <f>IF(AND($L728*1&gt;=$G$3,$L728*1&lt;=$G$4,$I728*$J728&gt;0,OR($I728&lt;&gt;$I729,$L728-$L729&gt;25),IF(ABS($I728)&gt;10,$I728/POW(10,$J728),$J728/POW(10,$I728))*MAXIFS(Token!$C:$C,Token!$A:$A,$K728)&gt;0.01),$L728/86400+DATE(1970,1,1)+$G$6,)</f>
        <v/>
      </c>
      <c r="B728" s="27" t="str">
        <f t="shared" si="1"/>
        <v/>
      </c>
      <c r="C728" s="14" t="str">
        <f>IF($A728&lt;&gt;"",MINIFS(Merchant!$A:$A,Merchant!$B:$B,$G$2),)</f>
        <v/>
      </c>
      <c r="D728" s="14" t="str">
        <f t="shared" si="2"/>
        <v/>
      </c>
      <c r="E728" s="14" t="str">
        <f t="shared" si="3"/>
        <v/>
      </c>
      <c r="F728" s="7" t="str">
        <f>IF($A728&lt;&gt;"",MAXIFS(Token!$C:$C,Token!$A:$A,$D728),)</f>
        <v/>
      </c>
    </row>
    <row r="729">
      <c r="A729" s="39" t="str">
        <f>IF(AND($L729*1&gt;=$G$3,$L729*1&lt;=$G$4,$I729*$J729&gt;0,OR($I729&lt;&gt;$I730,$L729-$L730&gt;25),IF(ABS($I729)&gt;10,$I729/POW(10,$J729),$J729/POW(10,$I729))*MAXIFS(Token!$C:$C,Token!$A:$A,$K729)&gt;0.01),$L729/86400+DATE(1970,1,1)+$G$6,)</f>
        <v/>
      </c>
      <c r="B729" s="27" t="str">
        <f t="shared" si="1"/>
        <v/>
      </c>
      <c r="C729" s="14" t="str">
        <f>IF($A729&lt;&gt;"",MINIFS(Merchant!$A:$A,Merchant!$B:$B,$G$2),)</f>
        <v/>
      </c>
      <c r="D729" s="14" t="str">
        <f t="shared" si="2"/>
        <v/>
      </c>
      <c r="E729" s="14" t="str">
        <f t="shared" si="3"/>
        <v/>
      </c>
      <c r="F729" s="7" t="str">
        <f>IF($A729&lt;&gt;"",MAXIFS(Token!$C:$C,Token!$A:$A,$D729),)</f>
        <v/>
      </c>
    </row>
    <row r="730">
      <c r="A730" s="39" t="str">
        <f>IF(AND($L730*1&gt;=$G$3,$L730*1&lt;=$G$4,$I730*$J730&gt;0,OR($I730&lt;&gt;$I731,$L730-$L731&gt;25),IF(ABS($I730)&gt;10,$I730/POW(10,$J730),$J730/POW(10,$I730))*MAXIFS(Token!$C:$C,Token!$A:$A,$K730)&gt;0.01),$L730/86400+DATE(1970,1,1)+$G$6,)</f>
        <v/>
      </c>
      <c r="B730" s="27" t="str">
        <f t="shared" si="1"/>
        <v/>
      </c>
      <c r="C730" s="14" t="str">
        <f>IF($A730&lt;&gt;"",MINIFS(Merchant!$A:$A,Merchant!$B:$B,$G$2),)</f>
        <v/>
      </c>
      <c r="D730" s="14" t="str">
        <f t="shared" si="2"/>
        <v/>
      </c>
      <c r="E730" s="14" t="str">
        <f t="shared" si="3"/>
        <v/>
      </c>
      <c r="F730" s="7" t="str">
        <f>IF($A730&lt;&gt;"",MAXIFS(Token!$C:$C,Token!$A:$A,$D730),)</f>
        <v/>
      </c>
    </row>
    <row r="731">
      <c r="A731" s="39" t="str">
        <f>IF(AND($L731*1&gt;=$G$3,$L731*1&lt;=$G$4,$I731*$J731&gt;0,OR($I731&lt;&gt;$I732,$L731-$L732&gt;25),IF(ABS($I731)&gt;10,$I731/POW(10,$J731),$J731/POW(10,$I731))*MAXIFS(Token!$C:$C,Token!$A:$A,$K731)&gt;0.01),$L731/86400+DATE(1970,1,1)+$G$6,)</f>
        <v/>
      </c>
      <c r="B731" s="27" t="str">
        <f t="shared" si="1"/>
        <v/>
      </c>
      <c r="C731" s="14" t="str">
        <f>IF($A731&lt;&gt;"",MINIFS(Merchant!$A:$A,Merchant!$B:$B,$G$2),)</f>
        <v/>
      </c>
      <c r="D731" s="14" t="str">
        <f t="shared" si="2"/>
        <v/>
      </c>
      <c r="E731" s="14" t="str">
        <f t="shared" si="3"/>
        <v/>
      </c>
      <c r="F731" s="7" t="str">
        <f>IF($A731&lt;&gt;"",MAXIFS(Token!$C:$C,Token!$A:$A,$D731),)</f>
        <v/>
      </c>
    </row>
    <row r="732">
      <c r="A732" s="39" t="str">
        <f>IF(AND($L732*1&gt;=$G$3,$L732*1&lt;=$G$4,$I732*$J732&gt;0,OR($I732&lt;&gt;$I733,$L732-$L733&gt;25),IF(ABS($I732)&gt;10,$I732/POW(10,$J732),$J732/POW(10,$I732))*MAXIFS(Token!$C:$C,Token!$A:$A,$K732)&gt;0.01),$L732/86400+DATE(1970,1,1)+$G$6,)</f>
        <v/>
      </c>
      <c r="B732" s="27" t="str">
        <f t="shared" si="1"/>
        <v/>
      </c>
      <c r="C732" s="14" t="str">
        <f>IF($A732&lt;&gt;"",MINIFS(Merchant!$A:$A,Merchant!$B:$B,$G$2),)</f>
        <v/>
      </c>
      <c r="D732" s="14" t="str">
        <f t="shared" si="2"/>
        <v/>
      </c>
      <c r="E732" s="14" t="str">
        <f t="shared" si="3"/>
        <v/>
      </c>
      <c r="F732" s="7" t="str">
        <f>IF($A732&lt;&gt;"",MAXIFS(Token!$C:$C,Token!$A:$A,$D732),)</f>
        <v/>
      </c>
    </row>
    <row r="733">
      <c r="A733" s="39" t="str">
        <f>IF(AND($L733*1&gt;=$G$3,$L733*1&lt;=$G$4,$I733*$J733&gt;0,OR($I733&lt;&gt;$I734,$L733-$L734&gt;25),IF(ABS($I733)&gt;10,$I733/POW(10,$J733),$J733/POW(10,$I733))*MAXIFS(Token!$C:$C,Token!$A:$A,$K733)&gt;0.01),$L733/86400+DATE(1970,1,1)+$G$6,)</f>
        <v/>
      </c>
      <c r="B733" s="27" t="str">
        <f t="shared" si="1"/>
        <v/>
      </c>
      <c r="C733" s="14" t="str">
        <f>IF($A733&lt;&gt;"",MINIFS(Merchant!$A:$A,Merchant!$B:$B,$G$2),)</f>
        <v/>
      </c>
      <c r="D733" s="14" t="str">
        <f t="shared" si="2"/>
        <v/>
      </c>
      <c r="E733" s="14" t="str">
        <f t="shared" si="3"/>
        <v/>
      </c>
      <c r="F733" s="7" t="str">
        <f>IF($A733&lt;&gt;"",MAXIFS(Token!$C:$C,Token!$A:$A,$D733),)</f>
        <v/>
      </c>
    </row>
    <row r="734">
      <c r="A734" s="39" t="str">
        <f>IF(AND($L734*1&gt;=$G$3,$L734*1&lt;=$G$4,$I734*$J734&gt;0,OR($I734&lt;&gt;$I735,$L734-$L735&gt;25),IF(ABS($I734)&gt;10,$I734/POW(10,$J734),$J734/POW(10,$I734))*MAXIFS(Token!$C:$C,Token!$A:$A,$K734)&gt;0.01),$L734/86400+DATE(1970,1,1)+$G$6,)</f>
        <v/>
      </c>
      <c r="B734" s="27" t="str">
        <f t="shared" si="1"/>
        <v/>
      </c>
      <c r="C734" s="14" t="str">
        <f>IF($A734&lt;&gt;"",MINIFS(Merchant!$A:$A,Merchant!$B:$B,$G$2),)</f>
        <v/>
      </c>
      <c r="D734" s="14" t="str">
        <f t="shared" si="2"/>
        <v/>
      </c>
      <c r="E734" s="14" t="str">
        <f t="shared" si="3"/>
        <v/>
      </c>
      <c r="F734" s="7" t="str">
        <f>IF($A734&lt;&gt;"",MAXIFS(Token!$C:$C,Token!$A:$A,$D734),)</f>
        <v/>
      </c>
    </row>
    <row r="735">
      <c r="A735" s="39" t="str">
        <f>IF(AND($L735*1&gt;=$G$3,$L735*1&lt;=$G$4,$I735*$J735&gt;0,OR($I735&lt;&gt;$I736,$L735-$L736&gt;25),IF(ABS($I735)&gt;10,$I735/POW(10,$J735),$J735/POW(10,$I735))*MAXIFS(Token!$C:$C,Token!$A:$A,$K735)&gt;0.01),$L735/86400+DATE(1970,1,1)+$G$6,)</f>
        <v/>
      </c>
      <c r="B735" s="27" t="str">
        <f t="shared" si="1"/>
        <v/>
      </c>
      <c r="C735" s="14" t="str">
        <f>IF($A735&lt;&gt;"",MINIFS(Merchant!$A:$A,Merchant!$B:$B,$G$2),)</f>
        <v/>
      </c>
      <c r="D735" s="14" t="str">
        <f t="shared" si="2"/>
        <v/>
      </c>
      <c r="E735" s="14" t="str">
        <f t="shared" si="3"/>
        <v/>
      </c>
      <c r="F735" s="7" t="str">
        <f>IF($A735&lt;&gt;"",MAXIFS(Token!$C:$C,Token!$A:$A,$D735),)</f>
        <v/>
      </c>
    </row>
    <row r="736">
      <c r="A736" s="39" t="str">
        <f>IF(AND($L736*1&gt;=$G$3,$L736*1&lt;=$G$4,$I736*$J736&gt;0,OR($I736&lt;&gt;$I737,$L736-$L737&gt;25),IF(ABS($I736)&gt;10,$I736/POW(10,$J736),$J736/POW(10,$I736))*MAXIFS(Token!$C:$C,Token!$A:$A,$K736)&gt;0.01),$L736/86400+DATE(1970,1,1)+$G$6,)</f>
        <v/>
      </c>
      <c r="B736" s="27" t="str">
        <f t="shared" si="1"/>
        <v/>
      </c>
      <c r="C736" s="14" t="str">
        <f>IF($A736&lt;&gt;"",MINIFS(Merchant!$A:$A,Merchant!$B:$B,$G$2),)</f>
        <v/>
      </c>
      <c r="D736" s="14" t="str">
        <f t="shared" si="2"/>
        <v/>
      </c>
      <c r="E736" s="14" t="str">
        <f t="shared" si="3"/>
        <v/>
      </c>
      <c r="F736" s="7" t="str">
        <f>IF($A736&lt;&gt;"",MAXIFS(Token!$C:$C,Token!$A:$A,$D736),)</f>
        <v/>
      </c>
    </row>
    <row r="737">
      <c r="A737" s="39" t="str">
        <f>IF(AND($L737*1&gt;=$G$3,$L737*1&lt;=$G$4,$I737*$J737&gt;0,OR($I737&lt;&gt;$I738,$L737-$L738&gt;25),IF(ABS($I737)&gt;10,$I737/POW(10,$J737),$J737/POW(10,$I737))*MAXIFS(Token!$C:$C,Token!$A:$A,$K737)&gt;0.01),$L737/86400+DATE(1970,1,1)+$G$6,)</f>
        <v/>
      </c>
      <c r="B737" s="27" t="str">
        <f t="shared" si="1"/>
        <v/>
      </c>
      <c r="C737" s="14" t="str">
        <f>IF($A737&lt;&gt;"",MINIFS(Merchant!$A:$A,Merchant!$B:$B,$G$2),)</f>
        <v/>
      </c>
      <c r="D737" s="14" t="str">
        <f t="shared" si="2"/>
        <v/>
      </c>
      <c r="E737" s="14" t="str">
        <f t="shared" si="3"/>
        <v/>
      </c>
      <c r="F737" s="7" t="str">
        <f>IF($A737&lt;&gt;"",MAXIFS(Token!$C:$C,Token!$A:$A,$D737),)</f>
        <v/>
      </c>
    </row>
    <row r="738">
      <c r="A738" s="39" t="str">
        <f>IF(AND($L738*1&gt;=$G$3,$L738*1&lt;=$G$4,$I738*$J738&gt;0,OR($I738&lt;&gt;$I739,$L738-$L739&gt;25),IF(ABS($I738)&gt;10,$I738/POW(10,$J738),$J738/POW(10,$I738))*MAXIFS(Token!$C:$C,Token!$A:$A,$K738)&gt;0.01),$L738/86400+DATE(1970,1,1)+$G$6,)</f>
        <v/>
      </c>
      <c r="B738" s="27" t="str">
        <f t="shared" si="1"/>
        <v/>
      </c>
      <c r="C738" s="14" t="str">
        <f>IF($A738&lt;&gt;"",MINIFS(Merchant!$A:$A,Merchant!$B:$B,$G$2),)</f>
        <v/>
      </c>
      <c r="D738" s="14" t="str">
        <f t="shared" si="2"/>
        <v/>
      </c>
      <c r="E738" s="14" t="str">
        <f t="shared" si="3"/>
        <v/>
      </c>
      <c r="F738" s="7" t="str">
        <f>IF($A738&lt;&gt;"",MAXIFS(Token!$C:$C,Token!$A:$A,$D738),)</f>
        <v/>
      </c>
    </row>
    <row r="739">
      <c r="A739" s="39" t="str">
        <f>IF(AND($L739*1&gt;=$G$3,$L739*1&lt;=$G$4,$I739*$J739&gt;0,OR($I739&lt;&gt;$I740,$L739-$L740&gt;25),IF(ABS($I739)&gt;10,$I739/POW(10,$J739),$J739/POW(10,$I739))*MAXIFS(Token!$C:$C,Token!$A:$A,$K739)&gt;0.01),$L739/86400+DATE(1970,1,1)+$G$6,)</f>
        <v/>
      </c>
      <c r="B739" s="27" t="str">
        <f t="shared" si="1"/>
        <v/>
      </c>
      <c r="C739" s="14" t="str">
        <f>IF($A739&lt;&gt;"",MINIFS(Merchant!$A:$A,Merchant!$B:$B,$G$2),)</f>
        <v/>
      </c>
      <c r="D739" s="14" t="str">
        <f t="shared" si="2"/>
        <v/>
      </c>
      <c r="E739" s="14" t="str">
        <f t="shared" si="3"/>
        <v/>
      </c>
      <c r="F739" s="7" t="str">
        <f>IF($A739&lt;&gt;"",MAXIFS(Token!$C:$C,Token!$A:$A,$D739),)</f>
        <v/>
      </c>
    </row>
    <row r="740">
      <c r="A740" s="39" t="str">
        <f>IF(AND($L740*1&gt;=$G$3,$L740*1&lt;=$G$4,$I740*$J740&gt;0,OR($I740&lt;&gt;$I741,$L740-$L741&gt;25),IF(ABS($I740)&gt;10,$I740/POW(10,$J740),$J740/POW(10,$I740))*MAXIFS(Token!$C:$C,Token!$A:$A,$K740)&gt;0.01),$L740/86400+DATE(1970,1,1)+$G$6,)</f>
        <v/>
      </c>
      <c r="B740" s="27" t="str">
        <f t="shared" si="1"/>
        <v/>
      </c>
      <c r="C740" s="14" t="str">
        <f>IF($A740&lt;&gt;"",MINIFS(Merchant!$A:$A,Merchant!$B:$B,$G$2),)</f>
        <v/>
      </c>
      <c r="D740" s="14" t="str">
        <f t="shared" si="2"/>
        <v/>
      </c>
      <c r="E740" s="14" t="str">
        <f t="shared" si="3"/>
        <v/>
      </c>
      <c r="F740" s="7" t="str">
        <f>IF($A740&lt;&gt;"",MAXIFS(Token!$C:$C,Token!$A:$A,$D740),)</f>
        <v/>
      </c>
    </row>
    <row r="741">
      <c r="A741" s="39" t="str">
        <f>IF(AND($L741*1&gt;=$G$3,$L741*1&lt;=$G$4,$I741*$J741&gt;0,OR($I741&lt;&gt;$I742,$L741-$L742&gt;25),IF(ABS($I741)&gt;10,$I741/POW(10,$J741),$J741/POW(10,$I741))*MAXIFS(Token!$C:$C,Token!$A:$A,$K741)&gt;0.01),$L741/86400+DATE(1970,1,1)+$G$6,)</f>
        <v/>
      </c>
      <c r="B741" s="27" t="str">
        <f t="shared" si="1"/>
        <v/>
      </c>
      <c r="C741" s="14" t="str">
        <f>IF($A741&lt;&gt;"",MINIFS(Merchant!$A:$A,Merchant!$B:$B,$G$2),)</f>
        <v/>
      </c>
      <c r="D741" s="14" t="str">
        <f t="shared" si="2"/>
        <v/>
      </c>
      <c r="E741" s="14" t="str">
        <f t="shared" si="3"/>
        <v/>
      </c>
      <c r="F741" s="7" t="str">
        <f>IF($A741&lt;&gt;"",MAXIFS(Token!$C:$C,Token!$A:$A,$D741),)</f>
        <v/>
      </c>
    </row>
    <row r="742">
      <c r="A742" s="39" t="str">
        <f>IF(AND($L742*1&gt;=$G$3,$L742*1&lt;=$G$4,$I742*$J742&gt;0,OR($I742&lt;&gt;$I743,$L742-$L743&gt;25),IF(ABS($I742)&gt;10,$I742/POW(10,$J742),$J742/POW(10,$I742))*MAXIFS(Token!$C:$C,Token!$A:$A,$K742)&gt;0.01),$L742/86400+DATE(1970,1,1)+$G$6,)</f>
        <v/>
      </c>
      <c r="B742" s="27" t="str">
        <f t="shared" si="1"/>
        <v/>
      </c>
      <c r="C742" s="14" t="str">
        <f>IF($A742&lt;&gt;"",MINIFS(Merchant!$A:$A,Merchant!$B:$B,$G$2),)</f>
        <v/>
      </c>
      <c r="D742" s="14" t="str">
        <f t="shared" si="2"/>
        <v/>
      </c>
      <c r="E742" s="14" t="str">
        <f t="shared" si="3"/>
        <v/>
      </c>
      <c r="F742" s="7" t="str">
        <f>IF($A742&lt;&gt;"",MAXIFS(Token!$C:$C,Token!$A:$A,$D742),)</f>
        <v/>
      </c>
    </row>
    <row r="743">
      <c r="A743" s="39" t="str">
        <f>IF(AND($L743*1&gt;=$G$3,$L743*1&lt;=$G$4,$I743*$J743&gt;0,OR($I743&lt;&gt;$I744,$L743-$L744&gt;25),IF(ABS($I743)&gt;10,$I743/POW(10,$J743),$J743/POW(10,$I743))*MAXIFS(Token!$C:$C,Token!$A:$A,$K743)&gt;0.01),$L743/86400+DATE(1970,1,1)+$G$6,)</f>
        <v/>
      </c>
      <c r="B743" s="27" t="str">
        <f t="shared" si="1"/>
        <v/>
      </c>
      <c r="C743" s="14" t="str">
        <f>IF($A743&lt;&gt;"",MINIFS(Merchant!$A:$A,Merchant!$B:$B,$G$2),)</f>
        <v/>
      </c>
      <c r="D743" s="14" t="str">
        <f t="shared" si="2"/>
        <v/>
      </c>
      <c r="E743" s="14" t="str">
        <f t="shared" si="3"/>
        <v/>
      </c>
      <c r="F743" s="7" t="str">
        <f>IF($A743&lt;&gt;"",MAXIFS(Token!$C:$C,Token!$A:$A,$D743),)</f>
        <v/>
      </c>
    </row>
    <row r="744">
      <c r="A744" s="39" t="str">
        <f>IF(AND($L744*1&gt;=$G$3,$L744*1&lt;=$G$4,$I744*$J744&gt;0,OR($I744&lt;&gt;$I745,$L744-$L745&gt;25),IF(ABS($I744)&gt;10,$I744/POW(10,$J744),$J744/POW(10,$I744))*MAXIFS(Token!$C:$C,Token!$A:$A,$K744)&gt;0.01),$L744/86400+DATE(1970,1,1)+$G$6,)</f>
        <v/>
      </c>
      <c r="B744" s="27" t="str">
        <f t="shared" si="1"/>
        <v/>
      </c>
      <c r="C744" s="14" t="str">
        <f>IF($A744&lt;&gt;"",MINIFS(Merchant!$A:$A,Merchant!$B:$B,$G$2),)</f>
        <v/>
      </c>
      <c r="D744" s="14" t="str">
        <f t="shared" si="2"/>
        <v/>
      </c>
      <c r="E744" s="14" t="str">
        <f t="shared" si="3"/>
        <v/>
      </c>
      <c r="F744" s="7" t="str">
        <f>IF($A744&lt;&gt;"",MAXIFS(Token!$C:$C,Token!$A:$A,$D744),)</f>
        <v/>
      </c>
    </row>
    <row r="745">
      <c r="A745" s="39" t="str">
        <f>IF(AND($L745*1&gt;=$G$3,$L745*1&lt;=$G$4,$I745*$J745&gt;0,OR($I745&lt;&gt;$I746,$L745-$L746&gt;25),IF(ABS($I745)&gt;10,$I745/POW(10,$J745),$J745/POW(10,$I745))*MAXIFS(Token!$C:$C,Token!$A:$A,$K745)&gt;0.01),$L745/86400+DATE(1970,1,1)+$G$6,)</f>
        <v/>
      </c>
      <c r="B745" s="27" t="str">
        <f t="shared" si="1"/>
        <v/>
      </c>
      <c r="C745" s="14" t="str">
        <f>IF($A745&lt;&gt;"",MINIFS(Merchant!$A:$A,Merchant!$B:$B,$G$2),)</f>
        <v/>
      </c>
      <c r="D745" s="14" t="str">
        <f t="shared" si="2"/>
        <v/>
      </c>
      <c r="E745" s="14" t="str">
        <f t="shared" si="3"/>
        <v/>
      </c>
      <c r="F745" s="7" t="str">
        <f>IF($A745&lt;&gt;"",MAXIFS(Token!$C:$C,Token!$A:$A,$D745),)</f>
        <v/>
      </c>
    </row>
    <row r="746">
      <c r="A746" s="39" t="str">
        <f>IF(AND($L746*1&gt;=$G$3,$L746*1&lt;=$G$4,$I746*$J746&gt;0,OR($I746&lt;&gt;$I747,$L746-$L747&gt;25),IF(ABS($I746)&gt;10,$I746/POW(10,$J746),$J746/POW(10,$I746))*MAXIFS(Token!$C:$C,Token!$A:$A,$K746)&gt;0.01),$L746/86400+DATE(1970,1,1)+$G$6,)</f>
        <v/>
      </c>
      <c r="B746" s="27" t="str">
        <f t="shared" si="1"/>
        <v/>
      </c>
      <c r="C746" s="14" t="str">
        <f>IF($A746&lt;&gt;"",MINIFS(Merchant!$A:$A,Merchant!$B:$B,$G$2),)</f>
        <v/>
      </c>
      <c r="D746" s="14" t="str">
        <f t="shared" si="2"/>
        <v/>
      </c>
      <c r="E746" s="14" t="str">
        <f t="shared" si="3"/>
        <v/>
      </c>
      <c r="F746" s="7" t="str">
        <f>IF($A746&lt;&gt;"",MAXIFS(Token!$C:$C,Token!$A:$A,$D746),)</f>
        <v/>
      </c>
    </row>
    <row r="747">
      <c r="A747" s="39" t="str">
        <f>IF(AND($L747*1&gt;=$G$3,$L747*1&lt;=$G$4,$I747*$J747&gt;0,OR($I747&lt;&gt;$I748,$L747-$L748&gt;25),IF(ABS($I747)&gt;10,$I747/POW(10,$J747),$J747/POW(10,$I747))*MAXIFS(Token!$C:$C,Token!$A:$A,$K747)&gt;0.01),$L747/86400+DATE(1970,1,1)+$G$6,)</f>
        <v/>
      </c>
      <c r="B747" s="27" t="str">
        <f t="shared" si="1"/>
        <v/>
      </c>
      <c r="C747" s="14" t="str">
        <f>IF($A747&lt;&gt;"",MINIFS(Merchant!$A:$A,Merchant!$B:$B,$G$2),)</f>
        <v/>
      </c>
      <c r="D747" s="14" t="str">
        <f t="shared" si="2"/>
        <v/>
      </c>
      <c r="E747" s="14" t="str">
        <f t="shared" si="3"/>
        <v/>
      </c>
      <c r="F747" s="7" t="str">
        <f>IF($A747&lt;&gt;"",MAXIFS(Token!$C:$C,Token!$A:$A,$D747),)</f>
        <v/>
      </c>
    </row>
    <row r="748">
      <c r="A748" s="39" t="str">
        <f>IF(AND($L748*1&gt;=$G$3,$L748*1&lt;=$G$4,$I748*$J748&gt;0,OR($I748&lt;&gt;$I749,$L748-$L749&gt;25),IF(ABS($I748)&gt;10,$I748/POW(10,$J748),$J748/POW(10,$I748))*MAXIFS(Token!$C:$C,Token!$A:$A,$K748)&gt;0.01),$L748/86400+DATE(1970,1,1)+$G$6,)</f>
        <v/>
      </c>
      <c r="B748" s="27" t="str">
        <f t="shared" si="1"/>
        <v/>
      </c>
      <c r="C748" s="14" t="str">
        <f>IF($A748&lt;&gt;"",MINIFS(Merchant!$A:$A,Merchant!$B:$B,$G$2),)</f>
        <v/>
      </c>
      <c r="D748" s="14" t="str">
        <f t="shared" si="2"/>
        <v/>
      </c>
      <c r="E748" s="14" t="str">
        <f t="shared" si="3"/>
        <v/>
      </c>
      <c r="F748" s="7" t="str">
        <f>IF($A748&lt;&gt;"",MAXIFS(Token!$C:$C,Token!$A:$A,$D748),)</f>
        <v/>
      </c>
    </row>
    <row r="749">
      <c r="A749" s="39" t="str">
        <f>IF(AND($L749*1&gt;=$G$3,$L749*1&lt;=$G$4,$I749*$J749&gt;0,OR($I749&lt;&gt;$I750,$L749-$L750&gt;25),IF(ABS($I749)&gt;10,$I749/POW(10,$J749),$J749/POW(10,$I749))*MAXIFS(Token!$C:$C,Token!$A:$A,$K749)&gt;0.01),$L749/86400+DATE(1970,1,1)+$G$6,)</f>
        <v/>
      </c>
      <c r="B749" s="27" t="str">
        <f t="shared" si="1"/>
        <v/>
      </c>
      <c r="C749" s="14" t="str">
        <f>IF($A749&lt;&gt;"",MINIFS(Merchant!$A:$A,Merchant!$B:$B,$G$2),)</f>
        <v/>
      </c>
      <c r="D749" s="14" t="str">
        <f t="shared" si="2"/>
        <v/>
      </c>
      <c r="E749" s="14" t="str">
        <f t="shared" si="3"/>
        <v/>
      </c>
      <c r="F749" s="7" t="str">
        <f>IF($A749&lt;&gt;"",MAXIFS(Token!$C:$C,Token!$A:$A,$D749),)</f>
        <v/>
      </c>
    </row>
    <row r="750">
      <c r="A750" s="39" t="str">
        <f>IF(AND($L750*1&gt;=$G$3,$L750*1&lt;=$G$4,$I750*$J750&gt;0,OR($I750&lt;&gt;$I751,$L750-$L751&gt;25),IF(ABS($I750)&gt;10,$I750/POW(10,$J750),$J750/POW(10,$I750))*MAXIFS(Token!$C:$C,Token!$A:$A,$K750)&gt;0.01),$L750/86400+DATE(1970,1,1)+$G$6,)</f>
        <v/>
      </c>
      <c r="B750" s="27" t="str">
        <f t="shared" si="1"/>
        <v/>
      </c>
      <c r="C750" s="14" t="str">
        <f>IF($A750&lt;&gt;"",MINIFS(Merchant!$A:$A,Merchant!$B:$B,$G$2),)</f>
        <v/>
      </c>
      <c r="D750" s="14" t="str">
        <f t="shared" si="2"/>
        <v/>
      </c>
      <c r="E750" s="14" t="str">
        <f t="shared" si="3"/>
        <v/>
      </c>
      <c r="F750" s="7" t="str">
        <f>IF($A750&lt;&gt;"",MAXIFS(Token!$C:$C,Token!$A:$A,$D750),)</f>
        <v/>
      </c>
    </row>
    <row r="751">
      <c r="A751" s="39" t="str">
        <f>IF(AND($L751*1&gt;=$G$3,$L751*1&lt;=$G$4,$I751*$J751&gt;0,OR($I751&lt;&gt;$I752,$L751-$L752&gt;25),IF(ABS($I751)&gt;10,$I751/POW(10,$J751),$J751/POW(10,$I751))*MAXIFS(Token!$C:$C,Token!$A:$A,$K751)&gt;0.01),$L751/86400+DATE(1970,1,1)+$G$6,)</f>
        <v/>
      </c>
      <c r="B751" s="27" t="str">
        <f t="shared" si="1"/>
        <v/>
      </c>
      <c r="C751" s="14" t="str">
        <f>IF($A751&lt;&gt;"",MINIFS(Merchant!$A:$A,Merchant!$B:$B,$G$2),)</f>
        <v/>
      </c>
      <c r="D751" s="14" t="str">
        <f t="shared" si="2"/>
        <v/>
      </c>
      <c r="E751" s="14" t="str">
        <f t="shared" si="3"/>
        <v/>
      </c>
      <c r="F751" s="7" t="str">
        <f>IF($A751&lt;&gt;"",MAXIFS(Token!$C:$C,Token!$A:$A,$D751),)</f>
        <v/>
      </c>
    </row>
    <row r="752">
      <c r="A752" s="39" t="str">
        <f>IF(AND($L752*1&gt;=$G$3,$L752*1&lt;=$G$4,$I752*$J752&gt;0,OR($I752&lt;&gt;$I753,$L752-$L753&gt;25),IF(ABS($I752)&gt;10,$I752/POW(10,$J752),$J752/POW(10,$I752))*MAXIFS(Token!$C:$C,Token!$A:$A,$K752)&gt;0.01),$L752/86400+DATE(1970,1,1)+$G$6,)</f>
        <v/>
      </c>
      <c r="B752" s="27" t="str">
        <f t="shared" si="1"/>
        <v/>
      </c>
      <c r="C752" s="14" t="str">
        <f>IF($A752&lt;&gt;"",MINIFS(Merchant!$A:$A,Merchant!$B:$B,$G$2),)</f>
        <v/>
      </c>
      <c r="D752" s="14" t="str">
        <f t="shared" si="2"/>
        <v/>
      </c>
      <c r="E752" s="14" t="str">
        <f t="shared" si="3"/>
        <v/>
      </c>
      <c r="F752" s="7" t="str">
        <f>IF($A752&lt;&gt;"",MAXIFS(Token!$C:$C,Token!$A:$A,$D752),)</f>
        <v/>
      </c>
    </row>
    <row r="753">
      <c r="A753" s="39" t="str">
        <f>IF(AND($L753*1&gt;=$G$3,$L753*1&lt;=$G$4,$I753*$J753&gt;0,OR($I753&lt;&gt;$I754,$L753-$L754&gt;25),IF(ABS($I753)&gt;10,$I753/POW(10,$J753),$J753/POW(10,$I753))*MAXIFS(Token!$C:$C,Token!$A:$A,$K753)&gt;0.01),$L753/86400+DATE(1970,1,1)+$G$6,)</f>
        <v/>
      </c>
      <c r="B753" s="27" t="str">
        <f t="shared" si="1"/>
        <v/>
      </c>
      <c r="C753" s="14" t="str">
        <f>IF($A753&lt;&gt;"",MINIFS(Merchant!$A:$A,Merchant!$B:$B,$G$2),)</f>
        <v/>
      </c>
      <c r="D753" s="14" t="str">
        <f t="shared" si="2"/>
        <v/>
      </c>
      <c r="E753" s="14" t="str">
        <f t="shared" si="3"/>
        <v/>
      </c>
      <c r="F753" s="7" t="str">
        <f>IF($A753&lt;&gt;"",MAXIFS(Token!$C:$C,Token!$A:$A,$D753),)</f>
        <v/>
      </c>
    </row>
    <row r="754">
      <c r="A754" s="39" t="str">
        <f>IF(AND($L754*1&gt;=$G$3,$L754*1&lt;=$G$4,$I754*$J754&gt;0,OR($I754&lt;&gt;$I755,$L754-$L755&gt;25),IF(ABS($I754)&gt;10,$I754/POW(10,$J754),$J754/POW(10,$I754))*MAXIFS(Token!$C:$C,Token!$A:$A,$K754)&gt;0.01),$L754/86400+DATE(1970,1,1)+$G$6,)</f>
        <v/>
      </c>
      <c r="B754" s="27" t="str">
        <f t="shared" si="1"/>
        <v/>
      </c>
      <c r="C754" s="14" t="str">
        <f>IF($A754&lt;&gt;"",MINIFS(Merchant!$A:$A,Merchant!$B:$B,$G$2),)</f>
        <v/>
      </c>
      <c r="D754" s="14" t="str">
        <f t="shared" si="2"/>
        <v/>
      </c>
      <c r="E754" s="14" t="str">
        <f t="shared" si="3"/>
        <v/>
      </c>
      <c r="F754" s="7" t="str">
        <f>IF($A754&lt;&gt;"",MAXIFS(Token!$C:$C,Token!$A:$A,$D754),)</f>
        <v/>
      </c>
    </row>
    <row r="755">
      <c r="A755" s="39" t="str">
        <f>IF(AND($L755*1&gt;=$G$3,$L755*1&lt;=$G$4,$I755*$J755&gt;0,OR($I755&lt;&gt;$I756,$L755-$L756&gt;25),IF(ABS($I755)&gt;10,$I755/POW(10,$J755),$J755/POW(10,$I755))*MAXIFS(Token!$C:$C,Token!$A:$A,$K755)&gt;0.01),$L755/86400+DATE(1970,1,1)+$G$6,)</f>
        <v/>
      </c>
      <c r="B755" s="27" t="str">
        <f t="shared" si="1"/>
        <v/>
      </c>
      <c r="C755" s="14" t="str">
        <f>IF($A755&lt;&gt;"",MINIFS(Merchant!$A:$A,Merchant!$B:$B,$G$2),)</f>
        <v/>
      </c>
      <c r="D755" s="14" t="str">
        <f t="shared" si="2"/>
        <v/>
      </c>
      <c r="E755" s="14" t="str">
        <f t="shared" si="3"/>
        <v/>
      </c>
      <c r="F755" s="7" t="str">
        <f>IF($A755&lt;&gt;"",MAXIFS(Token!$C:$C,Token!$A:$A,$D755),)</f>
        <v/>
      </c>
    </row>
    <row r="756">
      <c r="A756" s="39" t="str">
        <f>IF(AND($L756*1&gt;=$G$3,$L756*1&lt;=$G$4,$I756*$J756&gt;0,OR($I756&lt;&gt;$I757,$L756-$L757&gt;25),IF(ABS($I756)&gt;10,$I756/POW(10,$J756),$J756/POW(10,$I756))*MAXIFS(Token!$C:$C,Token!$A:$A,$K756)&gt;0.01),$L756/86400+DATE(1970,1,1)+$G$6,)</f>
        <v/>
      </c>
      <c r="B756" s="27" t="str">
        <f t="shared" si="1"/>
        <v/>
      </c>
      <c r="C756" s="14" t="str">
        <f>IF($A756&lt;&gt;"",MINIFS(Merchant!$A:$A,Merchant!$B:$B,$G$2),)</f>
        <v/>
      </c>
      <c r="D756" s="14" t="str">
        <f t="shared" si="2"/>
        <v/>
      </c>
      <c r="E756" s="14" t="str">
        <f t="shared" si="3"/>
        <v/>
      </c>
      <c r="F756" s="7" t="str">
        <f>IF($A756&lt;&gt;"",MAXIFS(Token!$C:$C,Token!$A:$A,$D756),)</f>
        <v/>
      </c>
    </row>
    <row r="757">
      <c r="A757" s="39" t="str">
        <f>IF(AND($L757*1&gt;=$G$3,$L757*1&lt;=$G$4,$I757*$J757&gt;0,OR($I757&lt;&gt;$I758,$L757-$L758&gt;25),IF(ABS($I757)&gt;10,$I757/POW(10,$J757),$J757/POW(10,$I757))*MAXIFS(Token!$C:$C,Token!$A:$A,$K757)&gt;0.01),$L757/86400+DATE(1970,1,1)+$G$6,)</f>
        <v/>
      </c>
      <c r="B757" s="27" t="str">
        <f t="shared" si="1"/>
        <v/>
      </c>
      <c r="C757" s="14" t="str">
        <f>IF($A757&lt;&gt;"",MINIFS(Merchant!$A:$A,Merchant!$B:$B,$G$2),)</f>
        <v/>
      </c>
      <c r="D757" s="14" t="str">
        <f t="shared" si="2"/>
        <v/>
      </c>
      <c r="E757" s="14" t="str">
        <f t="shared" si="3"/>
        <v/>
      </c>
      <c r="F757" s="7" t="str">
        <f>IF($A757&lt;&gt;"",MAXIFS(Token!$C:$C,Token!$A:$A,$D757),)</f>
        <v/>
      </c>
    </row>
    <row r="758">
      <c r="A758" s="39" t="str">
        <f>IF(AND($L758*1&gt;=$G$3,$L758*1&lt;=$G$4,$I758*$J758&gt;0,OR($I758&lt;&gt;$I759,$L758-$L759&gt;25),IF(ABS($I758)&gt;10,$I758/POW(10,$J758),$J758/POW(10,$I758))*MAXIFS(Token!$C:$C,Token!$A:$A,$K758)&gt;0.01),$L758/86400+DATE(1970,1,1)+$G$6,)</f>
        <v/>
      </c>
      <c r="B758" s="27" t="str">
        <f t="shared" si="1"/>
        <v/>
      </c>
      <c r="C758" s="14" t="str">
        <f>IF($A758&lt;&gt;"",MINIFS(Merchant!$A:$A,Merchant!$B:$B,$G$2),)</f>
        <v/>
      </c>
      <c r="D758" s="14" t="str">
        <f t="shared" si="2"/>
        <v/>
      </c>
      <c r="E758" s="14" t="str">
        <f t="shared" si="3"/>
        <v/>
      </c>
      <c r="F758" s="7" t="str">
        <f>IF($A758&lt;&gt;"",MAXIFS(Token!$C:$C,Token!$A:$A,$D758),)</f>
        <v/>
      </c>
    </row>
    <row r="759">
      <c r="A759" s="39" t="str">
        <f>IF(AND($L759*1&gt;=$G$3,$L759*1&lt;=$G$4,$I759*$J759&gt;0,OR($I759&lt;&gt;$I760,$L759-$L760&gt;25),IF(ABS($I759)&gt;10,$I759/POW(10,$J759),$J759/POW(10,$I759))*MAXIFS(Token!$C:$C,Token!$A:$A,$K759)&gt;0.01),$L759/86400+DATE(1970,1,1)+$G$6,)</f>
        <v/>
      </c>
      <c r="B759" s="27" t="str">
        <f t="shared" si="1"/>
        <v/>
      </c>
      <c r="C759" s="14" t="str">
        <f>IF($A759&lt;&gt;"",MINIFS(Merchant!$A:$A,Merchant!$B:$B,$G$2),)</f>
        <v/>
      </c>
      <c r="D759" s="14" t="str">
        <f t="shared" si="2"/>
        <v/>
      </c>
      <c r="E759" s="14" t="str">
        <f t="shared" si="3"/>
        <v/>
      </c>
      <c r="F759" s="7" t="str">
        <f>IF($A759&lt;&gt;"",MAXIFS(Token!$C:$C,Token!$A:$A,$D759),)</f>
        <v/>
      </c>
    </row>
    <row r="760">
      <c r="A760" s="39" t="str">
        <f>IF(AND($L760*1&gt;=$G$3,$L760*1&lt;=$G$4,$I760*$J760&gt;0,OR($I760&lt;&gt;$I761,$L760-$L761&gt;25),IF(ABS($I760)&gt;10,$I760/POW(10,$J760),$J760/POW(10,$I760))*MAXIFS(Token!$C:$C,Token!$A:$A,$K760)&gt;0.01),$L760/86400+DATE(1970,1,1)+$G$6,)</f>
        <v/>
      </c>
      <c r="B760" s="27" t="str">
        <f t="shared" si="1"/>
        <v/>
      </c>
      <c r="C760" s="14" t="str">
        <f>IF($A760&lt;&gt;"",MINIFS(Merchant!$A:$A,Merchant!$B:$B,$G$2),)</f>
        <v/>
      </c>
      <c r="D760" s="14" t="str">
        <f t="shared" si="2"/>
        <v/>
      </c>
      <c r="E760" s="14" t="str">
        <f t="shared" si="3"/>
        <v/>
      </c>
      <c r="F760" s="7" t="str">
        <f>IF($A760&lt;&gt;"",MAXIFS(Token!$C:$C,Token!$A:$A,$D760),)</f>
        <v/>
      </c>
    </row>
    <row r="761">
      <c r="A761" s="39" t="str">
        <f>IF(AND($L761*1&gt;=$G$3,$L761*1&lt;=$G$4,$I761*$J761&gt;0,OR($I761&lt;&gt;$I762,$L761-$L762&gt;25),IF(ABS($I761)&gt;10,$I761/POW(10,$J761),$J761/POW(10,$I761))*MAXIFS(Token!$C:$C,Token!$A:$A,$K761)&gt;0.01),$L761/86400+DATE(1970,1,1)+$G$6,)</f>
        <v/>
      </c>
      <c r="B761" s="27" t="str">
        <f t="shared" si="1"/>
        <v/>
      </c>
      <c r="C761" s="14" t="str">
        <f>IF($A761&lt;&gt;"",MINIFS(Merchant!$A:$A,Merchant!$B:$B,$G$2),)</f>
        <v/>
      </c>
      <c r="D761" s="14" t="str">
        <f t="shared" si="2"/>
        <v/>
      </c>
      <c r="E761" s="14" t="str">
        <f t="shared" si="3"/>
        <v/>
      </c>
      <c r="F761" s="7" t="str">
        <f>IF($A761&lt;&gt;"",MAXIFS(Token!$C:$C,Token!$A:$A,$D761),)</f>
        <v/>
      </c>
    </row>
    <row r="762">
      <c r="A762" s="39" t="str">
        <f>IF(AND($L762*1&gt;=$G$3,$L762*1&lt;=$G$4,$I762*$J762&gt;0,OR($I762&lt;&gt;$I763,$L762-$L763&gt;25),IF(ABS($I762)&gt;10,$I762/POW(10,$J762),$J762/POW(10,$I762))*MAXIFS(Token!$C:$C,Token!$A:$A,$K762)&gt;0.01),$L762/86400+DATE(1970,1,1)+$G$6,)</f>
        <v/>
      </c>
      <c r="B762" s="27" t="str">
        <f t="shared" si="1"/>
        <v/>
      </c>
      <c r="C762" s="14" t="str">
        <f>IF($A762&lt;&gt;"",MINIFS(Merchant!$A:$A,Merchant!$B:$B,$G$2),)</f>
        <v/>
      </c>
      <c r="D762" s="14" t="str">
        <f t="shared" si="2"/>
        <v/>
      </c>
      <c r="E762" s="14" t="str">
        <f t="shared" si="3"/>
        <v/>
      </c>
      <c r="F762" s="7" t="str">
        <f>IF($A762&lt;&gt;"",MAXIFS(Token!$C:$C,Token!$A:$A,$D762),)</f>
        <v/>
      </c>
    </row>
    <row r="763">
      <c r="A763" s="39" t="str">
        <f>IF(AND($L763*1&gt;=$G$3,$L763*1&lt;=$G$4,$I763*$J763&gt;0,OR($I763&lt;&gt;$I764,$L763-$L764&gt;25),IF(ABS($I763)&gt;10,$I763/POW(10,$J763),$J763/POW(10,$I763))*MAXIFS(Token!$C:$C,Token!$A:$A,$K763)&gt;0.01),$L763/86400+DATE(1970,1,1)+$G$6,)</f>
        <v/>
      </c>
      <c r="B763" s="27" t="str">
        <f t="shared" si="1"/>
        <v/>
      </c>
      <c r="C763" s="14" t="str">
        <f>IF($A763&lt;&gt;"",MINIFS(Merchant!$A:$A,Merchant!$B:$B,$G$2),)</f>
        <v/>
      </c>
      <c r="D763" s="14" t="str">
        <f t="shared" si="2"/>
        <v/>
      </c>
      <c r="E763" s="14" t="str">
        <f t="shared" si="3"/>
        <v/>
      </c>
      <c r="F763" s="7" t="str">
        <f>IF($A763&lt;&gt;"",MAXIFS(Token!$C:$C,Token!$A:$A,$D763),)</f>
        <v/>
      </c>
    </row>
    <row r="764">
      <c r="A764" s="39" t="str">
        <f>IF(AND($L764*1&gt;=$G$3,$L764*1&lt;=$G$4,$I764*$J764&gt;0,OR($I764&lt;&gt;$I765,$L764-$L765&gt;25),IF(ABS($I764)&gt;10,$I764/POW(10,$J764),$J764/POW(10,$I764))*MAXIFS(Token!$C:$C,Token!$A:$A,$K764)&gt;0.01),$L764/86400+DATE(1970,1,1)+$G$6,)</f>
        <v/>
      </c>
      <c r="B764" s="27" t="str">
        <f t="shared" si="1"/>
        <v/>
      </c>
      <c r="C764" s="14" t="str">
        <f>IF($A764&lt;&gt;"",MINIFS(Merchant!$A:$A,Merchant!$B:$B,$G$2),)</f>
        <v/>
      </c>
      <c r="D764" s="14" t="str">
        <f t="shared" si="2"/>
        <v/>
      </c>
      <c r="E764" s="14" t="str">
        <f t="shared" si="3"/>
        <v/>
      </c>
      <c r="F764" s="7" t="str">
        <f>IF($A764&lt;&gt;"",MAXIFS(Token!$C:$C,Token!$A:$A,$D764),)</f>
        <v/>
      </c>
    </row>
    <row r="765">
      <c r="A765" s="39" t="str">
        <f>IF(AND($L765*1&gt;=$G$3,$L765*1&lt;=$G$4,$I765*$J765&gt;0,OR($I765&lt;&gt;$I766,$L765-$L766&gt;25),IF(ABS($I765)&gt;10,$I765/POW(10,$J765),$J765/POW(10,$I765))*MAXIFS(Token!$C:$C,Token!$A:$A,$K765)&gt;0.01),$L765/86400+DATE(1970,1,1)+$G$6,)</f>
        <v/>
      </c>
      <c r="B765" s="27" t="str">
        <f t="shared" si="1"/>
        <v/>
      </c>
      <c r="C765" s="14" t="str">
        <f>IF($A765&lt;&gt;"",MINIFS(Merchant!$A:$A,Merchant!$B:$B,$G$2),)</f>
        <v/>
      </c>
      <c r="D765" s="14" t="str">
        <f t="shared" si="2"/>
        <v/>
      </c>
      <c r="E765" s="14" t="str">
        <f t="shared" si="3"/>
        <v/>
      </c>
      <c r="F765" s="7" t="str">
        <f>IF($A765&lt;&gt;"",MAXIFS(Token!$C:$C,Token!$A:$A,$D765),)</f>
        <v/>
      </c>
    </row>
    <row r="766">
      <c r="A766" s="39" t="str">
        <f>IF(AND($L766*1&gt;=$G$3,$L766*1&lt;=$G$4,$I766*$J766&gt;0,OR($I766&lt;&gt;$I767,$L766-$L767&gt;25),IF(ABS($I766)&gt;10,$I766/POW(10,$J766),$J766/POW(10,$I766))*MAXIFS(Token!$C:$C,Token!$A:$A,$K766)&gt;0.01),$L766/86400+DATE(1970,1,1)+$G$6,)</f>
        <v/>
      </c>
      <c r="B766" s="27" t="str">
        <f t="shared" si="1"/>
        <v/>
      </c>
      <c r="C766" s="14" t="str">
        <f>IF($A766&lt;&gt;"",MINIFS(Merchant!$A:$A,Merchant!$B:$B,$G$2),)</f>
        <v/>
      </c>
      <c r="D766" s="14" t="str">
        <f t="shared" si="2"/>
        <v/>
      </c>
      <c r="E766" s="14" t="str">
        <f t="shared" si="3"/>
        <v/>
      </c>
      <c r="F766" s="7" t="str">
        <f>IF($A766&lt;&gt;"",MAXIFS(Token!$C:$C,Token!$A:$A,$D766),)</f>
        <v/>
      </c>
    </row>
    <row r="767">
      <c r="A767" s="39" t="str">
        <f>IF(AND($L767*1&gt;=$G$3,$L767*1&lt;=$G$4,$I767*$J767&gt;0,OR($I767&lt;&gt;$I768,$L767-$L768&gt;25),IF(ABS($I767)&gt;10,$I767/POW(10,$J767),$J767/POW(10,$I767))*MAXIFS(Token!$C:$C,Token!$A:$A,$K767)&gt;0.01),$L767/86400+DATE(1970,1,1)+$G$6,)</f>
        <v/>
      </c>
      <c r="B767" s="27" t="str">
        <f t="shared" si="1"/>
        <v/>
      </c>
      <c r="C767" s="14" t="str">
        <f>IF($A767&lt;&gt;"",MINIFS(Merchant!$A:$A,Merchant!$B:$B,$G$2),)</f>
        <v/>
      </c>
      <c r="D767" s="14" t="str">
        <f t="shared" si="2"/>
        <v/>
      </c>
      <c r="E767" s="14" t="str">
        <f t="shared" si="3"/>
        <v/>
      </c>
      <c r="F767" s="7" t="str">
        <f>IF($A767&lt;&gt;"",MAXIFS(Token!$C:$C,Token!$A:$A,$D767),)</f>
        <v/>
      </c>
    </row>
    <row r="768">
      <c r="A768" s="39" t="str">
        <f>IF(AND($L768*1&gt;=$G$3,$L768*1&lt;=$G$4,$I768*$J768&gt;0,OR($I768&lt;&gt;$I769,$L768-$L769&gt;25),IF(ABS($I768)&gt;10,$I768/POW(10,$J768),$J768/POW(10,$I768))*MAXIFS(Token!$C:$C,Token!$A:$A,$K768)&gt;0.01),$L768/86400+DATE(1970,1,1)+$G$6,)</f>
        <v/>
      </c>
      <c r="B768" s="27" t="str">
        <f t="shared" si="1"/>
        <v/>
      </c>
      <c r="C768" s="14" t="str">
        <f>IF($A768&lt;&gt;"",MINIFS(Merchant!$A:$A,Merchant!$B:$B,$G$2),)</f>
        <v/>
      </c>
      <c r="D768" s="14" t="str">
        <f t="shared" si="2"/>
        <v/>
      </c>
      <c r="E768" s="14" t="str">
        <f t="shared" si="3"/>
        <v/>
      </c>
      <c r="F768" s="7" t="str">
        <f>IF($A768&lt;&gt;"",MAXIFS(Token!$C:$C,Token!$A:$A,$D768),)</f>
        <v/>
      </c>
    </row>
    <row r="769">
      <c r="A769" s="39" t="str">
        <f>IF(AND($L769*1&gt;=$G$3,$L769*1&lt;=$G$4,$I769*$J769&gt;0,OR($I769&lt;&gt;$I770,$L769-$L770&gt;25),IF(ABS($I769)&gt;10,$I769/POW(10,$J769),$J769/POW(10,$I769))*MAXIFS(Token!$C:$C,Token!$A:$A,$K769)&gt;0.01),$L769/86400+DATE(1970,1,1)+$G$6,)</f>
        <v/>
      </c>
      <c r="B769" s="27" t="str">
        <f t="shared" si="1"/>
        <v/>
      </c>
      <c r="C769" s="14" t="str">
        <f>IF($A769&lt;&gt;"",MINIFS(Merchant!$A:$A,Merchant!$B:$B,$G$2),)</f>
        <v/>
      </c>
      <c r="D769" s="14" t="str">
        <f t="shared" si="2"/>
        <v/>
      </c>
      <c r="E769" s="14" t="str">
        <f t="shared" si="3"/>
        <v/>
      </c>
      <c r="F769" s="7" t="str">
        <f>IF($A769&lt;&gt;"",MAXIFS(Token!$C:$C,Token!$A:$A,$D769),)</f>
        <v/>
      </c>
    </row>
    <row r="770">
      <c r="A770" s="39" t="str">
        <f>IF(AND($L770*1&gt;=$G$3,$L770*1&lt;=$G$4,$I770*$J770&gt;0,OR($I770&lt;&gt;$I771,$L770-$L771&gt;25),IF(ABS($I770)&gt;10,$I770/POW(10,$J770),$J770/POW(10,$I770))*MAXIFS(Token!$C:$C,Token!$A:$A,$K770)&gt;0.01),$L770/86400+DATE(1970,1,1)+$G$6,)</f>
        <v/>
      </c>
      <c r="B770" s="27" t="str">
        <f t="shared" si="1"/>
        <v/>
      </c>
      <c r="C770" s="14" t="str">
        <f>IF($A770&lt;&gt;"",MINIFS(Merchant!$A:$A,Merchant!$B:$B,$G$2),)</f>
        <v/>
      </c>
      <c r="D770" s="14" t="str">
        <f t="shared" si="2"/>
        <v/>
      </c>
      <c r="E770" s="14" t="str">
        <f t="shared" si="3"/>
        <v/>
      </c>
      <c r="F770" s="7" t="str">
        <f>IF($A770&lt;&gt;"",MAXIFS(Token!$C:$C,Token!$A:$A,$D770),)</f>
        <v/>
      </c>
    </row>
    <row r="771">
      <c r="A771" s="39" t="str">
        <f>IF(AND($L771*1&gt;=$G$3,$L771*1&lt;=$G$4,$I771*$J771&gt;0,OR($I771&lt;&gt;$I772,$L771-$L772&gt;25),IF(ABS($I771)&gt;10,$I771/POW(10,$J771),$J771/POW(10,$I771))*MAXIFS(Token!$C:$C,Token!$A:$A,$K771)&gt;0.01),$L771/86400+DATE(1970,1,1)+$G$6,)</f>
        <v/>
      </c>
      <c r="B771" s="27" t="str">
        <f t="shared" si="1"/>
        <v/>
      </c>
      <c r="C771" s="14" t="str">
        <f>IF($A771&lt;&gt;"",MINIFS(Merchant!$A:$A,Merchant!$B:$B,$G$2),)</f>
        <v/>
      </c>
      <c r="D771" s="14" t="str">
        <f t="shared" si="2"/>
        <v/>
      </c>
      <c r="E771" s="14" t="str">
        <f t="shared" si="3"/>
        <v/>
      </c>
      <c r="F771" s="7" t="str">
        <f>IF($A771&lt;&gt;"",MAXIFS(Token!$C:$C,Token!$A:$A,$D771),)</f>
        <v/>
      </c>
    </row>
    <row r="772">
      <c r="A772" s="39" t="str">
        <f>IF(AND($L772*1&gt;=$G$3,$L772*1&lt;=$G$4,$I772*$J772&gt;0,OR($I772&lt;&gt;$I773,$L772-$L773&gt;25),IF(ABS($I772)&gt;10,$I772/POW(10,$J772),$J772/POW(10,$I772))*MAXIFS(Token!$C:$C,Token!$A:$A,$K772)&gt;0.01),$L772/86400+DATE(1970,1,1)+$G$6,)</f>
        <v/>
      </c>
      <c r="B772" s="27" t="str">
        <f t="shared" si="1"/>
        <v/>
      </c>
      <c r="C772" s="14" t="str">
        <f>IF($A772&lt;&gt;"",MINIFS(Merchant!$A:$A,Merchant!$B:$B,$G$2),)</f>
        <v/>
      </c>
      <c r="D772" s="14" t="str">
        <f t="shared" si="2"/>
        <v/>
      </c>
      <c r="E772" s="14" t="str">
        <f t="shared" si="3"/>
        <v/>
      </c>
      <c r="F772" s="7" t="str">
        <f>IF($A772&lt;&gt;"",MAXIFS(Token!$C:$C,Token!$A:$A,$D772),)</f>
        <v/>
      </c>
    </row>
    <row r="773">
      <c r="A773" s="39" t="str">
        <f>IF(AND($L773*1&gt;=$G$3,$L773*1&lt;=$G$4,$I773*$J773&gt;0,OR($I773&lt;&gt;$I774,$L773-$L774&gt;25),IF(ABS($I773)&gt;10,$I773/POW(10,$J773),$J773/POW(10,$I773))*MAXIFS(Token!$C:$C,Token!$A:$A,$K773)&gt;0.01),$L773/86400+DATE(1970,1,1)+$G$6,)</f>
        <v/>
      </c>
      <c r="B773" s="27" t="str">
        <f t="shared" si="1"/>
        <v/>
      </c>
      <c r="C773" s="14" t="str">
        <f>IF($A773&lt;&gt;"",MINIFS(Merchant!$A:$A,Merchant!$B:$B,$G$2),)</f>
        <v/>
      </c>
      <c r="D773" s="14" t="str">
        <f t="shared" si="2"/>
        <v/>
      </c>
      <c r="E773" s="14" t="str">
        <f t="shared" si="3"/>
        <v/>
      </c>
      <c r="F773" s="7" t="str">
        <f>IF($A773&lt;&gt;"",MAXIFS(Token!$C:$C,Token!$A:$A,$D773),)</f>
        <v/>
      </c>
    </row>
    <row r="774">
      <c r="A774" s="39" t="str">
        <f>IF(AND($L774*1&gt;=$G$3,$L774*1&lt;=$G$4,$I774*$J774&gt;0,OR($I774&lt;&gt;$I775,$L774-$L775&gt;25),IF(ABS($I774)&gt;10,$I774/POW(10,$J774),$J774/POW(10,$I774))*MAXIFS(Token!$C:$C,Token!$A:$A,$K774)&gt;0.01),$L774/86400+DATE(1970,1,1)+$G$6,)</f>
        <v/>
      </c>
      <c r="B774" s="27" t="str">
        <f t="shared" si="1"/>
        <v/>
      </c>
      <c r="C774" s="14" t="str">
        <f>IF($A774&lt;&gt;"",MINIFS(Merchant!$A:$A,Merchant!$B:$B,$G$2),)</f>
        <v/>
      </c>
      <c r="D774" s="14" t="str">
        <f t="shared" si="2"/>
        <v/>
      </c>
      <c r="E774" s="14" t="str">
        <f t="shared" si="3"/>
        <v/>
      </c>
      <c r="F774" s="7" t="str">
        <f>IF($A774&lt;&gt;"",MAXIFS(Token!$C:$C,Token!$A:$A,$D774),)</f>
        <v/>
      </c>
    </row>
    <row r="775">
      <c r="A775" s="39" t="str">
        <f>IF(AND($L775*1&gt;=$G$3,$L775*1&lt;=$G$4,$I775*$J775&gt;0,OR($I775&lt;&gt;$I776,$L775-$L776&gt;25),IF(ABS($I775)&gt;10,$I775/POW(10,$J775),$J775/POW(10,$I775))*MAXIFS(Token!$C:$C,Token!$A:$A,$K775)&gt;0.01),$L775/86400+DATE(1970,1,1)+$G$6,)</f>
        <v/>
      </c>
      <c r="B775" s="27" t="str">
        <f t="shared" si="1"/>
        <v/>
      </c>
      <c r="C775" s="14" t="str">
        <f>IF($A775&lt;&gt;"",MINIFS(Merchant!$A:$A,Merchant!$B:$B,$G$2),)</f>
        <v/>
      </c>
      <c r="D775" s="14" t="str">
        <f t="shared" si="2"/>
        <v/>
      </c>
      <c r="E775" s="14" t="str">
        <f t="shared" si="3"/>
        <v/>
      </c>
      <c r="F775" s="7" t="str">
        <f>IF($A775&lt;&gt;"",MAXIFS(Token!$C:$C,Token!$A:$A,$D775),)</f>
        <v/>
      </c>
    </row>
    <row r="776">
      <c r="A776" s="39" t="str">
        <f>IF(AND($L776*1&gt;=$G$3,$L776*1&lt;=$G$4,$I776*$J776&gt;0,OR($I776&lt;&gt;$I777,$L776-$L777&gt;25),IF(ABS($I776)&gt;10,$I776/POW(10,$J776),$J776/POW(10,$I776))*MAXIFS(Token!$C:$C,Token!$A:$A,$K776)&gt;0.01),$L776/86400+DATE(1970,1,1)+$G$6,)</f>
        <v/>
      </c>
      <c r="B776" s="27" t="str">
        <f t="shared" si="1"/>
        <v/>
      </c>
      <c r="C776" s="14" t="str">
        <f>IF($A776&lt;&gt;"",MINIFS(Merchant!$A:$A,Merchant!$B:$B,$G$2),)</f>
        <v/>
      </c>
      <c r="D776" s="14" t="str">
        <f t="shared" si="2"/>
        <v/>
      </c>
      <c r="E776" s="14" t="str">
        <f t="shared" si="3"/>
        <v/>
      </c>
      <c r="F776" s="7" t="str">
        <f>IF($A776&lt;&gt;"",MAXIFS(Token!$C:$C,Token!$A:$A,$D776),)</f>
        <v/>
      </c>
    </row>
    <row r="777">
      <c r="A777" s="39" t="str">
        <f>IF(AND($L777*1&gt;=$G$3,$L777*1&lt;=$G$4,$I777*$J777&gt;0,OR($I777&lt;&gt;$I778,$L777-$L778&gt;25),IF(ABS($I777)&gt;10,$I777/POW(10,$J777),$J777/POW(10,$I777))*MAXIFS(Token!$C:$C,Token!$A:$A,$K777)&gt;0.01),$L777/86400+DATE(1970,1,1)+$G$6,)</f>
        <v/>
      </c>
      <c r="B777" s="27" t="str">
        <f t="shared" si="1"/>
        <v/>
      </c>
      <c r="C777" s="14" t="str">
        <f>IF($A777&lt;&gt;"",MINIFS(Merchant!$A:$A,Merchant!$B:$B,$G$2),)</f>
        <v/>
      </c>
      <c r="D777" s="14" t="str">
        <f t="shared" si="2"/>
        <v/>
      </c>
      <c r="E777" s="14" t="str">
        <f t="shared" si="3"/>
        <v/>
      </c>
      <c r="F777" s="7" t="str">
        <f>IF($A777&lt;&gt;"",MAXIFS(Token!$C:$C,Token!$A:$A,$D777),)</f>
        <v/>
      </c>
    </row>
    <row r="778">
      <c r="A778" s="39" t="str">
        <f>IF(AND($L778*1&gt;=$G$3,$L778*1&lt;=$G$4,$I778*$J778&gt;0,OR($I778&lt;&gt;$I779,$L778-$L779&gt;25),IF(ABS($I778)&gt;10,$I778/POW(10,$J778),$J778/POW(10,$I778))*MAXIFS(Token!$C:$C,Token!$A:$A,$K778)&gt;0.01),$L778/86400+DATE(1970,1,1)+$G$6,)</f>
        <v/>
      </c>
      <c r="B778" s="27" t="str">
        <f t="shared" si="1"/>
        <v/>
      </c>
      <c r="C778" s="14" t="str">
        <f>IF($A778&lt;&gt;"",MINIFS(Merchant!$A:$A,Merchant!$B:$B,$G$2),)</f>
        <v/>
      </c>
      <c r="D778" s="14" t="str">
        <f t="shared" si="2"/>
        <v/>
      </c>
      <c r="E778" s="14" t="str">
        <f t="shared" si="3"/>
        <v/>
      </c>
      <c r="F778" s="7" t="str">
        <f>IF($A778&lt;&gt;"",MAXIFS(Token!$C:$C,Token!$A:$A,$D778),)</f>
        <v/>
      </c>
    </row>
    <row r="779">
      <c r="A779" s="39" t="str">
        <f>IF(AND($L779*1&gt;=$G$3,$L779*1&lt;=$G$4,$I779*$J779&gt;0,OR($I779&lt;&gt;$I780,$L779-$L780&gt;25),IF(ABS($I779)&gt;10,$I779/POW(10,$J779),$J779/POW(10,$I779))*MAXIFS(Token!$C:$C,Token!$A:$A,$K779)&gt;0.01),$L779/86400+DATE(1970,1,1)+$G$6,)</f>
        <v/>
      </c>
      <c r="B779" s="27" t="str">
        <f t="shared" si="1"/>
        <v/>
      </c>
      <c r="C779" s="14" t="str">
        <f>IF($A779&lt;&gt;"",MINIFS(Merchant!$A:$A,Merchant!$B:$B,$G$2),)</f>
        <v/>
      </c>
      <c r="D779" s="14" t="str">
        <f t="shared" si="2"/>
        <v/>
      </c>
      <c r="E779" s="14" t="str">
        <f t="shared" si="3"/>
        <v/>
      </c>
      <c r="F779" s="7" t="str">
        <f>IF($A779&lt;&gt;"",MAXIFS(Token!$C:$C,Token!$A:$A,$D779),)</f>
        <v/>
      </c>
    </row>
    <row r="780">
      <c r="A780" s="39" t="str">
        <f>IF(AND($L780*1&gt;=$G$3,$L780*1&lt;=$G$4,$I780*$J780&gt;0,OR($I780&lt;&gt;$I781,$L780-$L781&gt;25),IF(ABS($I780)&gt;10,$I780/POW(10,$J780),$J780/POW(10,$I780))*MAXIFS(Token!$C:$C,Token!$A:$A,$K780)&gt;0.01),$L780/86400+DATE(1970,1,1)+$G$6,)</f>
        <v/>
      </c>
      <c r="B780" s="27" t="str">
        <f t="shared" si="1"/>
        <v/>
      </c>
      <c r="C780" s="14" t="str">
        <f>IF($A780&lt;&gt;"",MINIFS(Merchant!$A:$A,Merchant!$B:$B,$G$2),)</f>
        <v/>
      </c>
      <c r="D780" s="14" t="str">
        <f t="shared" si="2"/>
        <v/>
      </c>
      <c r="E780" s="14" t="str">
        <f t="shared" si="3"/>
        <v/>
      </c>
      <c r="F780" s="7" t="str">
        <f>IF($A780&lt;&gt;"",MAXIFS(Token!$C:$C,Token!$A:$A,$D780),)</f>
        <v/>
      </c>
    </row>
    <row r="781">
      <c r="A781" s="39" t="str">
        <f>IF(AND($L781*1&gt;=$G$3,$L781*1&lt;=$G$4,$I781*$J781&gt;0,OR($I781&lt;&gt;$I782,$L781-$L782&gt;25),IF(ABS($I781)&gt;10,$I781/POW(10,$J781),$J781/POW(10,$I781))*MAXIFS(Token!$C:$C,Token!$A:$A,$K781)&gt;0.01),$L781/86400+DATE(1970,1,1)+$G$6,)</f>
        <v/>
      </c>
      <c r="B781" s="27" t="str">
        <f t="shared" si="1"/>
        <v/>
      </c>
      <c r="C781" s="14" t="str">
        <f>IF($A781&lt;&gt;"",MINIFS(Merchant!$A:$A,Merchant!$B:$B,$G$2),)</f>
        <v/>
      </c>
      <c r="D781" s="14" t="str">
        <f t="shared" si="2"/>
        <v/>
      </c>
      <c r="E781" s="14" t="str">
        <f t="shared" si="3"/>
        <v/>
      </c>
      <c r="F781" s="7" t="str">
        <f>IF($A781&lt;&gt;"",MAXIFS(Token!$C:$C,Token!$A:$A,$D781),)</f>
        <v/>
      </c>
    </row>
    <row r="782">
      <c r="A782" s="39" t="str">
        <f>IF(AND($L782*1&gt;=$G$3,$L782*1&lt;=$G$4,$I782*$J782&gt;0,OR($I782&lt;&gt;$I783,$L782-$L783&gt;25),IF(ABS($I782)&gt;10,$I782/POW(10,$J782),$J782/POW(10,$I782))*MAXIFS(Token!$C:$C,Token!$A:$A,$K782)&gt;0.01),$L782/86400+DATE(1970,1,1)+$G$6,)</f>
        <v/>
      </c>
      <c r="B782" s="27" t="str">
        <f t="shared" si="1"/>
        <v/>
      </c>
      <c r="C782" s="14" t="str">
        <f>IF($A782&lt;&gt;"",MINIFS(Merchant!$A:$A,Merchant!$B:$B,$G$2),)</f>
        <v/>
      </c>
      <c r="D782" s="14" t="str">
        <f t="shared" si="2"/>
        <v/>
      </c>
      <c r="E782" s="14" t="str">
        <f t="shared" si="3"/>
        <v/>
      </c>
      <c r="F782" s="7" t="str">
        <f>IF($A782&lt;&gt;"",MAXIFS(Token!$C:$C,Token!$A:$A,$D782),)</f>
        <v/>
      </c>
    </row>
    <row r="783">
      <c r="A783" s="39" t="str">
        <f>IF(AND($L783*1&gt;=$G$3,$L783*1&lt;=$G$4,$I783*$J783&gt;0,OR($I783&lt;&gt;$I784,$L783-$L784&gt;25),IF(ABS($I783)&gt;10,$I783/POW(10,$J783),$J783/POW(10,$I783))*MAXIFS(Token!$C:$C,Token!$A:$A,$K783)&gt;0.01),$L783/86400+DATE(1970,1,1)+$G$6,)</f>
        <v/>
      </c>
      <c r="B783" s="27" t="str">
        <f t="shared" si="1"/>
        <v/>
      </c>
      <c r="C783" s="14" t="str">
        <f>IF($A783&lt;&gt;"",MINIFS(Merchant!$A:$A,Merchant!$B:$B,$G$2),)</f>
        <v/>
      </c>
      <c r="D783" s="14" t="str">
        <f t="shared" si="2"/>
        <v/>
      </c>
      <c r="E783" s="14" t="str">
        <f t="shared" si="3"/>
        <v/>
      </c>
      <c r="F783" s="7" t="str">
        <f>IF($A783&lt;&gt;"",MAXIFS(Token!$C:$C,Token!$A:$A,$D783),)</f>
        <v/>
      </c>
    </row>
    <row r="784">
      <c r="A784" s="39" t="str">
        <f>IF(AND($L784*1&gt;=$G$3,$L784*1&lt;=$G$4,$I784*$J784&gt;0,OR($I784&lt;&gt;$I785,$L784-$L785&gt;25),IF(ABS($I784)&gt;10,$I784/POW(10,$J784),$J784/POW(10,$I784))*MAXIFS(Token!$C:$C,Token!$A:$A,$K784)&gt;0.01),$L784/86400+DATE(1970,1,1)+$G$6,)</f>
        <v/>
      </c>
      <c r="B784" s="27" t="str">
        <f t="shared" si="1"/>
        <v/>
      </c>
      <c r="C784" s="14" t="str">
        <f>IF($A784&lt;&gt;"",MINIFS(Merchant!$A:$A,Merchant!$B:$B,$G$2),)</f>
        <v/>
      </c>
      <c r="D784" s="14" t="str">
        <f t="shared" si="2"/>
        <v/>
      </c>
      <c r="E784" s="14" t="str">
        <f t="shared" si="3"/>
        <v/>
      </c>
      <c r="F784" s="7" t="str">
        <f>IF($A784&lt;&gt;"",MAXIFS(Token!$C:$C,Token!$A:$A,$D784),)</f>
        <v/>
      </c>
    </row>
    <row r="785">
      <c r="A785" s="39" t="str">
        <f>IF(AND($L785*1&gt;=$G$3,$L785*1&lt;=$G$4,$I785*$J785&gt;0,OR($I785&lt;&gt;$I786,$L785-$L786&gt;25),IF(ABS($I785)&gt;10,$I785/POW(10,$J785),$J785/POW(10,$I785))*MAXIFS(Token!$C:$C,Token!$A:$A,$K785)&gt;0.01),$L785/86400+DATE(1970,1,1)+$G$6,)</f>
        <v/>
      </c>
      <c r="B785" s="27" t="str">
        <f t="shared" si="1"/>
        <v/>
      </c>
      <c r="C785" s="14" t="str">
        <f>IF($A785&lt;&gt;"",MINIFS(Merchant!$A:$A,Merchant!$B:$B,$G$2),)</f>
        <v/>
      </c>
      <c r="D785" s="14" t="str">
        <f t="shared" si="2"/>
        <v/>
      </c>
      <c r="E785" s="14" t="str">
        <f t="shared" si="3"/>
        <v/>
      </c>
      <c r="F785" s="7" t="str">
        <f>IF($A785&lt;&gt;"",MAXIFS(Token!$C:$C,Token!$A:$A,$D785),)</f>
        <v/>
      </c>
    </row>
    <row r="786">
      <c r="A786" s="39" t="str">
        <f>IF(AND($L786*1&gt;=$G$3,$L786*1&lt;=$G$4,$I786*$J786&gt;0,OR($I786&lt;&gt;$I787,$L786-$L787&gt;25),IF(ABS($I786)&gt;10,$I786/POW(10,$J786),$J786/POW(10,$I786))*MAXIFS(Token!$C:$C,Token!$A:$A,$K786)&gt;0.01),$L786/86400+DATE(1970,1,1)+$G$6,)</f>
        <v/>
      </c>
      <c r="B786" s="27" t="str">
        <f t="shared" si="1"/>
        <v/>
      </c>
      <c r="C786" s="14" t="str">
        <f>IF($A786&lt;&gt;"",MINIFS(Merchant!$A:$A,Merchant!$B:$B,$G$2),)</f>
        <v/>
      </c>
      <c r="D786" s="14" t="str">
        <f t="shared" si="2"/>
        <v/>
      </c>
      <c r="E786" s="14" t="str">
        <f t="shared" si="3"/>
        <v/>
      </c>
      <c r="F786" s="7" t="str">
        <f>IF($A786&lt;&gt;"",MAXIFS(Token!$C:$C,Token!$A:$A,$D786),)</f>
        <v/>
      </c>
    </row>
    <row r="787">
      <c r="A787" s="39" t="str">
        <f>IF(AND($L787*1&gt;=$G$3,$L787*1&lt;=$G$4,$I787*$J787&gt;0,OR($I787&lt;&gt;$I788,$L787-$L788&gt;25),IF(ABS($I787)&gt;10,$I787/POW(10,$J787),$J787/POW(10,$I787))*MAXIFS(Token!$C:$C,Token!$A:$A,$K787)&gt;0.01),$L787/86400+DATE(1970,1,1)+$G$6,)</f>
        <v/>
      </c>
      <c r="B787" s="27" t="str">
        <f t="shared" si="1"/>
        <v/>
      </c>
      <c r="C787" s="14" t="str">
        <f>IF($A787&lt;&gt;"",MINIFS(Merchant!$A:$A,Merchant!$B:$B,$G$2),)</f>
        <v/>
      </c>
      <c r="D787" s="14" t="str">
        <f t="shared" si="2"/>
        <v/>
      </c>
      <c r="E787" s="14" t="str">
        <f t="shared" si="3"/>
        <v/>
      </c>
      <c r="F787" s="7" t="str">
        <f>IF($A787&lt;&gt;"",MAXIFS(Token!$C:$C,Token!$A:$A,$D787),)</f>
        <v/>
      </c>
    </row>
    <row r="788">
      <c r="A788" s="39" t="str">
        <f>IF(AND($L788*1&gt;=$G$3,$L788*1&lt;=$G$4,$I788*$J788&gt;0,OR($I788&lt;&gt;$I789,$L788-$L789&gt;25),IF(ABS($I788)&gt;10,$I788/POW(10,$J788),$J788/POW(10,$I788))*MAXIFS(Token!$C:$C,Token!$A:$A,$K788)&gt;0.01),$L788/86400+DATE(1970,1,1)+$G$6,)</f>
        <v/>
      </c>
      <c r="B788" s="27" t="str">
        <f t="shared" si="1"/>
        <v/>
      </c>
      <c r="C788" s="14" t="str">
        <f>IF($A788&lt;&gt;"",MINIFS(Merchant!$A:$A,Merchant!$B:$B,$G$2),)</f>
        <v/>
      </c>
      <c r="D788" s="14" t="str">
        <f t="shared" si="2"/>
        <v/>
      </c>
      <c r="E788" s="14" t="str">
        <f t="shared" si="3"/>
        <v/>
      </c>
      <c r="F788" s="7" t="str">
        <f>IF($A788&lt;&gt;"",MAXIFS(Token!$C:$C,Token!$A:$A,$D788),)</f>
        <v/>
      </c>
    </row>
    <row r="789">
      <c r="A789" s="39" t="str">
        <f>IF(AND($L789*1&gt;=$G$3,$L789*1&lt;=$G$4,$I789*$J789&gt;0,OR($I789&lt;&gt;$I790,$L789-$L790&gt;25),IF(ABS($I789)&gt;10,$I789/POW(10,$J789),$J789/POW(10,$I789))*MAXIFS(Token!$C:$C,Token!$A:$A,$K789)&gt;0.01),$L789/86400+DATE(1970,1,1)+$G$6,)</f>
        <v/>
      </c>
      <c r="B789" s="27" t="str">
        <f t="shared" si="1"/>
        <v/>
      </c>
      <c r="C789" s="14" t="str">
        <f>IF($A789&lt;&gt;"",MINIFS(Merchant!$A:$A,Merchant!$B:$B,$G$2),)</f>
        <v/>
      </c>
      <c r="D789" s="14" t="str">
        <f t="shared" si="2"/>
        <v/>
      </c>
      <c r="E789" s="14" t="str">
        <f t="shared" si="3"/>
        <v/>
      </c>
      <c r="F789" s="7" t="str">
        <f>IF($A789&lt;&gt;"",MAXIFS(Token!$C:$C,Token!$A:$A,$D789),)</f>
        <v/>
      </c>
    </row>
    <row r="790">
      <c r="A790" s="39" t="str">
        <f>IF(AND($L790*1&gt;=$G$3,$L790*1&lt;=$G$4,$I790*$J790&gt;0,OR($I790&lt;&gt;$I791,$L790-$L791&gt;25),IF(ABS($I790)&gt;10,$I790/POW(10,$J790),$J790/POW(10,$I790))*MAXIFS(Token!$C:$C,Token!$A:$A,$K790)&gt;0.01),$L790/86400+DATE(1970,1,1)+$G$6,)</f>
        <v/>
      </c>
      <c r="B790" s="27" t="str">
        <f t="shared" si="1"/>
        <v/>
      </c>
      <c r="C790" s="14" t="str">
        <f>IF($A790&lt;&gt;"",MINIFS(Merchant!$A:$A,Merchant!$B:$B,$G$2),)</f>
        <v/>
      </c>
      <c r="D790" s="14" t="str">
        <f t="shared" si="2"/>
        <v/>
      </c>
      <c r="E790" s="14" t="str">
        <f t="shared" si="3"/>
        <v/>
      </c>
      <c r="F790" s="7" t="str">
        <f>IF($A790&lt;&gt;"",MAXIFS(Token!$C:$C,Token!$A:$A,$D790),)</f>
        <v/>
      </c>
    </row>
    <row r="791">
      <c r="A791" s="39" t="str">
        <f>IF(AND($L791*1&gt;=$G$3,$L791*1&lt;=$G$4,$I791*$J791&gt;0,OR($I791&lt;&gt;$I792,$L791-$L792&gt;25),IF(ABS($I791)&gt;10,$I791/POW(10,$J791),$J791/POW(10,$I791))*MAXIFS(Token!$C:$C,Token!$A:$A,$K791)&gt;0.01),$L791/86400+DATE(1970,1,1)+$G$6,)</f>
        <v/>
      </c>
      <c r="B791" s="27" t="str">
        <f t="shared" si="1"/>
        <v/>
      </c>
      <c r="C791" s="14" t="str">
        <f>IF($A791&lt;&gt;"",MINIFS(Merchant!$A:$A,Merchant!$B:$B,$G$2),)</f>
        <v/>
      </c>
      <c r="D791" s="14" t="str">
        <f t="shared" si="2"/>
        <v/>
      </c>
      <c r="E791" s="14" t="str">
        <f t="shared" si="3"/>
        <v/>
      </c>
      <c r="F791" s="7" t="str">
        <f>IF($A791&lt;&gt;"",MAXIFS(Token!$C:$C,Token!$A:$A,$D791),)</f>
        <v/>
      </c>
    </row>
    <row r="792">
      <c r="A792" s="39" t="str">
        <f>IF(AND($L792*1&gt;=$G$3,$L792*1&lt;=$G$4,$I792*$J792&gt;0,OR($I792&lt;&gt;$I793,$L792-$L793&gt;25),IF(ABS($I792)&gt;10,$I792/POW(10,$J792),$J792/POW(10,$I792))*MAXIFS(Token!$C:$C,Token!$A:$A,$K792)&gt;0.01),$L792/86400+DATE(1970,1,1)+$G$6,)</f>
        <v/>
      </c>
      <c r="B792" s="27" t="str">
        <f t="shared" si="1"/>
        <v/>
      </c>
      <c r="C792" s="14" t="str">
        <f>IF($A792&lt;&gt;"",MINIFS(Merchant!$A:$A,Merchant!$B:$B,$G$2),)</f>
        <v/>
      </c>
      <c r="D792" s="14" t="str">
        <f t="shared" si="2"/>
        <v/>
      </c>
      <c r="E792" s="14" t="str">
        <f t="shared" si="3"/>
        <v/>
      </c>
      <c r="F792" s="7" t="str">
        <f>IF($A792&lt;&gt;"",MAXIFS(Token!$C:$C,Token!$A:$A,$D792),)</f>
        <v/>
      </c>
    </row>
    <row r="793">
      <c r="A793" s="39" t="str">
        <f>IF(AND($L793*1&gt;=$G$3,$L793*1&lt;=$G$4,$I793*$J793&gt;0,OR($I793&lt;&gt;$I794,$L793-$L794&gt;25),IF(ABS($I793)&gt;10,$I793/POW(10,$J793),$J793/POW(10,$I793))*MAXIFS(Token!$C:$C,Token!$A:$A,$K793)&gt;0.01),$L793/86400+DATE(1970,1,1)+$G$6,)</f>
        <v/>
      </c>
      <c r="B793" s="27" t="str">
        <f t="shared" si="1"/>
        <v/>
      </c>
      <c r="C793" s="14" t="str">
        <f>IF($A793&lt;&gt;"",MINIFS(Merchant!$A:$A,Merchant!$B:$B,$G$2),)</f>
        <v/>
      </c>
      <c r="D793" s="14" t="str">
        <f t="shared" si="2"/>
        <v/>
      </c>
      <c r="E793" s="14" t="str">
        <f t="shared" si="3"/>
        <v/>
      </c>
      <c r="F793" s="7" t="str">
        <f>IF($A793&lt;&gt;"",MAXIFS(Token!$C:$C,Token!$A:$A,$D793),)</f>
        <v/>
      </c>
    </row>
    <row r="794">
      <c r="A794" s="39" t="str">
        <f>IF(AND($L794*1&gt;=$G$3,$L794*1&lt;=$G$4,$I794*$J794&gt;0,OR($I794&lt;&gt;$I795,$L794-$L795&gt;25),IF(ABS($I794)&gt;10,$I794/POW(10,$J794),$J794/POW(10,$I794))*MAXIFS(Token!$C:$C,Token!$A:$A,$K794)&gt;0.01),$L794/86400+DATE(1970,1,1)+$G$6,)</f>
        <v/>
      </c>
      <c r="B794" s="27" t="str">
        <f t="shared" si="1"/>
        <v/>
      </c>
      <c r="C794" s="14" t="str">
        <f>IF($A794&lt;&gt;"",MINIFS(Merchant!$A:$A,Merchant!$B:$B,$G$2),)</f>
        <v/>
      </c>
      <c r="D794" s="14" t="str">
        <f t="shared" si="2"/>
        <v/>
      </c>
      <c r="E794" s="14" t="str">
        <f t="shared" si="3"/>
        <v/>
      </c>
      <c r="F794" s="7" t="str">
        <f>IF($A794&lt;&gt;"",MAXIFS(Token!$C:$C,Token!$A:$A,$D794),)</f>
        <v/>
      </c>
    </row>
    <row r="795">
      <c r="A795" s="39" t="str">
        <f>IF(AND($L795*1&gt;=$G$3,$L795*1&lt;=$G$4,$I795*$J795&gt;0,OR($I795&lt;&gt;$I796,$L795-$L796&gt;25),IF(ABS($I795)&gt;10,$I795/POW(10,$J795),$J795/POW(10,$I795))*MAXIFS(Token!$C:$C,Token!$A:$A,$K795)&gt;0.01),$L795/86400+DATE(1970,1,1)+$G$6,)</f>
        <v/>
      </c>
      <c r="B795" s="27" t="str">
        <f t="shared" si="1"/>
        <v/>
      </c>
      <c r="C795" s="14" t="str">
        <f>IF($A795&lt;&gt;"",MINIFS(Merchant!$A:$A,Merchant!$B:$B,$G$2),)</f>
        <v/>
      </c>
      <c r="D795" s="14" t="str">
        <f t="shared" si="2"/>
        <v/>
      </c>
      <c r="E795" s="14" t="str">
        <f t="shared" si="3"/>
        <v/>
      </c>
      <c r="F795" s="7" t="str">
        <f>IF($A795&lt;&gt;"",MAXIFS(Token!$C:$C,Token!$A:$A,$D795),)</f>
        <v/>
      </c>
    </row>
    <row r="796">
      <c r="A796" s="39" t="str">
        <f>IF(AND($L796*1&gt;=$G$3,$L796*1&lt;=$G$4,$I796*$J796&gt;0,OR($I796&lt;&gt;$I797,$L796-$L797&gt;25),IF(ABS($I796)&gt;10,$I796/POW(10,$J796),$J796/POW(10,$I796))*MAXIFS(Token!$C:$C,Token!$A:$A,$K796)&gt;0.01),$L796/86400+DATE(1970,1,1)+$G$6,)</f>
        <v/>
      </c>
      <c r="B796" s="27" t="str">
        <f t="shared" si="1"/>
        <v/>
      </c>
      <c r="C796" s="14" t="str">
        <f>IF($A796&lt;&gt;"",MINIFS(Merchant!$A:$A,Merchant!$B:$B,$G$2),)</f>
        <v/>
      </c>
      <c r="D796" s="14" t="str">
        <f t="shared" si="2"/>
        <v/>
      </c>
      <c r="E796" s="14" t="str">
        <f t="shared" si="3"/>
        <v/>
      </c>
      <c r="F796" s="7" t="str">
        <f>IF($A796&lt;&gt;"",MAXIFS(Token!$C:$C,Token!$A:$A,$D796),)</f>
        <v/>
      </c>
    </row>
    <row r="797">
      <c r="A797" s="39" t="str">
        <f>IF(AND($L797*1&gt;=$G$3,$L797*1&lt;=$G$4,$I797*$J797&gt;0,OR($I797&lt;&gt;$I798,$L797-$L798&gt;25),IF(ABS($I797)&gt;10,$I797/POW(10,$J797),$J797/POW(10,$I797))*MAXIFS(Token!$C:$C,Token!$A:$A,$K797)&gt;0.01),$L797/86400+DATE(1970,1,1)+$G$6,)</f>
        <v/>
      </c>
      <c r="B797" s="27" t="str">
        <f t="shared" si="1"/>
        <v/>
      </c>
      <c r="C797" s="14" t="str">
        <f>IF($A797&lt;&gt;"",MINIFS(Merchant!$A:$A,Merchant!$B:$B,$G$2),)</f>
        <v/>
      </c>
      <c r="D797" s="14" t="str">
        <f t="shared" si="2"/>
        <v/>
      </c>
      <c r="E797" s="14" t="str">
        <f t="shared" si="3"/>
        <v/>
      </c>
      <c r="F797" s="7" t="str">
        <f>IF($A797&lt;&gt;"",MAXIFS(Token!$C:$C,Token!$A:$A,$D797),)</f>
        <v/>
      </c>
    </row>
    <row r="798">
      <c r="A798" s="39" t="str">
        <f>IF(AND($L798*1&gt;=$G$3,$L798*1&lt;=$G$4,$I798*$J798&gt;0,OR($I798&lt;&gt;$I799,$L798-$L799&gt;25),IF(ABS($I798)&gt;10,$I798/POW(10,$J798),$J798/POW(10,$I798))*MAXIFS(Token!$C:$C,Token!$A:$A,$K798)&gt;0.01),$L798/86400+DATE(1970,1,1)+$G$6,)</f>
        <v/>
      </c>
      <c r="B798" s="27" t="str">
        <f t="shared" si="1"/>
        <v/>
      </c>
      <c r="C798" s="14" t="str">
        <f>IF($A798&lt;&gt;"",MINIFS(Merchant!$A:$A,Merchant!$B:$B,$G$2),)</f>
        <v/>
      </c>
      <c r="D798" s="14" t="str">
        <f t="shared" si="2"/>
        <v/>
      </c>
      <c r="E798" s="14" t="str">
        <f t="shared" si="3"/>
        <v/>
      </c>
      <c r="F798" s="7" t="str">
        <f>IF($A798&lt;&gt;"",MAXIFS(Token!$C:$C,Token!$A:$A,$D798),)</f>
        <v/>
      </c>
    </row>
    <row r="799">
      <c r="A799" s="39" t="str">
        <f>IF(AND($L799*1&gt;=$G$3,$L799*1&lt;=$G$4,$I799*$J799&gt;0,OR($I799&lt;&gt;$I800,$L799-$L800&gt;25),IF(ABS($I799)&gt;10,$I799/POW(10,$J799),$J799/POW(10,$I799))*MAXIFS(Token!$C:$C,Token!$A:$A,$K799)&gt;0.01),$L799/86400+DATE(1970,1,1)+$G$6,)</f>
        <v/>
      </c>
      <c r="B799" s="27" t="str">
        <f t="shared" si="1"/>
        <v/>
      </c>
      <c r="C799" s="14" t="str">
        <f>IF($A799&lt;&gt;"",MINIFS(Merchant!$A:$A,Merchant!$B:$B,$G$2),)</f>
        <v/>
      </c>
      <c r="D799" s="14" t="str">
        <f t="shared" si="2"/>
        <v/>
      </c>
      <c r="E799" s="14" t="str">
        <f t="shared" si="3"/>
        <v/>
      </c>
      <c r="F799" s="7" t="str">
        <f>IF($A799&lt;&gt;"",MAXIFS(Token!$C:$C,Token!$A:$A,$D799),)</f>
        <v/>
      </c>
    </row>
    <row r="800">
      <c r="A800" s="39" t="str">
        <f>IF(AND($L800*1&gt;=$G$3,$L800*1&lt;=$G$4,$I800*$J800&gt;0,OR($I800&lt;&gt;$I801,$L800-$L801&gt;25),IF(ABS($I800)&gt;10,$I800/POW(10,$J800),$J800/POW(10,$I800))*MAXIFS(Token!$C:$C,Token!$A:$A,$K800)&gt;0.01),$L800/86400+DATE(1970,1,1)+$G$6,)</f>
        <v/>
      </c>
      <c r="B800" s="27" t="str">
        <f t="shared" si="1"/>
        <v/>
      </c>
      <c r="C800" s="14" t="str">
        <f>IF($A800&lt;&gt;"",MINIFS(Merchant!$A:$A,Merchant!$B:$B,$G$2),)</f>
        <v/>
      </c>
      <c r="D800" s="14" t="str">
        <f t="shared" si="2"/>
        <v/>
      </c>
      <c r="E800" s="14" t="str">
        <f t="shared" si="3"/>
        <v/>
      </c>
      <c r="F800" s="7" t="str">
        <f>IF($A800&lt;&gt;"",MAXIFS(Token!$C:$C,Token!$A:$A,$D800),)</f>
        <v/>
      </c>
    </row>
    <row r="801">
      <c r="A801" s="39" t="str">
        <f>IF(AND($L801*1&gt;=$G$3,$L801*1&lt;=$G$4,$I801*$J801&gt;0,OR($I801&lt;&gt;$I802,$L801-$L802&gt;25),IF(ABS($I801)&gt;10,$I801/POW(10,$J801),$J801/POW(10,$I801))*MAXIFS(Token!$C:$C,Token!$A:$A,$K801)&gt;0.01),$L801/86400+DATE(1970,1,1)+$G$6,)</f>
        <v/>
      </c>
      <c r="B801" s="27" t="str">
        <f t="shared" si="1"/>
        <v/>
      </c>
      <c r="C801" s="14" t="str">
        <f>IF($A801&lt;&gt;"",MINIFS(Merchant!$A:$A,Merchant!$B:$B,$G$2),)</f>
        <v/>
      </c>
      <c r="D801" s="14" t="str">
        <f t="shared" si="2"/>
        <v/>
      </c>
      <c r="E801" s="14" t="str">
        <f t="shared" si="3"/>
        <v/>
      </c>
      <c r="F801" s="7" t="str">
        <f>IF($A801&lt;&gt;"",MAXIFS(Token!$C:$C,Token!$A:$A,$D801),)</f>
        <v/>
      </c>
    </row>
    <row r="802">
      <c r="A802" s="39" t="str">
        <f>IF(AND($L802*1&gt;=$G$3,$L802*1&lt;=$G$4,$I802*$J802&gt;0,OR($I802&lt;&gt;$I803,$L802-$L803&gt;25),IF(ABS($I802)&gt;10,$I802/POW(10,$J802),$J802/POW(10,$I802))*MAXIFS(Token!$C:$C,Token!$A:$A,$K802)&gt;0.01),$L802/86400+DATE(1970,1,1)+$G$6,)</f>
        <v/>
      </c>
      <c r="B802" s="27" t="str">
        <f t="shared" si="1"/>
        <v/>
      </c>
      <c r="C802" s="14" t="str">
        <f>IF($A802&lt;&gt;"",MINIFS(Merchant!$A:$A,Merchant!$B:$B,$G$2),)</f>
        <v/>
      </c>
      <c r="D802" s="14" t="str">
        <f t="shared" si="2"/>
        <v/>
      </c>
      <c r="E802" s="14" t="str">
        <f t="shared" si="3"/>
        <v/>
      </c>
      <c r="F802" s="7" t="str">
        <f>IF($A802&lt;&gt;"",MAXIFS(Token!$C:$C,Token!$A:$A,$D802),)</f>
        <v/>
      </c>
    </row>
    <row r="803">
      <c r="A803" s="39" t="str">
        <f>IF(AND($L803*1&gt;=$G$3,$L803*1&lt;=$G$4,$I803*$J803&gt;0,OR($I803&lt;&gt;$I804,$L803-$L804&gt;25),IF(ABS($I803)&gt;10,$I803/POW(10,$J803),$J803/POW(10,$I803))*MAXIFS(Token!$C:$C,Token!$A:$A,$K803)&gt;0.01),$L803/86400+DATE(1970,1,1)+$G$6,)</f>
        <v/>
      </c>
      <c r="B803" s="27" t="str">
        <f t="shared" si="1"/>
        <v/>
      </c>
      <c r="C803" s="14" t="str">
        <f>IF($A803&lt;&gt;"",MINIFS(Merchant!$A:$A,Merchant!$B:$B,$G$2),)</f>
        <v/>
      </c>
      <c r="D803" s="14" t="str">
        <f t="shared" si="2"/>
        <v/>
      </c>
      <c r="E803" s="14" t="str">
        <f t="shared" si="3"/>
        <v/>
      </c>
      <c r="F803" s="7" t="str">
        <f>IF($A803&lt;&gt;"",MAXIFS(Token!$C:$C,Token!$A:$A,$D803),)</f>
        <v/>
      </c>
    </row>
    <row r="804">
      <c r="A804" s="39" t="str">
        <f>IF(AND($L804*1&gt;=$G$3,$L804*1&lt;=$G$4,$I804*$J804&gt;0,OR($I804&lt;&gt;$I805,$L804-$L805&gt;25),IF(ABS($I804)&gt;10,$I804/POW(10,$J804),$J804/POW(10,$I804))*MAXIFS(Token!$C:$C,Token!$A:$A,$K804)&gt;0.01),$L804/86400+DATE(1970,1,1)+$G$6,)</f>
        <v/>
      </c>
      <c r="B804" s="27" t="str">
        <f t="shared" si="1"/>
        <v/>
      </c>
      <c r="C804" s="14" t="str">
        <f>IF($A804&lt;&gt;"",MINIFS(Merchant!$A:$A,Merchant!$B:$B,$G$2),)</f>
        <v/>
      </c>
      <c r="D804" s="14" t="str">
        <f t="shared" si="2"/>
        <v/>
      </c>
      <c r="E804" s="14" t="str">
        <f t="shared" si="3"/>
        <v/>
      </c>
      <c r="F804" s="7" t="str">
        <f>IF($A804&lt;&gt;"",MAXIFS(Token!$C:$C,Token!$A:$A,$D804),)</f>
        <v/>
      </c>
    </row>
    <row r="805">
      <c r="A805" s="39" t="str">
        <f>IF(AND($L805*1&gt;=$G$3,$L805*1&lt;=$G$4,$I805*$J805&gt;0,OR($I805&lt;&gt;$I806,$L805-$L806&gt;25),IF(ABS($I805)&gt;10,$I805/POW(10,$J805),$J805/POW(10,$I805))*MAXIFS(Token!$C:$C,Token!$A:$A,$K805)&gt;0.01),$L805/86400+DATE(1970,1,1)+$G$6,)</f>
        <v/>
      </c>
      <c r="B805" s="27" t="str">
        <f t="shared" si="1"/>
        <v/>
      </c>
      <c r="C805" s="14" t="str">
        <f>IF($A805&lt;&gt;"",MINIFS(Merchant!$A:$A,Merchant!$B:$B,$G$2),)</f>
        <v/>
      </c>
      <c r="D805" s="14" t="str">
        <f t="shared" si="2"/>
        <v/>
      </c>
      <c r="E805" s="14" t="str">
        <f t="shared" si="3"/>
        <v/>
      </c>
      <c r="F805" s="7" t="str">
        <f>IF($A805&lt;&gt;"",MAXIFS(Token!$C:$C,Token!$A:$A,$D805),)</f>
        <v/>
      </c>
    </row>
    <row r="806">
      <c r="A806" s="39" t="str">
        <f>IF(AND($L806*1&gt;=$G$3,$L806*1&lt;=$G$4,$I806*$J806&gt;0,OR($I806&lt;&gt;$I807,$L806-$L807&gt;25),IF(ABS($I806)&gt;10,$I806/POW(10,$J806),$J806/POW(10,$I806))*MAXIFS(Token!$C:$C,Token!$A:$A,$K806)&gt;0.01),$L806/86400+DATE(1970,1,1)+$G$6,)</f>
        <v/>
      </c>
      <c r="B806" s="27" t="str">
        <f t="shared" si="1"/>
        <v/>
      </c>
      <c r="C806" s="14" t="str">
        <f>IF($A806&lt;&gt;"",MINIFS(Merchant!$A:$A,Merchant!$B:$B,$G$2),)</f>
        <v/>
      </c>
      <c r="D806" s="14" t="str">
        <f t="shared" si="2"/>
        <v/>
      </c>
      <c r="E806" s="14" t="str">
        <f t="shared" si="3"/>
        <v/>
      </c>
      <c r="F806" s="7" t="str">
        <f>IF($A806&lt;&gt;"",MAXIFS(Token!$C:$C,Token!$A:$A,$D806),)</f>
        <v/>
      </c>
    </row>
    <row r="807">
      <c r="A807" s="39" t="str">
        <f>IF(AND($L807*1&gt;=$G$3,$L807*1&lt;=$G$4,$I807*$J807&gt;0,OR($I807&lt;&gt;$I808,$L807-$L808&gt;25),IF(ABS($I807)&gt;10,$I807/POW(10,$J807),$J807/POW(10,$I807))*MAXIFS(Token!$C:$C,Token!$A:$A,$K807)&gt;0.01),$L807/86400+DATE(1970,1,1)+$G$6,)</f>
        <v/>
      </c>
      <c r="B807" s="27" t="str">
        <f t="shared" si="1"/>
        <v/>
      </c>
      <c r="C807" s="14" t="str">
        <f>IF($A807&lt;&gt;"",MINIFS(Merchant!$A:$A,Merchant!$B:$B,$G$2),)</f>
        <v/>
      </c>
      <c r="D807" s="14" t="str">
        <f t="shared" si="2"/>
        <v/>
      </c>
      <c r="E807" s="14" t="str">
        <f t="shared" si="3"/>
        <v/>
      </c>
      <c r="F807" s="7" t="str">
        <f>IF($A807&lt;&gt;"",MAXIFS(Token!$C:$C,Token!$A:$A,$D807),)</f>
        <v/>
      </c>
    </row>
    <row r="808">
      <c r="A808" s="39" t="str">
        <f>IF(AND($L808*1&gt;=$G$3,$L808*1&lt;=$G$4,$I808*$J808&gt;0,OR($I808&lt;&gt;$I809,$L808-$L809&gt;25),IF(ABS($I808)&gt;10,$I808/POW(10,$J808),$J808/POW(10,$I808))*MAXIFS(Token!$C:$C,Token!$A:$A,$K808)&gt;0.01),$L808/86400+DATE(1970,1,1)+$G$6,)</f>
        <v/>
      </c>
      <c r="B808" s="27" t="str">
        <f t="shared" si="1"/>
        <v/>
      </c>
      <c r="C808" s="14" t="str">
        <f>IF($A808&lt;&gt;"",MINIFS(Merchant!$A:$A,Merchant!$B:$B,$G$2),)</f>
        <v/>
      </c>
      <c r="D808" s="14" t="str">
        <f t="shared" si="2"/>
        <v/>
      </c>
      <c r="E808" s="14" t="str">
        <f t="shared" si="3"/>
        <v/>
      </c>
      <c r="F808" s="7" t="str">
        <f>IF($A808&lt;&gt;"",MAXIFS(Token!$C:$C,Token!$A:$A,$D808),)</f>
        <v/>
      </c>
    </row>
    <row r="809">
      <c r="A809" s="39" t="str">
        <f>IF(AND($L809*1&gt;=$G$3,$L809*1&lt;=$G$4,$I809*$J809&gt;0,OR($I809&lt;&gt;$I810,$L809-$L810&gt;25),IF(ABS($I809)&gt;10,$I809/POW(10,$J809),$J809/POW(10,$I809))*MAXIFS(Token!$C:$C,Token!$A:$A,$K809)&gt;0.01),$L809/86400+DATE(1970,1,1)+$G$6,)</f>
        <v/>
      </c>
      <c r="B809" s="27" t="str">
        <f t="shared" si="1"/>
        <v/>
      </c>
      <c r="C809" s="14" t="str">
        <f>IF($A809&lt;&gt;"",MINIFS(Merchant!$A:$A,Merchant!$B:$B,$G$2),)</f>
        <v/>
      </c>
      <c r="D809" s="14" t="str">
        <f t="shared" si="2"/>
        <v/>
      </c>
      <c r="E809" s="14" t="str">
        <f t="shared" si="3"/>
        <v/>
      </c>
      <c r="F809" s="7" t="str">
        <f>IF($A809&lt;&gt;"",MAXIFS(Token!$C:$C,Token!$A:$A,$D809),)</f>
        <v/>
      </c>
    </row>
    <row r="810">
      <c r="A810" s="39" t="str">
        <f>IF(AND($L810*1&gt;=$G$3,$L810*1&lt;=$G$4,$I810*$J810&gt;0,OR($I810&lt;&gt;$I811,$L810-$L811&gt;25),IF(ABS($I810)&gt;10,$I810/POW(10,$J810),$J810/POW(10,$I810))*MAXIFS(Token!$C:$C,Token!$A:$A,$K810)&gt;0.01),$L810/86400+DATE(1970,1,1)+$G$6,)</f>
        <v/>
      </c>
      <c r="B810" s="27" t="str">
        <f t="shared" si="1"/>
        <v/>
      </c>
      <c r="C810" s="14" t="str">
        <f>IF($A810&lt;&gt;"",MINIFS(Merchant!$A:$A,Merchant!$B:$B,$G$2),)</f>
        <v/>
      </c>
      <c r="D810" s="14" t="str">
        <f t="shared" si="2"/>
        <v/>
      </c>
      <c r="E810" s="14" t="str">
        <f t="shared" si="3"/>
        <v/>
      </c>
      <c r="F810" s="7" t="str">
        <f>IF($A810&lt;&gt;"",MAXIFS(Token!$C:$C,Token!$A:$A,$D810),)</f>
        <v/>
      </c>
    </row>
    <row r="811">
      <c r="A811" s="39" t="str">
        <f>IF(AND($L811*1&gt;=$G$3,$L811*1&lt;=$G$4,$I811*$J811&gt;0,OR($I811&lt;&gt;$I812,$L811-$L812&gt;25),IF(ABS($I811)&gt;10,$I811/POW(10,$J811),$J811/POW(10,$I811))*MAXIFS(Token!$C:$C,Token!$A:$A,$K811)&gt;0.01),$L811/86400+DATE(1970,1,1)+$G$6,)</f>
        <v/>
      </c>
      <c r="B811" s="27" t="str">
        <f t="shared" si="1"/>
        <v/>
      </c>
      <c r="C811" s="14" t="str">
        <f>IF($A811&lt;&gt;"",MINIFS(Merchant!$A:$A,Merchant!$B:$B,$G$2),)</f>
        <v/>
      </c>
      <c r="D811" s="14" t="str">
        <f t="shared" si="2"/>
        <v/>
      </c>
      <c r="E811" s="14" t="str">
        <f t="shared" si="3"/>
        <v/>
      </c>
      <c r="F811" s="7" t="str">
        <f>IF($A811&lt;&gt;"",MAXIFS(Token!$C:$C,Token!$A:$A,$D811),)</f>
        <v/>
      </c>
    </row>
    <row r="812">
      <c r="A812" s="39" t="str">
        <f>IF(AND($L812*1&gt;=$G$3,$L812*1&lt;=$G$4,$I812*$J812&gt;0,OR($I812&lt;&gt;$I813,$L812-$L813&gt;25),IF(ABS($I812)&gt;10,$I812/POW(10,$J812),$J812/POW(10,$I812))*MAXIFS(Token!$C:$C,Token!$A:$A,$K812)&gt;0.01),$L812/86400+DATE(1970,1,1)+$G$6,)</f>
        <v/>
      </c>
      <c r="B812" s="27" t="str">
        <f t="shared" si="1"/>
        <v/>
      </c>
      <c r="C812" s="14" t="str">
        <f>IF($A812&lt;&gt;"",MINIFS(Merchant!$A:$A,Merchant!$B:$B,$G$2),)</f>
        <v/>
      </c>
      <c r="D812" s="14" t="str">
        <f t="shared" si="2"/>
        <v/>
      </c>
      <c r="E812" s="14" t="str">
        <f t="shared" si="3"/>
        <v/>
      </c>
      <c r="F812" s="7" t="str">
        <f>IF($A812&lt;&gt;"",MAXIFS(Token!$C:$C,Token!$A:$A,$D812),)</f>
        <v/>
      </c>
    </row>
    <row r="813">
      <c r="A813" s="39" t="str">
        <f>IF(AND($L813*1&gt;=$G$3,$L813*1&lt;=$G$4,$I813*$J813&gt;0,OR($I813&lt;&gt;$I814,$L813-$L814&gt;25),IF(ABS($I813)&gt;10,$I813/POW(10,$J813),$J813/POW(10,$I813))*MAXIFS(Token!$C:$C,Token!$A:$A,$K813)&gt;0.01),$L813/86400+DATE(1970,1,1)+$G$6,)</f>
        <v/>
      </c>
      <c r="B813" s="27" t="str">
        <f t="shared" si="1"/>
        <v/>
      </c>
      <c r="C813" s="14" t="str">
        <f>IF($A813&lt;&gt;"",MINIFS(Merchant!$A:$A,Merchant!$B:$B,$G$2),)</f>
        <v/>
      </c>
      <c r="D813" s="14" t="str">
        <f t="shared" si="2"/>
        <v/>
      </c>
      <c r="E813" s="14" t="str">
        <f t="shared" si="3"/>
        <v/>
      </c>
      <c r="F813" s="7" t="str">
        <f>IF($A813&lt;&gt;"",MAXIFS(Token!$C:$C,Token!$A:$A,$D813),)</f>
        <v/>
      </c>
    </row>
    <row r="814">
      <c r="A814" s="39" t="str">
        <f>IF(AND($L814*1&gt;=$G$3,$L814*1&lt;=$G$4,$I814*$J814&gt;0,OR($I814&lt;&gt;$I815,$L814-$L815&gt;25),IF(ABS($I814)&gt;10,$I814/POW(10,$J814),$J814/POW(10,$I814))*MAXIFS(Token!$C:$C,Token!$A:$A,$K814)&gt;0.01),$L814/86400+DATE(1970,1,1)+$G$6,)</f>
        <v/>
      </c>
      <c r="B814" s="27" t="str">
        <f t="shared" si="1"/>
        <v/>
      </c>
      <c r="C814" s="14" t="str">
        <f>IF($A814&lt;&gt;"",MINIFS(Merchant!$A:$A,Merchant!$B:$B,$G$2),)</f>
        <v/>
      </c>
      <c r="D814" s="14" t="str">
        <f t="shared" si="2"/>
        <v/>
      </c>
      <c r="E814" s="14" t="str">
        <f t="shared" si="3"/>
        <v/>
      </c>
      <c r="F814" s="7" t="str">
        <f>IF($A814&lt;&gt;"",MAXIFS(Token!$C:$C,Token!$A:$A,$D814),)</f>
        <v/>
      </c>
    </row>
    <row r="815">
      <c r="A815" s="39" t="str">
        <f>IF(AND($L815*1&gt;=$G$3,$L815*1&lt;=$G$4,$I815*$J815&gt;0,OR($I815&lt;&gt;$I816,$L815-$L816&gt;25),IF(ABS($I815)&gt;10,$I815/POW(10,$J815),$J815/POW(10,$I815))*MAXIFS(Token!$C:$C,Token!$A:$A,$K815)&gt;0.01),$L815/86400+DATE(1970,1,1)+$G$6,)</f>
        <v/>
      </c>
      <c r="B815" s="27" t="str">
        <f t="shared" si="1"/>
        <v/>
      </c>
      <c r="C815" s="14" t="str">
        <f>IF($A815&lt;&gt;"",MINIFS(Merchant!$A:$A,Merchant!$B:$B,$G$2),)</f>
        <v/>
      </c>
      <c r="D815" s="14" t="str">
        <f t="shared" si="2"/>
        <v/>
      </c>
      <c r="E815" s="14" t="str">
        <f t="shared" si="3"/>
        <v/>
      </c>
      <c r="F815" s="7" t="str">
        <f>IF($A815&lt;&gt;"",MAXIFS(Token!$C:$C,Token!$A:$A,$D815),)</f>
        <v/>
      </c>
    </row>
    <row r="816">
      <c r="A816" s="39" t="str">
        <f>IF(AND($L816*1&gt;=$G$3,$L816*1&lt;=$G$4,$I816*$J816&gt;0,OR($I816&lt;&gt;$I817,$L816-$L817&gt;25),IF(ABS($I816)&gt;10,$I816/POW(10,$J816),$J816/POW(10,$I816))*MAXIFS(Token!$C:$C,Token!$A:$A,$K816)&gt;0.01),$L816/86400+DATE(1970,1,1)+$G$6,)</f>
        <v/>
      </c>
      <c r="B816" s="27" t="str">
        <f t="shared" si="1"/>
        <v/>
      </c>
      <c r="C816" s="14" t="str">
        <f>IF($A816&lt;&gt;"",MINIFS(Merchant!$A:$A,Merchant!$B:$B,$G$2),)</f>
        <v/>
      </c>
      <c r="D816" s="14" t="str">
        <f t="shared" si="2"/>
        <v/>
      </c>
      <c r="E816" s="14" t="str">
        <f t="shared" si="3"/>
        <v/>
      </c>
      <c r="F816" s="7" t="str">
        <f>IF($A816&lt;&gt;"",MAXIFS(Token!$C:$C,Token!$A:$A,$D816),)</f>
        <v/>
      </c>
    </row>
    <row r="817">
      <c r="A817" s="39" t="str">
        <f>IF(AND($L817*1&gt;=$G$3,$L817*1&lt;=$G$4,$I817*$J817&gt;0,OR($I817&lt;&gt;$I818,$L817-$L818&gt;25),IF(ABS($I817)&gt;10,$I817/POW(10,$J817),$J817/POW(10,$I817))*MAXIFS(Token!$C:$C,Token!$A:$A,$K817)&gt;0.01),$L817/86400+DATE(1970,1,1)+$G$6,)</f>
        <v/>
      </c>
      <c r="B817" s="27" t="str">
        <f t="shared" si="1"/>
        <v/>
      </c>
      <c r="C817" s="14" t="str">
        <f>IF($A817&lt;&gt;"",MINIFS(Merchant!$A:$A,Merchant!$B:$B,$G$2),)</f>
        <v/>
      </c>
      <c r="D817" s="14" t="str">
        <f t="shared" si="2"/>
        <v/>
      </c>
      <c r="E817" s="14" t="str">
        <f t="shared" si="3"/>
        <v/>
      </c>
      <c r="F817" s="7" t="str">
        <f>IF($A817&lt;&gt;"",MAXIFS(Token!$C:$C,Token!$A:$A,$D817),)</f>
        <v/>
      </c>
    </row>
    <row r="818">
      <c r="A818" s="39" t="str">
        <f>IF(AND($L818*1&gt;=$G$3,$L818*1&lt;=$G$4,$I818*$J818&gt;0,OR($I818&lt;&gt;$I819,$L818-$L819&gt;25),IF(ABS($I818)&gt;10,$I818/POW(10,$J818),$J818/POW(10,$I818))*MAXIFS(Token!$C:$C,Token!$A:$A,$K818)&gt;0.01),$L818/86400+DATE(1970,1,1)+$G$6,)</f>
        <v/>
      </c>
      <c r="B818" s="27" t="str">
        <f t="shared" si="1"/>
        <v/>
      </c>
      <c r="C818" s="14" t="str">
        <f>IF($A818&lt;&gt;"",MINIFS(Merchant!$A:$A,Merchant!$B:$B,$G$2),)</f>
        <v/>
      </c>
      <c r="D818" s="14" t="str">
        <f t="shared" si="2"/>
        <v/>
      </c>
      <c r="E818" s="14" t="str">
        <f t="shared" si="3"/>
        <v/>
      </c>
      <c r="F818" s="7" t="str">
        <f>IF($A818&lt;&gt;"",MAXIFS(Token!$C:$C,Token!$A:$A,$D818),)</f>
        <v/>
      </c>
    </row>
    <row r="819">
      <c r="A819" s="39" t="str">
        <f>IF(AND($L819*1&gt;=$G$3,$L819*1&lt;=$G$4,$I819*$J819&gt;0,OR($I819&lt;&gt;$I820,$L819-$L820&gt;25),IF(ABS($I819)&gt;10,$I819/POW(10,$J819),$J819/POW(10,$I819))*MAXIFS(Token!$C:$C,Token!$A:$A,$K819)&gt;0.01),$L819/86400+DATE(1970,1,1)+$G$6,)</f>
        <v/>
      </c>
      <c r="B819" s="27" t="str">
        <f t="shared" si="1"/>
        <v/>
      </c>
      <c r="C819" s="14" t="str">
        <f>IF($A819&lt;&gt;"",MINIFS(Merchant!$A:$A,Merchant!$B:$B,$G$2),)</f>
        <v/>
      </c>
      <c r="D819" s="14" t="str">
        <f t="shared" si="2"/>
        <v/>
      </c>
      <c r="E819" s="14" t="str">
        <f t="shared" si="3"/>
        <v/>
      </c>
      <c r="F819" s="7" t="str">
        <f>IF($A819&lt;&gt;"",MAXIFS(Token!$C:$C,Token!$A:$A,$D819),)</f>
        <v/>
      </c>
    </row>
    <row r="820">
      <c r="A820" s="39" t="str">
        <f>IF(AND($L820*1&gt;=$G$3,$L820*1&lt;=$G$4,$I820*$J820&gt;0,OR($I820&lt;&gt;$I821,$L820-$L821&gt;25),IF(ABS($I820)&gt;10,$I820/POW(10,$J820),$J820/POW(10,$I820))*MAXIFS(Token!$C:$C,Token!$A:$A,$K820)&gt;0.01),$L820/86400+DATE(1970,1,1)+$G$6,)</f>
        <v/>
      </c>
      <c r="B820" s="27" t="str">
        <f t="shared" si="1"/>
        <v/>
      </c>
      <c r="C820" s="14" t="str">
        <f>IF($A820&lt;&gt;"",MINIFS(Merchant!$A:$A,Merchant!$B:$B,$G$2),)</f>
        <v/>
      </c>
      <c r="D820" s="14" t="str">
        <f t="shared" si="2"/>
        <v/>
      </c>
      <c r="E820" s="14" t="str">
        <f t="shared" si="3"/>
        <v/>
      </c>
      <c r="F820" s="7" t="str">
        <f>IF($A820&lt;&gt;"",MAXIFS(Token!$C:$C,Token!$A:$A,$D820),)</f>
        <v/>
      </c>
    </row>
    <row r="821">
      <c r="A821" s="39" t="str">
        <f>IF(AND($L821*1&gt;=$G$3,$L821*1&lt;=$G$4,$I821*$J821&gt;0,OR($I821&lt;&gt;$I822,$L821-$L822&gt;25),IF(ABS($I821)&gt;10,$I821/POW(10,$J821),$J821/POW(10,$I821))*MAXIFS(Token!$C:$C,Token!$A:$A,$K821)&gt;0.01),$L821/86400+DATE(1970,1,1)+$G$6,)</f>
        <v/>
      </c>
      <c r="B821" s="27" t="str">
        <f t="shared" si="1"/>
        <v/>
      </c>
      <c r="C821" s="14" t="str">
        <f>IF($A821&lt;&gt;"",MINIFS(Merchant!$A:$A,Merchant!$B:$B,$G$2),)</f>
        <v/>
      </c>
      <c r="D821" s="14" t="str">
        <f t="shared" si="2"/>
        <v/>
      </c>
      <c r="E821" s="14" t="str">
        <f t="shared" si="3"/>
        <v/>
      </c>
      <c r="F821" s="7" t="str">
        <f>IF($A821&lt;&gt;"",MAXIFS(Token!$C:$C,Token!$A:$A,$D821),)</f>
        <v/>
      </c>
    </row>
    <row r="822">
      <c r="A822" s="39" t="str">
        <f>IF(AND($L822*1&gt;=$G$3,$L822*1&lt;=$G$4,$I822*$J822&gt;0,OR($I822&lt;&gt;$I823,$L822-$L823&gt;25),IF(ABS($I822)&gt;10,$I822/POW(10,$J822),$J822/POW(10,$I822))*MAXIFS(Token!$C:$C,Token!$A:$A,$K822)&gt;0.01),$L822/86400+DATE(1970,1,1)+$G$6,)</f>
        <v/>
      </c>
      <c r="B822" s="27" t="str">
        <f t="shared" si="1"/>
        <v/>
      </c>
      <c r="C822" s="14" t="str">
        <f>IF($A822&lt;&gt;"",MINIFS(Merchant!$A:$A,Merchant!$B:$B,$G$2),)</f>
        <v/>
      </c>
      <c r="D822" s="14" t="str">
        <f t="shared" si="2"/>
        <v/>
      </c>
      <c r="E822" s="14" t="str">
        <f t="shared" si="3"/>
        <v/>
      </c>
      <c r="F822" s="7" t="str">
        <f>IF($A822&lt;&gt;"",MAXIFS(Token!$C:$C,Token!$A:$A,$D822),)</f>
        <v/>
      </c>
    </row>
    <row r="823">
      <c r="A823" s="39" t="str">
        <f>IF(AND($L823*1&gt;=$G$3,$L823*1&lt;=$G$4,$I823*$J823&gt;0,OR($I823&lt;&gt;$I824,$L823-$L824&gt;25),IF(ABS($I823)&gt;10,$I823/POW(10,$J823),$J823/POW(10,$I823))*MAXIFS(Token!$C:$C,Token!$A:$A,$K823)&gt;0.01),$L823/86400+DATE(1970,1,1)+$G$6,)</f>
        <v/>
      </c>
      <c r="B823" s="27" t="str">
        <f t="shared" si="1"/>
        <v/>
      </c>
      <c r="C823" s="14" t="str">
        <f>IF($A823&lt;&gt;"",MINIFS(Merchant!$A:$A,Merchant!$B:$B,$G$2),)</f>
        <v/>
      </c>
      <c r="D823" s="14" t="str">
        <f t="shared" si="2"/>
        <v/>
      </c>
      <c r="E823" s="14" t="str">
        <f t="shared" si="3"/>
        <v/>
      </c>
      <c r="F823" s="7" t="str">
        <f>IF($A823&lt;&gt;"",MAXIFS(Token!$C:$C,Token!$A:$A,$D823),)</f>
        <v/>
      </c>
    </row>
    <row r="824">
      <c r="A824" s="39" t="str">
        <f>IF(AND($L824*1&gt;=$G$3,$L824*1&lt;=$G$4,$I824*$J824&gt;0,OR($I824&lt;&gt;$I825,$L824-$L825&gt;25),IF(ABS($I824)&gt;10,$I824/POW(10,$J824),$J824/POW(10,$I824))*MAXIFS(Token!$C:$C,Token!$A:$A,$K824)&gt;0.01),$L824/86400+DATE(1970,1,1)+$G$6,)</f>
        <v/>
      </c>
      <c r="B824" s="27" t="str">
        <f t="shared" si="1"/>
        <v/>
      </c>
      <c r="C824" s="14" t="str">
        <f>IF($A824&lt;&gt;"",MINIFS(Merchant!$A:$A,Merchant!$B:$B,$G$2),)</f>
        <v/>
      </c>
      <c r="D824" s="14" t="str">
        <f t="shared" si="2"/>
        <v/>
      </c>
      <c r="E824" s="14" t="str">
        <f t="shared" si="3"/>
        <v/>
      </c>
      <c r="F824" s="7" t="str">
        <f>IF($A824&lt;&gt;"",MAXIFS(Token!$C:$C,Token!$A:$A,$D824),)</f>
        <v/>
      </c>
    </row>
    <row r="825">
      <c r="A825" s="39" t="str">
        <f>IF(AND($L825*1&gt;=$G$3,$L825*1&lt;=$G$4,$I825*$J825&gt;0,OR($I825&lt;&gt;$I826,$L825-$L826&gt;25),IF(ABS($I825)&gt;10,$I825/POW(10,$J825),$J825/POW(10,$I825))*MAXIFS(Token!$C:$C,Token!$A:$A,$K825)&gt;0.01),$L825/86400+DATE(1970,1,1)+$G$6,)</f>
        <v/>
      </c>
      <c r="B825" s="27" t="str">
        <f t="shared" si="1"/>
        <v/>
      </c>
      <c r="C825" s="14" t="str">
        <f>IF($A825&lt;&gt;"",MINIFS(Merchant!$A:$A,Merchant!$B:$B,$G$2),)</f>
        <v/>
      </c>
      <c r="D825" s="14" t="str">
        <f t="shared" si="2"/>
        <v/>
      </c>
      <c r="E825" s="14" t="str">
        <f t="shared" si="3"/>
        <v/>
      </c>
      <c r="F825" s="7" t="str">
        <f>IF($A825&lt;&gt;"",MAXIFS(Token!$C:$C,Token!$A:$A,$D825),)</f>
        <v/>
      </c>
    </row>
    <row r="826">
      <c r="A826" s="39" t="str">
        <f>IF(AND($L826*1&gt;=$G$3,$L826*1&lt;=$G$4,$I826*$J826&gt;0,OR($I826&lt;&gt;$I827,$L826-$L827&gt;25),IF(ABS($I826)&gt;10,$I826/POW(10,$J826),$J826/POW(10,$I826))*MAXIFS(Token!$C:$C,Token!$A:$A,$K826)&gt;0.01),$L826/86400+DATE(1970,1,1)+$G$6,)</f>
        <v/>
      </c>
      <c r="B826" s="27" t="str">
        <f t="shared" si="1"/>
        <v/>
      </c>
      <c r="C826" s="14" t="str">
        <f>IF($A826&lt;&gt;"",MINIFS(Merchant!$A:$A,Merchant!$B:$B,$G$2),)</f>
        <v/>
      </c>
      <c r="D826" s="14" t="str">
        <f t="shared" si="2"/>
        <v/>
      </c>
      <c r="E826" s="14" t="str">
        <f t="shared" si="3"/>
        <v/>
      </c>
      <c r="F826" s="7" t="str">
        <f>IF($A826&lt;&gt;"",MAXIFS(Token!$C:$C,Token!$A:$A,$D826),)</f>
        <v/>
      </c>
    </row>
    <row r="827">
      <c r="A827" s="39" t="str">
        <f>IF(AND($L827*1&gt;=$G$3,$L827*1&lt;=$G$4,$I827*$J827&gt;0,OR($I827&lt;&gt;$I828,$L827-$L828&gt;25),IF(ABS($I827)&gt;10,$I827/POW(10,$J827),$J827/POW(10,$I827))*MAXIFS(Token!$C:$C,Token!$A:$A,$K827)&gt;0.01),$L827/86400+DATE(1970,1,1)+$G$6,)</f>
        <v/>
      </c>
      <c r="B827" s="27" t="str">
        <f t="shared" si="1"/>
        <v/>
      </c>
      <c r="C827" s="14" t="str">
        <f>IF($A827&lt;&gt;"",MINIFS(Merchant!$A:$A,Merchant!$B:$B,$G$2),)</f>
        <v/>
      </c>
      <c r="D827" s="14" t="str">
        <f t="shared" si="2"/>
        <v/>
      </c>
      <c r="E827" s="14" t="str">
        <f t="shared" si="3"/>
        <v/>
      </c>
      <c r="F827" s="7" t="str">
        <f>IF($A827&lt;&gt;"",MAXIFS(Token!$C:$C,Token!$A:$A,$D827),)</f>
        <v/>
      </c>
    </row>
    <row r="828">
      <c r="A828" s="39" t="str">
        <f>IF(AND($L828*1&gt;=$G$3,$L828*1&lt;=$G$4,$I828*$J828&gt;0,OR($I828&lt;&gt;$I829,$L828-$L829&gt;25),IF(ABS($I828)&gt;10,$I828/POW(10,$J828),$J828/POW(10,$I828))*MAXIFS(Token!$C:$C,Token!$A:$A,$K828)&gt;0.01),$L828/86400+DATE(1970,1,1)+$G$6,)</f>
        <v/>
      </c>
      <c r="B828" s="27" t="str">
        <f t="shared" si="1"/>
        <v/>
      </c>
      <c r="C828" s="14" t="str">
        <f>IF($A828&lt;&gt;"",MINIFS(Merchant!$A:$A,Merchant!$B:$B,$G$2),)</f>
        <v/>
      </c>
      <c r="D828" s="14" t="str">
        <f t="shared" si="2"/>
        <v/>
      </c>
      <c r="E828" s="14" t="str">
        <f t="shared" si="3"/>
        <v/>
      </c>
      <c r="F828" s="7" t="str">
        <f>IF($A828&lt;&gt;"",MAXIFS(Token!$C:$C,Token!$A:$A,$D828),)</f>
        <v/>
      </c>
    </row>
    <row r="829">
      <c r="A829" s="39" t="str">
        <f>IF(AND($L829*1&gt;=$G$3,$L829*1&lt;=$G$4,$I829*$J829&gt;0,OR($I829&lt;&gt;$I830,$L829-$L830&gt;25),IF(ABS($I829)&gt;10,$I829/POW(10,$J829),$J829/POW(10,$I829))*MAXIFS(Token!$C:$C,Token!$A:$A,$K829)&gt;0.01),$L829/86400+DATE(1970,1,1)+$G$6,)</f>
        <v/>
      </c>
      <c r="B829" s="27" t="str">
        <f t="shared" si="1"/>
        <v/>
      </c>
      <c r="C829" s="14" t="str">
        <f>IF($A829&lt;&gt;"",MINIFS(Merchant!$A:$A,Merchant!$B:$B,$G$2),)</f>
        <v/>
      </c>
      <c r="D829" s="14" t="str">
        <f t="shared" si="2"/>
        <v/>
      </c>
      <c r="E829" s="14" t="str">
        <f t="shared" si="3"/>
        <v/>
      </c>
      <c r="F829" s="7" t="str">
        <f>IF($A829&lt;&gt;"",MAXIFS(Token!$C:$C,Token!$A:$A,$D829),)</f>
        <v/>
      </c>
    </row>
    <row r="830">
      <c r="A830" s="39" t="str">
        <f>IF(AND($L830*1&gt;=$G$3,$L830*1&lt;=$G$4,$I830*$J830&gt;0,OR($I830&lt;&gt;$I831,$L830-$L831&gt;25),IF(ABS($I830)&gt;10,$I830/POW(10,$J830),$J830/POW(10,$I830))*MAXIFS(Token!$C:$C,Token!$A:$A,$K830)&gt;0.01),$L830/86400+DATE(1970,1,1)+$G$6,)</f>
        <v/>
      </c>
      <c r="B830" s="27" t="str">
        <f t="shared" si="1"/>
        <v/>
      </c>
      <c r="C830" s="14" t="str">
        <f>IF($A830&lt;&gt;"",MINIFS(Merchant!$A:$A,Merchant!$B:$B,$G$2),)</f>
        <v/>
      </c>
      <c r="D830" s="14" t="str">
        <f t="shared" si="2"/>
        <v/>
      </c>
      <c r="E830" s="14" t="str">
        <f t="shared" si="3"/>
        <v/>
      </c>
      <c r="F830" s="7" t="str">
        <f>IF($A830&lt;&gt;"",MAXIFS(Token!$C:$C,Token!$A:$A,$D830),)</f>
        <v/>
      </c>
    </row>
    <row r="831">
      <c r="A831" s="39" t="str">
        <f>IF(AND($L831*1&gt;=$G$3,$L831*1&lt;=$G$4,$I831*$J831&gt;0,OR($I831&lt;&gt;$I832,$L831-$L832&gt;25),IF(ABS($I831)&gt;10,$I831/POW(10,$J831),$J831/POW(10,$I831))*MAXIFS(Token!$C:$C,Token!$A:$A,$K831)&gt;0.01),$L831/86400+DATE(1970,1,1)+$G$6,)</f>
        <v/>
      </c>
      <c r="B831" s="27" t="str">
        <f t="shared" si="1"/>
        <v/>
      </c>
      <c r="C831" s="14" t="str">
        <f>IF($A831&lt;&gt;"",MINIFS(Merchant!$A:$A,Merchant!$B:$B,$G$2),)</f>
        <v/>
      </c>
      <c r="D831" s="14" t="str">
        <f t="shared" si="2"/>
        <v/>
      </c>
      <c r="E831" s="14" t="str">
        <f t="shared" si="3"/>
        <v/>
      </c>
      <c r="F831" s="7" t="str">
        <f>IF($A831&lt;&gt;"",MAXIFS(Token!$C:$C,Token!$A:$A,$D831),)</f>
        <v/>
      </c>
    </row>
    <row r="832">
      <c r="A832" s="39" t="str">
        <f>IF(AND($L832*1&gt;=$G$3,$L832*1&lt;=$G$4,$I832*$J832&gt;0,OR($I832&lt;&gt;$I833,$L832-$L833&gt;25),IF(ABS($I832)&gt;10,$I832/POW(10,$J832),$J832/POW(10,$I832))*MAXIFS(Token!$C:$C,Token!$A:$A,$K832)&gt;0.01),$L832/86400+DATE(1970,1,1)+$G$6,)</f>
        <v/>
      </c>
      <c r="B832" s="27" t="str">
        <f t="shared" si="1"/>
        <v/>
      </c>
      <c r="C832" s="14" t="str">
        <f>IF($A832&lt;&gt;"",MINIFS(Merchant!$A:$A,Merchant!$B:$B,$G$2),)</f>
        <v/>
      </c>
      <c r="D832" s="14" t="str">
        <f t="shared" si="2"/>
        <v/>
      </c>
      <c r="E832" s="14" t="str">
        <f t="shared" si="3"/>
        <v/>
      </c>
      <c r="F832" s="7" t="str">
        <f>IF($A832&lt;&gt;"",MAXIFS(Token!$C:$C,Token!$A:$A,$D832),)</f>
        <v/>
      </c>
    </row>
    <row r="833">
      <c r="A833" s="39" t="str">
        <f>IF(AND($L833*1&gt;=$G$3,$L833*1&lt;=$G$4,$I833*$J833&gt;0,OR($I833&lt;&gt;$I834,$L833-$L834&gt;25),IF(ABS($I833)&gt;10,$I833/POW(10,$J833),$J833/POW(10,$I833))*MAXIFS(Token!$C:$C,Token!$A:$A,$K833)&gt;0.01),$L833/86400+DATE(1970,1,1)+$G$6,)</f>
        <v/>
      </c>
      <c r="B833" s="27" t="str">
        <f t="shared" si="1"/>
        <v/>
      </c>
      <c r="C833" s="14" t="str">
        <f>IF($A833&lt;&gt;"",MINIFS(Merchant!$A:$A,Merchant!$B:$B,$G$2),)</f>
        <v/>
      </c>
      <c r="D833" s="14" t="str">
        <f t="shared" si="2"/>
        <v/>
      </c>
      <c r="E833" s="14" t="str">
        <f t="shared" si="3"/>
        <v/>
      </c>
      <c r="F833" s="7" t="str">
        <f>IF($A833&lt;&gt;"",MAXIFS(Token!$C:$C,Token!$A:$A,$D833),)</f>
        <v/>
      </c>
    </row>
    <row r="834">
      <c r="A834" s="39" t="str">
        <f>IF(AND($L834*1&gt;=$G$3,$L834*1&lt;=$G$4,$I834*$J834&gt;0,OR($I834&lt;&gt;$I835,$L834-$L835&gt;25),IF(ABS($I834)&gt;10,$I834/POW(10,$J834),$J834/POW(10,$I834))*MAXIFS(Token!$C:$C,Token!$A:$A,$K834)&gt;0.01),$L834/86400+DATE(1970,1,1)+$G$6,)</f>
        <v/>
      </c>
      <c r="B834" s="27" t="str">
        <f t="shared" si="1"/>
        <v/>
      </c>
      <c r="C834" s="14" t="str">
        <f>IF($A834&lt;&gt;"",MINIFS(Merchant!$A:$A,Merchant!$B:$B,$G$2),)</f>
        <v/>
      </c>
      <c r="D834" s="14" t="str">
        <f t="shared" si="2"/>
        <v/>
      </c>
      <c r="E834" s="14" t="str">
        <f t="shared" si="3"/>
        <v/>
      </c>
      <c r="F834" s="7" t="str">
        <f>IF($A834&lt;&gt;"",MAXIFS(Token!$C:$C,Token!$A:$A,$D834),)</f>
        <v/>
      </c>
    </row>
    <row r="835">
      <c r="A835" s="39" t="str">
        <f>IF(AND($L835*1&gt;=$G$3,$L835*1&lt;=$G$4,$I835*$J835&gt;0,OR($I835&lt;&gt;$I836,$L835-$L836&gt;25),IF(ABS($I835)&gt;10,$I835/POW(10,$J835),$J835/POW(10,$I835))*MAXIFS(Token!$C:$C,Token!$A:$A,$K835)&gt;0.01),$L835/86400+DATE(1970,1,1)+$G$6,)</f>
        <v/>
      </c>
      <c r="B835" s="27" t="str">
        <f t="shared" si="1"/>
        <v/>
      </c>
      <c r="C835" s="14" t="str">
        <f>IF($A835&lt;&gt;"",MINIFS(Merchant!$A:$A,Merchant!$B:$B,$G$2),)</f>
        <v/>
      </c>
      <c r="D835" s="14" t="str">
        <f t="shared" si="2"/>
        <v/>
      </c>
      <c r="E835" s="14" t="str">
        <f t="shared" si="3"/>
        <v/>
      </c>
      <c r="F835" s="7" t="str">
        <f>IF($A835&lt;&gt;"",MAXIFS(Token!$C:$C,Token!$A:$A,$D835),)</f>
        <v/>
      </c>
    </row>
    <row r="836">
      <c r="A836" s="39" t="str">
        <f>IF(AND($L836*1&gt;=$G$3,$L836*1&lt;=$G$4,$I836*$J836&gt;0,OR($I836&lt;&gt;$I837,$L836-$L837&gt;25),IF(ABS($I836)&gt;10,$I836/POW(10,$J836),$J836/POW(10,$I836))*MAXIFS(Token!$C:$C,Token!$A:$A,$K836)&gt;0.01),$L836/86400+DATE(1970,1,1)+$G$6,)</f>
        <v/>
      </c>
      <c r="B836" s="27" t="str">
        <f t="shared" si="1"/>
        <v/>
      </c>
      <c r="C836" s="14" t="str">
        <f>IF($A836&lt;&gt;"",MINIFS(Merchant!$A:$A,Merchant!$B:$B,$G$2),)</f>
        <v/>
      </c>
      <c r="D836" s="14" t="str">
        <f t="shared" si="2"/>
        <v/>
      </c>
      <c r="E836" s="14" t="str">
        <f t="shared" si="3"/>
        <v/>
      </c>
      <c r="F836" s="7" t="str">
        <f>IF($A836&lt;&gt;"",MAXIFS(Token!$C:$C,Token!$A:$A,$D836),)</f>
        <v/>
      </c>
    </row>
    <row r="837">
      <c r="A837" s="39" t="str">
        <f>IF(AND($L837*1&gt;=$G$3,$L837*1&lt;=$G$4,$I837*$J837&gt;0,OR($I837&lt;&gt;$I838,$L837-$L838&gt;25),IF(ABS($I837)&gt;10,$I837/POW(10,$J837),$J837/POW(10,$I837))*MAXIFS(Token!$C:$C,Token!$A:$A,$K837)&gt;0.01),$L837/86400+DATE(1970,1,1)+$G$6,)</f>
        <v/>
      </c>
      <c r="B837" s="27" t="str">
        <f t="shared" si="1"/>
        <v/>
      </c>
      <c r="C837" s="14" t="str">
        <f>IF($A837&lt;&gt;"",MINIFS(Merchant!$A:$A,Merchant!$B:$B,$G$2),)</f>
        <v/>
      </c>
      <c r="D837" s="14" t="str">
        <f t="shared" si="2"/>
        <v/>
      </c>
      <c r="E837" s="14" t="str">
        <f t="shared" si="3"/>
        <v/>
      </c>
      <c r="F837" s="7" t="str">
        <f>IF($A837&lt;&gt;"",MAXIFS(Token!$C:$C,Token!$A:$A,$D837),)</f>
        <v/>
      </c>
    </row>
    <row r="838">
      <c r="A838" s="39" t="str">
        <f>IF(AND($L838*1&gt;=$G$3,$L838*1&lt;=$G$4,$I838*$J838&gt;0,OR($I838&lt;&gt;$I839,$L838-$L839&gt;25),IF(ABS($I838)&gt;10,$I838/POW(10,$J838),$J838/POW(10,$I838))*MAXIFS(Token!$C:$C,Token!$A:$A,$K838)&gt;0.01),$L838/86400+DATE(1970,1,1)+$G$6,)</f>
        <v/>
      </c>
      <c r="B838" s="27" t="str">
        <f t="shared" si="1"/>
        <v/>
      </c>
      <c r="C838" s="14" t="str">
        <f>IF($A838&lt;&gt;"",MINIFS(Merchant!$A:$A,Merchant!$B:$B,$G$2),)</f>
        <v/>
      </c>
      <c r="D838" s="14" t="str">
        <f t="shared" si="2"/>
        <v/>
      </c>
      <c r="E838" s="14" t="str">
        <f t="shared" si="3"/>
        <v/>
      </c>
      <c r="F838" s="7" t="str">
        <f>IF($A838&lt;&gt;"",MAXIFS(Token!$C:$C,Token!$A:$A,$D838),)</f>
        <v/>
      </c>
    </row>
    <row r="839">
      <c r="A839" s="39" t="str">
        <f>IF(AND($L839*1&gt;=$G$3,$L839*1&lt;=$G$4,$I839*$J839&gt;0,OR($I839&lt;&gt;$I840,$L839-$L840&gt;25),IF(ABS($I839)&gt;10,$I839/POW(10,$J839),$J839/POW(10,$I839))*MAXIFS(Token!$C:$C,Token!$A:$A,$K839)&gt;0.01),$L839/86400+DATE(1970,1,1)+$G$6,)</f>
        <v/>
      </c>
      <c r="B839" s="27" t="str">
        <f t="shared" si="1"/>
        <v/>
      </c>
      <c r="C839" s="14" t="str">
        <f>IF($A839&lt;&gt;"",MINIFS(Merchant!$A:$A,Merchant!$B:$B,$G$2),)</f>
        <v/>
      </c>
      <c r="D839" s="14" t="str">
        <f t="shared" si="2"/>
        <v/>
      </c>
      <c r="E839" s="14" t="str">
        <f t="shared" si="3"/>
        <v/>
      </c>
      <c r="F839" s="7" t="str">
        <f>IF($A839&lt;&gt;"",MAXIFS(Token!$C:$C,Token!$A:$A,$D839),)</f>
        <v/>
      </c>
    </row>
    <row r="840">
      <c r="A840" s="39" t="str">
        <f>IF(AND($L840*1&gt;=$G$3,$L840*1&lt;=$G$4,$I840*$J840&gt;0,OR($I840&lt;&gt;$I841,$L840-$L841&gt;25),IF(ABS($I840)&gt;10,$I840/POW(10,$J840),$J840/POW(10,$I840))*MAXIFS(Token!$C:$C,Token!$A:$A,$K840)&gt;0.01),$L840/86400+DATE(1970,1,1)+$G$6,)</f>
        <v/>
      </c>
      <c r="B840" s="27" t="str">
        <f t="shared" si="1"/>
        <v/>
      </c>
      <c r="C840" s="14" t="str">
        <f>IF($A840&lt;&gt;"",MINIFS(Merchant!$A:$A,Merchant!$B:$B,$G$2),)</f>
        <v/>
      </c>
      <c r="D840" s="14" t="str">
        <f t="shared" si="2"/>
        <v/>
      </c>
      <c r="E840" s="14" t="str">
        <f t="shared" si="3"/>
        <v/>
      </c>
      <c r="F840" s="7" t="str">
        <f>IF($A840&lt;&gt;"",MAXIFS(Token!$C:$C,Token!$A:$A,$D840),)</f>
        <v/>
      </c>
    </row>
    <row r="841">
      <c r="A841" s="39" t="str">
        <f>IF(AND($L841*1&gt;=$G$3,$L841*1&lt;=$G$4,$I841*$J841&gt;0,OR($I841&lt;&gt;$I842,$L841-$L842&gt;25),IF(ABS($I841)&gt;10,$I841/POW(10,$J841),$J841/POW(10,$I841))*MAXIFS(Token!$C:$C,Token!$A:$A,$K841)&gt;0.01),$L841/86400+DATE(1970,1,1)+$G$6,)</f>
        <v/>
      </c>
      <c r="B841" s="27" t="str">
        <f t="shared" si="1"/>
        <v/>
      </c>
      <c r="C841" s="14" t="str">
        <f>IF($A841&lt;&gt;"",MINIFS(Merchant!$A:$A,Merchant!$B:$B,$G$2),)</f>
        <v/>
      </c>
      <c r="D841" s="14" t="str">
        <f t="shared" si="2"/>
        <v/>
      </c>
      <c r="E841" s="14" t="str">
        <f t="shared" si="3"/>
        <v/>
      </c>
      <c r="F841" s="7" t="str">
        <f>IF($A841&lt;&gt;"",MAXIFS(Token!$C:$C,Token!$A:$A,$D841),)</f>
        <v/>
      </c>
    </row>
    <row r="842">
      <c r="A842" s="39" t="str">
        <f>IF(AND($L842*1&gt;=$G$3,$L842*1&lt;=$G$4,$I842*$J842&gt;0,OR($I842&lt;&gt;$I843,$L842-$L843&gt;25),IF(ABS($I842)&gt;10,$I842/POW(10,$J842),$J842/POW(10,$I842))*MAXIFS(Token!$C:$C,Token!$A:$A,$K842)&gt;0.01),$L842/86400+DATE(1970,1,1)+$G$6,)</f>
        <v/>
      </c>
      <c r="B842" s="27" t="str">
        <f t="shared" si="1"/>
        <v/>
      </c>
      <c r="C842" s="14" t="str">
        <f>IF($A842&lt;&gt;"",MINIFS(Merchant!$A:$A,Merchant!$B:$B,$G$2),)</f>
        <v/>
      </c>
      <c r="D842" s="14" t="str">
        <f t="shared" si="2"/>
        <v/>
      </c>
      <c r="E842" s="14" t="str">
        <f t="shared" si="3"/>
        <v/>
      </c>
      <c r="F842" s="7" t="str">
        <f>IF($A842&lt;&gt;"",MAXIFS(Token!$C:$C,Token!$A:$A,$D842),)</f>
        <v/>
      </c>
    </row>
    <row r="843">
      <c r="A843" s="39" t="str">
        <f>IF(AND($L843*1&gt;=$G$3,$L843*1&lt;=$G$4,$I843*$J843&gt;0,OR($I843&lt;&gt;$I844,$L843-$L844&gt;25),IF(ABS($I843)&gt;10,$I843/POW(10,$J843),$J843/POW(10,$I843))*MAXIFS(Token!$C:$C,Token!$A:$A,$K843)&gt;0.01),$L843/86400+DATE(1970,1,1)+$G$6,)</f>
        <v/>
      </c>
      <c r="B843" s="27" t="str">
        <f t="shared" si="1"/>
        <v/>
      </c>
      <c r="C843" s="14" t="str">
        <f>IF($A843&lt;&gt;"",MINIFS(Merchant!$A:$A,Merchant!$B:$B,$G$2),)</f>
        <v/>
      </c>
      <c r="D843" s="14" t="str">
        <f t="shared" si="2"/>
        <v/>
      </c>
      <c r="E843" s="14" t="str">
        <f t="shared" si="3"/>
        <v/>
      </c>
      <c r="F843" s="7" t="str">
        <f>IF($A843&lt;&gt;"",MAXIFS(Token!$C:$C,Token!$A:$A,$D843),)</f>
        <v/>
      </c>
    </row>
    <row r="844">
      <c r="A844" s="39" t="str">
        <f>IF(AND($L844*1&gt;=$G$3,$L844*1&lt;=$G$4,$I844*$J844&gt;0,OR($I844&lt;&gt;$I845,$L844-$L845&gt;25),IF(ABS($I844)&gt;10,$I844/POW(10,$J844),$J844/POW(10,$I844))*MAXIFS(Token!$C:$C,Token!$A:$A,$K844)&gt;0.01),$L844/86400+DATE(1970,1,1)+$G$6,)</f>
        <v/>
      </c>
      <c r="B844" s="27" t="str">
        <f t="shared" si="1"/>
        <v/>
      </c>
      <c r="C844" s="14" t="str">
        <f>IF($A844&lt;&gt;"",MINIFS(Merchant!$A:$A,Merchant!$B:$B,$G$2),)</f>
        <v/>
      </c>
      <c r="D844" s="14" t="str">
        <f t="shared" si="2"/>
        <v/>
      </c>
      <c r="E844" s="14" t="str">
        <f t="shared" si="3"/>
        <v/>
      </c>
      <c r="F844" s="7" t="str">
        <f>IF($A844&lt;&gt;"",MAXIFS(Token!$C:$C,Token!$A:$A,$D844),)</f>
        <v/>
      </c>
    </row>
    <row r="845">
      <c r="A845" s="39" t="str">
        <f>IF(AND($L845*1&gt;=$G$3,$L845*1&lt;=$G$4,$I845*$J845&gt;0,OR($I845&lt;&gt;$I846,$L845-$L846&gt;25),IF(ABS($I845)&gt;10,$I845/POW(10,$J845),$J845/POW(10,$I845))*MAXIFS(Token!$C:$C,Token!$A:$A,$K845)&gt;0.01),$L845/86400+DATE(1970,1,1)+$G$6,)</f>
        <v/>
      </c>
      <c r="B845" s="27" t="str">
        <f t="shared" si="1"/>
        <v/>
      </c>
      <c r="C845" s="14" t="str">
        <f>IF($A845&lt;&gt;"",MINIFS(Merchant!$A:$A,Merchant!$B:$B,$G$2),)</f>
        <v/>
      </c>
      <c r="D845" s="14" t="str">
        <f t="shared" si="2"/>
        <v/>
      </c>
      <c r="E845" s="14" t="str">
        <f t="shared" si="3"/>
        <v/>
      </c>
      <c r="F845" s="7" t="str">
        <f>IF($A845&lt;&gt;"",MAXIFS(Token!$C:$C,Token!$A:$A,$D845),)</f>
        <v/>
      </c>
    </row>
    <row r="846">
      <c r="A846" s="39" t="str">
        <f>IF(AND($L846*1&gt;=$G$3,$L846*1&lt;=$G$4,$I846*$J846&gt;0,OR($I846&lt;&gt;$I847,$L846-$L847&gt;25),IF(ABS($I846)&gt;10,$I846/POW(10,$J846),$J846/POW(10,$I846))*MAXIFS(Token!$C:$C,Token!$A:$A,$K846)&gt;0.01),$L846/86400+DATE(1970,1,1)+$G$6,)</f>
        <v/>
      </c>
      <c r="B846" s="27" t="str">
        <f t="shared" si="1"/>
        <v/>
      </c>
      <c r="C846" s="14" t="str">
        <f>IF($A846&lt;&gt;"",MINIFS(Merchant!$A:$A,Merchant!$B:$B,$G$2),)</f>
        <v/>
      </c>
      <c r="D846" s="14" t="str">
        <f t="shared" si="2"/>
        <v/>
      </c>
      <c r="E846" s="14" t="str">
        <f t="shared" si="3"/>
        <v/>
      </c>
      <c r="F846" s="7" t="str">
        <f>IF($A846&lt;&gt;"",MAXIFS(Token!$C:$C,Token!$A:$A,$D846),)</f>
        <v/>
      </c>
    </row>
    <row r="847">
      <c r="A847" s="39" t="str">
        <f>IF(AND($L847*1&gt;=$G$3,$L847*1&lt;=$G$4,$I847*$J847&gt;0,OR($I847&lt;&gt;$I848,$L847-$L848&gt;25),IF(ABS($I847)&gt;10,$I847/POW(10,$J847),$J847/POW(10,$I847))*MAXIFS(Token!$C:$C,Token!$A:$A,$K847)&gt;0.01),$L847/86400+DATE(1970,1,1)+$G$6,)</f>
        <v/>
      </c>
      <c r="B847" s="27" t="str">
        <f t="shared" si="1"/>
        <v/>
      </c>
      <c r="C847" s="14" t="str">
        <f>IF($A847&lt;&gt;"",MINIFS(Merchant!$A:$A,Merchant!$B:$B,$G$2),)</f>
        <v/>
      </c>
      <c r="D847" s="14" t="str">
        <f t="shared" si="2"/>
        <v/>
      </c>
      <c r="E847" s="14" t="str">
        <f t="shared" si="3"/>
        <v/>
      </c>
      <c r="F847" s="7" t="str">
        <f>IF($A847&lt;&gt;"",MAXIFS(Token!$C:$C,Token!$A:$A,$D847),)</f>
        <v/>
      </c>
    </row>
    <row r="848">
      <c r="A848" s="39" t="str">
        <f>IF(AND($L848*1&gt;=$G$3,$L848*1&lt;=$G$4,$I848*$J848&gt;0,OR($I848&lt;&gt;$I849,$L848-$L849&gt;25),IF(ABS($I848)&gt;10,$I848/POW(10,$J848),$J848/POW(10,$I848))*MAXIFS(Token!$C:$C,Token!$A:$A,$K848)&gt;0.01),$L848/86400+DATE(1970,1,1)+$G$6,)</f>
        <v/>
      </c>
      <c r="B848" s="27" t="str">
        <f t="shared" si="1"/>
        <v/>
      </c>
      <c r="C848" s="14" t="str">
        <f>IF($A848&lt;&gt;"",MINIFS(Merchant!$A:$A,Merchant!$B:$B,$G$2),)</f>
        <v/>
      </c>
      <c r="D848" s="14" t="str">
        <f t="shared" si="2"/>
        <v/>
      </c>
      <c r="E848" s="14" t="str">
        <f t="shared" si="3"/>
        <v/>
      </c>
      <c r="F848" s="7" t="str">
        <f>IF($A848&lt;&gt;"",MAXIFS(Token!$C:$C,Token!$A:$A,$D848),)</f>
        <v/>
      </c>
    </row>
    <row r="849">
      <c r="A849" s="39" t="str">
        <f>IF(AND($L849*1&gt;=$G$3,$L849*1&lt;=$G$4,$I849*$J849&gt;0,OR($I849&lt;&gt;$I850,$L849-$L850&gt;25),IF(ABS($I849)&gt;10,$I849/POW(10,$J849),$J849/POW(10,$I849))*MAXIFS(Token!$C:$C,Token!$A:$A,$K849)&gt;0.01),$L849/86400+DATE(1970,1,1)+$G$6,)</f>
        <v/>
      </c>
      <c r="B849" s="27" t="str">
        <f t="shared" si="1"/>
        <v/>
      </c>
      <c r="C849" s="14" t="str">
        <f>IF($A849&lt;&gt;"",MINIFS(Merchant!$A:$A,Merchant!$B:$B,$G$2),)</f>
        <v/>
      </c>
      <c r="D849" s="14" t="str">
        <f t="shared" si="2"/>
        <v/>
      </c>
      <c r="E849" s="14" t="str">
        <f t="shared" si="3"/>
        <v/>
      </c>
      <c r="F849" s="7" t="str">
        <f>IF($A849&lt;&gt;"",MAXIFS(Token!$C:$C,Token!$A:$A,$D849),)</f>
        <v/>
      </c>
    </row>
    <row r="850">
      <c r="A850" s="39" t="str">
        <f>IF(AND($L850*1&gt;=$G$3,$L850*1&lt;=$G$4,$I850*$J850&gt;0,OR($I850&lt;&gt;$I851,$L850-$L851&gt;25),IF(ABS($I850)&gt;10,$I850/POW(10,$J850),$J850/POW(10,$I850))*MAXIFS(Token!$C:$C,Token!$A:$A,$K850)&gt;0.01),$L850/86400+DATE(1970,1,1)+$G$6,)</f>
        <v/>
      </c>
      <c r="B850" s="27" t="str">
        <f t="shared" si="1"/>
        <v/>
      </c>
      <c r="C850" s="14" t="str">
        <f>IF($A850&lt;&gt;"",MINIFS(Merchant!$A:$A,Merchant!$B:$B,$G$2),)</f>
        <v/>
      </c>
      <c r="D850" s="14" t="str">
        <f t="shared" si="2"/>
        <v/>
      </c>
      <c r="E850" s="14" t="str">
        <f t="shared" si="3"/>
        <v/>
      </c>
      <c r="F850" s="7" t="str">
        <f>IF($A850&lt;&gt;"",MAXIFS(Token!$C:$C,Token!$A:$A,$D850),)</f>
        <v/>
      </c>
    </row>
    <row r="851">
      <c r="A851" s="39" t="str">
        <f>IF(AND($L851*1&gt;=$G$3,$L851*1&lt;=$G$4,$I851*$J851&gt;0,OR($I851&lt;&gt;$I852,$L851-$L852&gt;25),IF(ABS($I851)&gt;10,$I851/POW(10,$J851),$J851/POW(10,$I851))*MAXIFS(Token!$C:$C,Token!$A:$A,$K851)&gt;0.01),$L851/86400+DATE(1970,1,1)+$G$6,)</f>
        <v/>
      </c>
      <c r="B851" s="27" t="str">
        <f t="shared" si="1"/>
        <v/>
      </c>
      <c r="C851" s="14" t="str">
        <f>IF($A851&lt;&gt;"",MINIFS(Merchant!$A:$A,Merchant!$B:$B,$G$2),)</f>
        <v/>
      </c>
      <c r="D851" s="14" t="str">
        <f t="shared" si="2"/>
        <v/>
      </c>
      <c r="E851" s="14" t="str">
        <f t="shared" si="3"/>
        <v/>
      </c>
      <c r="F851" s="7" t="str">
        <f>IF($A851&lt;&gt;"",MAXIFS(Token!$C:$C,Token!$A:$A,$D851),)</f>
        <v/>
      </c>
    </row>
    <row r="852">
      <c r="A852" s="39" t="str">
        <f>IF(AND($L852*1&gt;=$G$3,$L852*1&lt;=$G$4,$I852*$J852&gt;0,OR($I852&lt;&gt;$I853,$L852-$L853&gt;25),IF(ABS($I852)&gt;10,$I852/POW(10,$J852),$J852/POW(10,$I852))*MAXIFS(Token!$C:$C,Token!$A:$A,$K852)&gt;0.01),$L852/86400+DATE(1970,1,1)+$G$6,)</f>
        <v/>
      </c>
      <c r="B852" s="27" t="str">
        <f t="shared" si="1"/>
        <v/>
      </c>
      <c r="C852" s="14" t="str">
        <f>IF($A852&lt;&gt;"",MINIFS(Merchant!$A:$A,Merchant!$B:$B,$G$2),)</f>
        <v/>
      </c>
      <c r="D852" s="14" t="str">
        <f t="shared" si="2"/>
        <v/>
      </c>
      <c r="E852" s="14" t="str">
        <f t="shared" si="3"/>
        <v/>
      </c>
      <c r="F852" s="7" t="str">
        <f>IF($A852&lt;&gt;"",MAXIFS(Token!$C:$C,Token!$A:$A,$D852),)</f>
        <v/>
      </c>
    </row>
    <row r="853">
      <c r="A853" s="39" t="str">
        <f>IF(AND($L853*1&gt;=$G$3,$L853*1&lt;=$G$4,$I853*$J853&gt;0,OR($I853&lt;&gt;$I854,$L853-$L854&gt;25),IF(ABS($I853)&gt;10,$I853/POW(10,$J853),$J853/POW(10,$I853))*MAXIFS(Token!$C:$C,Token!$A:$A,$K853)&gt;0.01),$L853/86400+DATE(1970,1,1)+$G$6,)</f>
        <v/>
      </c>
      <c r="B853" s="27" t="str">
        <f t="shared" si="1"/>
        <v/>
      </c>
      <c r="C853" s="14" t="str">
        <f>IF($A853&lt;&gt;"",MINIFS(Merchant!$A:$A,Merchant!$B:$B,$G$2),)</f>
        <v/>
      </c>
      <c r="D853" s="14" t="str">
        <f t="shared" si="2"/>
        <v/>
      </c>
      <c r="E853" s="14" t="str">
        <f t="shared" si="3"/>
        <v/>
      </c>
      <c r="F853" s="7" t="str">
        <f>IF($A853&lt;&gt;"",MAXIFS(Token!$C:$C,Token!$A:$A,$D853),)</f>
        <v/>
      </c>
    </row>
    <row r="854">
      <c r="A854" s="39" t="str">
        <f>IF(AND($L854*1&gt;=$G$3,$L854*1&lt;=$G$4,$I854*$J854&gt;0,OR($I854&lt;&gt;$I855,$L854-$L855&gt;25),IF(ABS($I854)&gt;10,$I854/POW(10,$J854),$J854/POW(10,$I854))*MAXIFS(Token!$C:$C,Token!$A:$A,$K854)&gt;0.01),$L854/86400+DATE(1970,1,1)+$G$6,)</f>
        <v/>
      </c>
      <c r="B854" s="27" t="str">
        <f t="shared" si="1"/>
        <v/>
      </c>
      <c r="C854" s="14" t="str">
        <f>IF($A854&lt;&gt;"",MINIFS(Merchant!$A:$A,Merchant!$B:$B,$G$2),)</f>
        <v/>
      </c>
      <c r="D854" s="14" t="str">
        <f t="shared" si="2"/>
        <v/>
      </c>
      <c r="E854" s="14" t="str">
        <f t="shared" si="3"/>
        <v/>
      </c>
      <c r="F854" s="7" t="str">
        <f>IF($A854&lt;&gt;"",MAXIFS(Token!$C:$C,Token!$A:$A,$D854),)</f>
        <v/>
      </c>
    </row>
    <row r="855">
      <c r="A855" s="39" t="str">
        <f>IF(AND($L855*1&gt;=$G$3,$L855*1&lt;=$G$4,$I855*$J855&gt;0,OR($I855&lt;&gt;$I856,$L855-$L856&gt;25),IF(ABS($I855)&gt;10,$I855/POW(10,$J855),$J855/POW(10,$I855))*MAXIFS(Token!$C:$C,Token!$A:$A,$K855)&gt;0.01),$L855/86400+DATE(1970,1,1)+$G$6,)</f>
        <v/>
      </c>
      <c r="B855" s="27" t="str">
        <f t="shared" si="1"/>
        <v/>
      </c>
      <c r="C855" s="14" t="str">
        <f>IF($A855&lt;&gt;"",MINIFS(Merchant!$A:$A,Merchant!$B:$B,$G$2),)</f>
        <v/>
      </c>
      <c r="D855" s="14" t="str">
        <f t="shared" si="2"/>
        <v/>
      </c>
      <c r="E855" s="14" t="str">
        <f t="shared" si="3"/>
        <v/>
      </c>
      <c r="F855" s="7" t="str">
        <f>IF($A855&lt;&gt;"",MAXIFS(Token!$C:$C,Token!$A:$A,$D855),)</f>
        <v/>
      </c>
    </row>
    <row r="856">
      <c r="A856" s="39" t="str">
        <f>IF(AND($L856*1&gt;=$G$3,$L856*1&lt;=$G$4,$I856*$J856&gt;0,OR($I856&lt;&gt;$I857,$L856-$L857&gt;25),IF(ABS($I856)&gt;10,$I856/POW(10,$J856),$J856/POW(10,$I856))*MAXIFS(Token!$C:$C,Token!$A:$A,$K856)&gt;0.01),$L856/86400+DATE(1970,1,1)+$G$6,)</f>
        <v/>
      </c>
      <c r="B856" s="27" t="str">
        <f t="shared" si="1"/>
        <v/>
      </c>
      <c r="C856" s="14" t="str">
        <f>IF($A856&lt;&gt;"",MINIFS(Merchant!$A:$A,Merchant!$B:$B,$G$2),)</f>
        <v/>
      </c>
      <c r="D856" s="14" t="str">
        <f t="shared" si="2"/>
        <v/>
      </c>
      <c r="E856" s="14" t="str">
        <f t="shared" si="3"/>
        <v/>
      </c>
      <c r="F856" s="7" t="str">
        <f>IF($A856&lt;&gt;"",MAXIFS(Token!$C:$C,Token!$A:$A,$D856),)</f>
        <v/>
      </c>
    </row>
    <row r="857">
      <c r="A857" s="39" t="str">
        <f>IF(AND($L857*1&gt;=$G$3,$L857*1&lt;=$G$4,$I857*$J857&gt;0,OR($I857&lt;&gt;$I858,$L857-$L858&gt;25),IF(ABS($I857)&gt;10,$I857/POW(10,$J857),$J857/POW(10,$I857))*MAXIFS(Token!$C:$C,Token!$A:$A,$K857)&gt;0.01),$L857/86400+DATE(1970,1,1)+$G$6,)</f>
        <v/>
      </c>
      <c r="B857" s="27" t="str">
        <f t="shared" si="1"/>
        <v/>
      </c>
      <c r="C857" s="14" t="str">
        <f>IF($A857&lt;&gt;"",MINIFS(Merchant!$A:$A,Merchant!$B:$B,$G$2),)</f>
        <v/>
      </c>
      <c r="D857" s="14" t="str">
        <f t="shared" si="2"/>
        <v/>
      </c>
      <c r="E857" s="14" t="str">
        <f t="shared" si="3"/>
        <v/>
      </c>
      <c r="F857" s="7" t="str">
        <f>IF($A857&lt;&gt;"",MAXIFS(Token!$C:$C,Token!$A:$A,$D857),)</f>
        <v/>
      </c>
    </row>
    <row r="858">
      <c r="A858" s="39" t="str">
        <f>IF(AND($L858*1&gt;=$G$3,$L858*1&lt;=$G$4,$I858*$J858&gt;0,OR($I858&lt;&gt;$I859,$L858-$L859&gt;25),IF(ABS($I858)&gt;10,$I858/POW(10,$J858),$J858/POW(10,$I858))*MAXIFS(Token!$C:$C,Token!$A:$A,$K858)&gt;0.01),$L858/86400+DATE(1970,1,1)+$G$6,)</f>
        <v/>
      </c>
      <c r="B858" s="27" t="str">
        <f t="shared" si="1"/>
        <v/>
      </c>
      <c r="C858" s="14" t="str">
        <f>IF($A858&lt;&gt;"",MINIFS(Merchant!$A:$A,Merchant!$B:$B,$G$2),)</f>
        <v/>
      </c>
      <c r="D858" s="14" t="str">
        <f t="shared" si="2"/>
        <v/>
      </c>
      <c r="E858" s="14" t="str">
        <f t="shared" si="3"/>
        <v/>
      </c>
      <c r="F858" s="7" t="str">
        <f>IF($A858&lt;&gt;"",MAXIFS(Token!$C:$C,Token!$A:$A,$D858),)</f>
        <v/>
      </c>
    </row>
    <row r="859">
      <c r="A859" s="39" t="str">
        <f>IF(AND($L859*1&gt;=$G$3,$L859*1&lt;=$G$4,$I859*$J859&gt;0,OR($I859&lt;&gt;$I860,$L859-$L860&gt;25),IF(ABS($I859)&gt;10,$I859/POW(10,$J859),$J859/POW(10,$I859))*MAXIFS(Token!$C:$C,Token!$A:$A,$K859)&gt;0.01),$L859/86400+DATE(1970,1,1)+$G$6,)</f>
        <v/>
      </c>
      <c r="B859" s="27" t="str">
        <f t="shared" si="1"/>
        <v/>
      </c>
      <c r="C859" s="14" t="str">
        <f>IF($A859&lt;&gt;"",MINIFS(Merchant!$A:$A,Merchant!$B:$B,$G$2),)</f>
        <v/>
      </c>
      <c r="D859" s="14" t="str">
        <f t="shared" si="2"/>
        <v/>
      </c>
      <c r="E859" s="14" t="str">
        <f t="shared" si="3"/>
        <v/>
      </c>
      <c r="F859" s="7" t="str">
        <f>IF($A859&lt;&gt;"",MAXIFS(Token!$C:$C,Token!$A:$A,$D859),)</f>
        <v/>
      </c>
    </row>
    <row r="860">
      <c r="A860" s="39" t="str">
        <f>IF(AND($L860*1&gt;=$G$3,$L860*1&lt;=$G$4,$I860*$J860&gt;0,OR($I860&lt;&gt;$I861,$L860-$L861&gt;25),IF(ABS($I860)&gt;10,$I860/POW(10,$J860),$J860/POW(10,$I860))*MAXIFS(Token!$C:$C,Token!$A:$A,$K860)&gt;0.01),$L860/86400+DATE(1970,1,1)+$G$6,)</f>
        <v/>
      </c>
      <c r="B860" s="27" t="str">
        <f t="shared" si="1"/>
        <v/>
      </c>
      <c r="C860" s="14" t="str">
        <f>IF($A860&lt;&gt;"",MINIFS(Merchant!$A:$A,Merchant!$B:$B,$G$2),)</f>
        <v/>
      </c>
      <c r="D860" s="14" t="str">
        <f t="shared" si="2"/>
        <v/>
      </c>
      <c r="E860" s="14" t="str">
        <f t="shared" si="3"/>
        <v/>
      </c>
      <c r="F860" s="7" t="str">
        <f>IF($A860&lt;&gt;"",MAXIFS(Token!$C:$C,Token!$A:$A,$D860),)</f>
        <v/>
      </c>
    </row>
    <row r="861">
      <c r="A861" s="39" t="str">
        <f>IF(AND($L861*1&gt;=$G$3,$L861*1&lt;=$G$4,$I861*$J861&gt;0,OR($I861&lt;&gt;$I862,$L861-$L862&gt;25),IF(ABS($I861)&gt;10,$I861/POW(10,$J861),$J861/POW(10,$I861))*MAXIFS(Token!$C:$C,Token!$A:$A,$K861)&gt;0.01),$L861/86400+DATE(1970,1,1)+$G$6,)</f>
        <v/>
      </c>
      <c r="B861" s="27" t="str">
        <f t="shared" si="1"/>
        <v/>
      </c>
      <c r="C861" s="14" t="str">
        <f>IF($A861&lt;&gt;"",MINIFS(Merchant!$A:$A,Merchant!$B:$B,$G$2),)</f>
        <v/>
      </c>
      <c r="D861" s="14" t="str">
        <f t="shared" si="2"/>
        <v/>
      </c>
      <c r="E861" s="14" t="str">
        <f t="shared" si="3"/>
        <v/>
      </c>
      <c r="F861" s="7" t="str">
        <f>IF($A861&lt;&gt;"",MAXIFS(Token!$C:$C,Token!$A:$A,$D861),)</f>
        <v/>
      </c>
    </row>
    <row r="862">
      <c r="A862" s="39" t="str">
        <f>IF(AND($L862*1&gt;=$G$3,$L862*1&lt;=$G$4,$I862*$J862&gt;0,OR($I862&lt;&gt;$I863,$L862-$L863&gt;25),IF(ABS($I862)&gt;10,$I862/POW(10,$J862),$J862/POW(10,$I862))*MAXIFS(Token!$C:$C,Token!$A:$A,$K862)&gt;0.01),$L862/86400+DATE(1970,1,1)+$G$6,)</f>
        <v/>
      </c>
      <c r="B862" s="27" t="str">
        <f t="shared" si="1"/>
        <v/>
      </c>
      <c r="C862" s="14" t="str">
        <f>IF($A862&lt;&gt;"",MINIFS(Merchant!$A:$A,Merchant!$B:$B,$G$2),)</f>
        <v/>
      </c>
      <c r="D862" s="14" t="str">
        <f t="shared" si="2"/>
        <v/>
      </c>
      <c r="E862" s="14" t="str">
        <f t="shared" si="3"/>
        <v/>
      </c>
      <c r="F862" s="7" t="str">
        <f>IF($A862&lt;&gt;"",MAXIFS(Token!$C:$C,Token!$A:$A,$D862),)</f>
        <v/>
      </c>
    </row>
    <row r="863">
      <c r="A863" s="39" t="str">
        <f>IF(AND($L863*1&gt;=$G$3,$L863*1&lt;=$G$4,$I863*$J863&gt;0,OR($I863&lt;&gt;$I864,$L863-$L864&gt;25),IF(ABS($I863)&gt;10,$I863/POW(10,$J863),$J863/POW(10,$I863))*MAXIFS(Token!$C:$C,Token!$A:$A,$K863)&gt;0.01),$L863/86400+DATE(1970,1,1)+$G$6,)</f>
        <v/>
      </c>
      <c r="B863" s="27" t="str">
        <f t="shared" si="1"/>
        <v/>
      </c>
      <c r="C863" s="14" t="str">
        <f>IF($A863&lt;&gt;"",MINIFS(Merchant!$A:$A,Merchant!$B:$B,$G$2),)</f>
        <v/>
      </c>
      <c r="D863" s="14" t="str">
        <f t="shared" si="2"/>
        <v/>
      </c>
      <c r="E863" s="14" t="str">
        <f t="shared" si="3"/>
        <v/>
      </c>
      <c r="F863" s="7" t="str">
        <f>IF($A863&lt;&gt;"",MAXIFS(Token!$C:$C,Token!$A:$A,$D863),)</f>
        <v/>
      </c>
    </row>
    <row r="864">
      <c r="A864" s="39" t="str">
        <f>IF(AND($L864*1&gt;=$G$3,$L864*1&lt;=$G$4,$I864*$J864&gt;0,OR($I864&lt;&gt;$I865,$L864-$L865&gt;25),IF(ABS($I864)&gt;10,$I864/POW(10,$J864),$J864/POW(10,$I864))*MAXIFS(Token!$C:$C,Token!$A:$A,$K864)&gt;0.01),$L864/86400+DATE(1970,1,1)+$G$6,)</f>
        <v/>
      </c>
      <c r="B864" s="27" t="str">
        <f t="shared" si="1"/>
        <v/>
      </c>
      <c r="C864" s="14" t="str">
        <f>IF($A864&lt;&gt;"",MINIFS(Merchant!$A:$A,Merchant!$B:$B,$G$2),)</f>
        <v/>
      </c>
      <c r="D864" s="14" t="str">
        <f t="shared" si="2"/>
        <v/>
      </c>
      <c r="E864" s="14" t="str">
        <f t="shared" si="3"/>
        <v/>
      </c>
      <c r="F864" s="7" t="str">
        <f>IF($A864&lt;&gt;"",MAXIFS(Token!$C:$C,Token!$A:$A,$D864),)</f>
        <v/>
      </c>
    </row>
    <row r="865">
      <c r="A865" s="39" t="str">
        <f>IF(AND($L865*1&gt;=$G$3,$L865*1&lt;=$G$4,$I865*$J865&gt;0,OR($I865&lt;&gt;$I866,$L865-$L866&gt;25),IF(ABS($I865)&gt;10,$I865/POW(10,$J865),$J865/POW(10,$I865))*MAXIFS(Token!$C:$C,Token!$A:$A,$K865)&gt;0.01),$L865/86400+DATE(1970,1,1)+$G$6,)</f>
        <v/>
      </c>
      <c r="B865" s="27" t="str">
        <f t="shared" si="1"/>
        <v/>
      </c>
      <c r="C865" s="14" t="str">
        <f>IF($A865&lt;&gt;"",MINIFS(Merchant!$A:$A,Merchant!$B:$B,$G$2),)</f>
        <v/>
      </c>
      <c r="D865" s="14" t="str">
        <f t="shared" si="2"/>
        <v/>
      </c>
      <c r="E865" s="14" t="str">
        <f t="shared" si="3"/>
        <v/>
      </c>
      <c r="F865" s="7" t="str">
        <f>IF($A865&lt;&gt;"",MAXIFS(Token!$C:$C,Token!$A:$A,$D865),)</f>
        <v/>
      </c>
    </row>
    <row r="866">
      <c r="A866" s="39" t="str">
        <f>IF(AND($L866*1&gt;=$G$3,$L866*1&lt;=$G$4,$I866*$J866&gt;0,OR($I866&lt;&gt;$I867,$L866-$L867&gt;25),IF(ABS($I866)&gt;10,$I866/POW(10,$J866),$J866/POW(10,$I866))*MAXIFS(Token!$C:$C,Token!$A:$A,$K866)&gt;0.01),$L866/86400+DATE(1970,1,1)+$G$6,)</f>
        <v/>
      </c>
      <c r="B866" s="27" t="str">
        <f t="shared" si="1"/>
        <v/>
      </c>
      <c r="C866" s="14" t="str">
        <f>IF($A866&lt;&gt;"",MINIFS(Merchant!$A:$A,Merchant!$B:$B,$G$2),)</f>
        <v/>
      </c>
      <c r="D866" s="14" t="str">
        <f t="shared" si="2"/>
        <v/>
      </c>
      <c r="E866" s="14" t="str">
        <f t="shared" si="3"/>
        <v/>
      </c>
      <c r="F866" s="7" t="str">
        <f>IF($A866&lt;&gt;"",MAXIFS(Token!$C:$C,Token!$A:$A,$D866),)</f>
        <v/>
      </c>
    </row>
    <row r="867">
      <c r="A867" s="39" t="str">
        <f>IF(AND($L867*1&gt;=$G$3,$L867*1&lt;=$G$4,$I867*$J867&gt;0,OR($I867&lt;&gt;$I868,$L867-$L868&gt;25),IF(ABS($I867)&gt;10,$I867/POW(10,$J867),$J867/POW(10,$I867))*MAXIFS(Token!$C:$C,Token!$A:$A,$K867)&gt;0.01),$L867/86400+DATE(1970,1,1)+$G$6,)</f>
        <v/>
      </c>
      <c r="B867" s="27" t="str">
        <f t="shared" si="1"/>
        <v/>
      </c>
      <c r="C867" s="14" t="str">
        <f>IF($A867&lt;&gt;"",MINIFS(Merchant!$A:$A,Merchant!$B:$B,$G$2),)</f>
        <v/>
      </c>
      <c r="D867" s="14" t="str">
        <f t="shared" si="2"/>
        <v/>
      </c>
      <c r="E867" s="14" t="str">
        <f t="shared" si="3"/>
        <v/>
      </c>
      <c r="F867" s="7" t="str">
        <f>IF($A867&lt;&gt;"",MAXIFS(Token!$C:$C,Token!$A:$A,$D867),)</f>
        <v/>
      </c>
    </row>
    <row r="868">
      <c r="A868" s="39" t="str">
        <f>IF(AND($L868*1&gt;=$G$3,$L868*1&lt;=$G$4,$I868*$J868&gt;0,OR($I868&lt;&gt;$I869,$L868-$L869&gt;25),IF(ABS($I868)&gt;10,$I868/POW(10,$J868),$J868/POW(10,$I868))*MAXIFS(Token!$C:$C,Token!$A:$A,$K868)&gt;0.01),$L868/86400+DATE(1970,1,1)+$G$6,)</f>
        <v/>
      </c>
      <c r="B868" s="27" t="str">
        <f t="shared" si="1"/>
        <v/>
      </c>
      <c r="C868" s="14" t="str">
        <f>IF($A868&lt;&gt;"",MINIFS(Merchant!$A:$A,Merchant!$B:$B,$G$2),)</f>
        <v/>
      </c>
      <c r="D868" s="14" t="str">
        <f t="shared" si="2"/>
        <v/>
      </c>
      <c r="E868" s="14" t="str">
        <f t="shared" si="3"/>
        <v/>
      </c>
      <c r="F868" s="7" t="str">
        <f>IF($A868&lt;&gt;"",MAXIFS(Token!$C:$C,Token!$A:$A,$D868),)</f>
        <v/>
      </c>
    </row>
    <row r="869">
      <c r="A869" s="39" t="str">
        <f>IF(AND($L869*1&gt;=$G$3,$L869*1&lt;=$G$4,$I869*$J869&gt;0,OR($I869&lt;&gt;$I870,$L869-$L870&gt;25),IF(ABS($I869)&gt;10,$I869/POW(10,$J869),$J869/POW(10,$I869))*MAXIFS(Token!$C:$C,Token!$A:$A,$K869)&gt;0.01),$L869/86400+DATE(1970,1,1)+$G$6,)</f>
        <v/>
      </c>
      <c r="B869" s="27" t="str">
        <f t="shared" si="1"/>
        <v/>
      </c>
      <c r="C869" s="14" t="str">
        <f>IF($A869&lt;&gt;"",MINIFS(Merchant!$A:$A,Merchant!$B:$B,$G$2),)</f>
        <v/>
      </c>
      <c r="D869" s="14" t="str">
        <f t="shared" si="2"/>
        <v/>
      </c>
      <c r="E869" s="14" t="str">
        <f t="shared" si="3"/>
        <v/>
      </c>
      <c r="F869" s="7" t="str">
        <f>IF($A869&lt;&gt;"",MAXIFS(Token!$C:$C,Token!$A:$A,$D869),)</f>
        <v/>
      </c>
    </row>
    <row r="870">
      <c r="A870" s="39" t="str">
        <f>IF(AND($L870*1&gt;=$G$3,$L870*1&lt;=$G$4,$I870*$J870&gt;0,OR($I870&lt;&gt;$I871,$L870-$L871&gt;25),IF(ABS($I870)&gt;10,$I870/POW(10,$J870),$J870/POW(10,$I870))*MAXIFS(Token!$C:$C,Token!$A:$A,$K870)&gt;0.01),$L870/86400+DATE(1970,1,1)+$G$6,)</f>
        <v/>
      </c>
      <c r="B870" s="27" t="str">
        <f t="shared" si="1"/>
        <v/>
      </c>
      <c r="C870" s="14" t="str">
        <f>IF($A870&lt;&gt;"",MINIFS(Merchant!$A:$A,Merchant!$B:$B,$G$2),)</f>
        <v/>
      </c>
      <c r="D870" s="14" t="str">
        <f t="shared" si="2"/>
        <v/>
      </c>
      <c r="E870" s="14" t="str">
        <f t="shared" si="3"/>
        <v/>
      </c>
      <c r="F870" s="7" t="str">
        <f>IF($A870&lt;&gt;"",MAXIFS(Token!$C:$C,Token!$A:$A,$D870),)</f>
        <v/>
      </c>
    </row>
    <row r="871">
      <c r="A871" s="39" t="str">
        <f>IF(AND($L871*1&gt;=$G$3,$L871*1&lt;=$G$4,$I871*$J871&gt;0,OR($I871&lt;&gt;$I872,$L871-$L872&gt;25),IF(ABS($I871)&gt;10,$I871/POW(10,$J871),$J871/POW(10,$I871))*MAXIFS(Token!$C:$C,Token!$A:$A,$K871)&gt;0.01),$L871/86400+DATE(1970,1,1)+$G$6,)</f>
        <v/>
      </c>
      <c r="B871" s="27" t="str">
        <f t="shared" si="1"/>
        <v/>
      </c>
      <c r="C871" s="14" t="str">
        <f>IF($A871&lt;&gt;"",MINIFS(Merchant!$A:$A,Merchant!$B:$B,$G$2),)</f>
        <v/>
      </c>
      <c r="D871" s="14" t="str">
        <f t="shared" si="2"/>
        <v/>
      </c>
      <c r="E871" s="14" t="str">
        <f t="shared" si="3"/>
        <v/>
      </c>
      <c r="F871" s="7" t="str">
        <f>IF($A871&lt;&gt;"",MAXIFS(Token!$C:$C,Token!$A:$A,$D871),)</f>
        <v/>
      </c>
    </row>
    <row r="872">
      <c r="A872" s="39" t="str">
        <f>IF(AND($L872*1&gt;=$G$3,$L872*1&lt;=$G$4,$I872*$J872&gt;0,OR($I872&lt;&gt;$I873,$L872-$L873&gt;25),IF(ABS($I872)&gt;10,$I872/POW(10,$J872),$J872/POW(10,$I872))*MAXIFS(Token!$C:$C,Token!$A:$A,$K872)&gt;0.01),$L872/86400+DATE(1970,1,1)+$G$6,)</f>
        <v/>
      </c>
      <c r="B872" s="27" t="str">
        <f t="shared" si="1"/>
        <v/>
      </c>
      <c r="C872" s="14" t="str">
        <f>IF($A872&lt;&gt;"",MINIFS(Merchant!$A:$A,Merchant!$B:$B,$G$2),)</f>
        <v/>
      </c>
      <c r="D872" s="14" t="str">
        <f t="shared" si="2"/>
        <v/>
      </c>
      <c r="E872" s="14" t="str">
        <f t="shared" si="3"/>
        <v/>
      </c>
      <c r="F872" s="7" t="str">
        <f>IF($A872&lt;&gt;"",MAXIFS(Token!$C:$C,Token!$A:$A,$D872),)</f>
        <v/>
      </c>
    </row>
    <row r="873">
      <c r="A873" s="39" t="str">
        <f>IF(AND($L873*1&gt;=$G$3,$L873*1&lt;=$G$4,$I873*$J873&gt;0,OR($I873&lt;&gt;$I874,$L873-$L874&gt;25),IF(ABS($I873)&gt;10,$I873/POW(10,$J873),$J873/POW(10,$I873))*MAXIFS(Token!$C:$C,Token!$A:$A,$K873)&gt;0.01),$L873/86400+DATE(1970,1,1)+$G$6,)</f>
        <v/>
      </c>
      <c r="B873" s="27" t="str">
        <f t="shared" si="1"/>
        <v/>
      </c>
      <c r="C873" s="14" t="str">
        <f>IF($A873&lt;&gt;"",MINIFS(Merchant!$A:$A,Merchant!$B:$B,$G$2),)</f>
        <v/>
      </c>
      <c r="D873" s="14" t="str">
        <f t="shared" si="2"/>
        <v/>
      </c>
      <c r="E873" s="14" t="str">
        <f t="shared" si="3"/>
        <v/>
      </c>
      <c r="F873" s="7" t="str">
        <f>IF($A873&lt;&gt;"",MAXIFS(Token!$C:$C,Token!$A:$A,$D873),)</f>
        <v/>
      </c>
    </row>
    <row r="874">
      <c r="A874" s="39" t="str">
        <f>IF(AND($L874*1&gt;=$G$3,$L874*1&lt;=$G$4,$I874*$J874&gt;0,OR($I874&lt;&gt;$I875,$L874-$L875&gt;25),IF(ABS($I874)&gt;10,$I874/POW(10,$J874),$J874/POW(10,$I874))*MAXIFS(Token!$C:$C,Token!$A:$A,$K874)&gt;0.01),$L874/86400+DATE(1970,1,1)+$G$6,)</f>
        <v/>
      </c>
      <c r="B874" s="27" t="str">
        <f t="shared" si="1"/>
        <v/>
      </c>
      <c r="C874" s="14" t="str">
        <f>IF($A874&lt;&gt;"",MINIFS(Merchant!$A:$A,Merchant!$B:$B,$G$2),)</f>
        <v/>
      </c>
      <c r="D874" s="14" t="str">
        <f t="shared" si="2"/>
        <v/>
      </c>
      <c r="E874" s="14" t="str">
        <f t="shared" si="3"/>
        <v/>
      </c>
      <c r="F874" s="7" t="str">
        <f>IF($A874&lt;&gt;"",MAXIFS(Token!$C:$C,Token!$A:$A,$D874),)</f>
        <v/>
      </c>
    </row>
    <row r="875">
      <c r="A875" s="39" t="str">
        <f>IF(AND($L875*1&gt;=$G$3,$L875*1&lt;=$G$4,$I875*$J875&gt;0,OR($I875&lt;&gt;$I876,$L875-$L876&gt;25),IF(ABS($I875)&gt;10,$I875/POW(10,$J875),$J875/POW(10,$I875))*MAXIFS(Token!$C:$C,Token!$A:$A,$K875)&gt;0.01),$L875/86400+DATE(1970,1,1)+$G$6,)</f>
        <v/>
      </c>
      <c r="B875" s="27" t="str">
        <f t="shared" si="1"/>
        <v/>
      </c>
      <c r="C875" s="14" t="str">
        <f>IF($A875&lt;&gt;"",MINIFS(Merchant!$A:$A,Merchant!$B:$B,$G$2),)</f>
        <v/>
      </c>
      <c r="D875" s="14" t="str">
        <f t="shared" si="2"/>
        <v/>
      </c>
      <c r="E875" s="14" t="str">
        <f t="shared" si="3"/>
        <v/>
      </c>
      <c r="F875" s="7" t="str">
        <f>IF($A875&lt;&gt;"",MAXIFS(Token!$C:$C,Token!$A:$A,$D875),)</f>
        <v/>
      </c>
    </row>
    <row r="876">
      <c r="A876" s="39" t="str">
        <f>IF(AND($L876*1&gt;=$G$3,$L876*1&lt;=$G$4,$I876*$J876&gt;0,OR($I876&lt;&gt;$I877,$L876-$L877&gt;25),IF(ABS($I876)&gt;10,$I876/POW(10,$J876),$J876/POW(10,$I876))*MAXIFS(Token!$C:$C,Token!$A:$A,$K876)&gt;0.01),$L876/86400+DATE(1970,1,1)+$G$6,)</f>
        <v/>
      </c>
      <c r="B876" s="27" t="str">
        <f t="shared" si="1"/>
        <v/>
      </c>
      <c r="C876" s="14" t="str">
        <f>IF($A876&lt;&gt;"",MINIFS(Merchant!$A:$A,Merchant!$B:$B,$G$2),)</f>
        <v/>
      </c>
      <c r="D876" s="14" t="str">
        <f t="shared" si="2"/>
        <v/>
      </c>
      <c r="E876" s="14" t="str">
        <f t="shared" si="3"/>
        <v/>
      </c>
      <c r="F876" s="7" t="str">
        <f>IF($A876&lt;&gt;"",MAXIFS(Token!$C:$C,Token!$A:$A,$D876),)</f>
        <v/>
      </c>
    </row>
    <row r="877">
      <c r="A877" s="39" t="str">
        <f>IF(AND($L877*1&gt;=$G$3,$L877*1&lt;=$G$4,$I877*$J877&gt;0,OR($I877&lt;&gt;$I878,$L877-$L878&gt;25),IF(ABS($I877)&gt;10,$I877/POW(10,$J877),$J877/POW(10,$I877))*MAXIFS(Token!$C:$C,Token!$A:$A,$K877)&gt;0.01),$L877/86400+DATE(1970,1,1)+$G$6,)</f>
        <v/>
      </c>
      <c r="B877" s="27" t="str">
        <f t="shared" si="1"/>
        <v/>
      </c>
      <c r="C877" s="14" t="str">
        <f>IF($A877&lt;&gt;"",MINIFS(Merchant!$A:$A,Merchant!$B:$B,$G$2),)</f>
        <v/>
      </c>
      <c r="D877" s="14" t="str">
        <f t="shared" si="2"/>
        <v/>
      </c>
      <c r="E877" s="14" t="str">
        <f t="shared" si="3"/>
        <v/>
      </c>
      <c r="F877" s="7" t="str">
        <f>IF($A877&lt;&gt;"",MAXIFS(Token!$C:$C,Token!$A:$A,$D877),)</f>
        <v/>
      </c>
    </row>
    <row r="878">
      <c r="A878" s="39" t="str">
        <f>IF(AND($L878*1&gt;=$G$3,$L878*1&lt;=$G$4,$I878*$J878&gt;0,OR($I878&lt;&gt;$I879,$L878-$L879&gt;25),IF(ABS($I878)&gt;10,$I878/POW(10,$J878),$J878/POW(10,$I878))*MAXIFS(Token!$C:$C,Token!$A:$A,$K878)&gt;0.01),$L878/86400+DATE(1970,1,1)+$G$6,)</f>
        <v/>
      </c>
      <c r="B878" s="27" t="str">
        <f t="shared" si="1"/>
        <v/>
      </c>
      <c r="C878" s="14" t="str">
        <f>IF($A878&lt;&gt;"",MINIFS(Merchant!$A:$A,Merchant!$B:$B,$G$2),)</f>
        <v/>
      </c>
      <c r="D878" s="14" t="str">
        <f t="shared" si="2"/>
        <v/>
      </c>
      <c r="E878" s="14" t="str">
        <f t="shared" si="3"/>
        <v/>
      </c>
      <c r="F878" s="7" t="str">
        <f>IF($A878&lt;&gt;"",MAXIFS(Token!$C:$C,Token!$A:$A,$D878),)</f>
        <v/>
      </c>
    </row>
    <row r="879">
      <c r="A879" s="39" t="str">
        <f>IF(AND($L879*1&gt;=$G$3,$L879*1&lt;=$G$4,$I879*$J879&gt;0,OR($I879&lt;&gt;$I880,$L879-$L880&gt;25),IF(ABS($I879)&gt;10,$I879/POW(10,$J879),$J879/POW(10,$I879))*MAXIFS(Token!$C:$C,Token!$A:$A,$K879)&gt;0.01),$L879/86400+DATE(1970,1,1)+$G$6,)</f>
        <v/>
      </c>
      <c r="B879" s="27" t="str">
        <f t="shared" si="1"/>
        <v/>
      </c>
      <c r="C879" s="14" t="str">
        <f>IF($A879&lt;&gt;"",MINIFS(Merchant!$A:$A,Merchant!$B:$B,$G$2),)</f>
        <v/>
      </c>
      <c r="D879" s="14" t="str">
        <f t="shared" si="2"/>
        <v/>
      </c>
      <c r="E879" s="14" t="str">
        <f t="shared" si="3"/>
        <v/>
      </c>
      <c r="F879" s="7" t="str">
        <f>IF($A879&lt;&gt;"",MAXIFS(Token!$C:$C,Token!$A:$A,$D879),)</f>
        <v/>
      </c>
    </row>
    <row r="880">
      <c r="A880" s="39" t="str">
        <f>IF(AND($L880*1&gt;=$G$3,$L880*1&lt;=$G$4,$I880*$J880&gt;0,OR($I880&lt;&gt;$I881,$L880-$L881&gt;25),IF(ABS($I880)&gt;10,$I880/POW(10,$J880),$J880/POW(10,$I880))*MAXIFS(Token!$C:$C,Token!$A:$A,$K880)&gt;0.01),$L880/86400+DATE(1970,1,1)+$G$6,)</f>
        <v/>
      </c>
      <c r="B880" s="27" t="str">
        <f t="shared" si="1"/>
        <v/>
      </c>
      <c r="C880" s="14" t="str">
        <f>IF($A880&lt;&gt;"",MINIFS(Merchant!$A:$A,Merchant!$B:$B,$G$2),)</f>
        <v/>
      </c>
      <c r="D880" s="14" t="str">
        <f t="shared" si="2"/>
        <v/>
      </c>
      <c r="E880" s="14" t="str">
        <f t="shared" si="3"/>
        <v/>
      </c>
      <c r="F880" s="7" t="str">
        <f>IF($A880&lt;&gt;"",MAXIFS(Token!$C:$C,Token!$A:$A,$D880),)</f>
        <v/>
      </c>
    </row>
    <row r="881">
      <c r="A881" s="39" t="str">
        <f>IF(AND($L881*1&gt;=$G$3,$L881*1&lt;=$G$4,$I881*$J881&gt;0,OR($I881&lt;&gt;$I882,$L881-$L882&gt;25),IF(ABS($I881)&gt;10,$I881/POW(10,$J881),$J881/POW(10,$I881))*MAXIFS(Token!$C:$C,Token!$A:$A,$K881)&gt;0.01),$L881/86400+DATE(1970,1,1)+$G$6,)</f>
        <v/>
      </c>
      <c r="B881" s="27" t="str">
        <f t="shared" si="1"/>
        <v/>
      </c>
      <c r="C881" s="14" t="str">
        <f>IF($A881&lt;&gt;"",MINIFS(Merchant!$A:$A,Merchant!$B:$B,$G$2),)</f>
        <v/>
      </c>
      <c r="D881" s="14" t="str">
        <f t="shared" si="2"/>
        <v/>
      </c>
      <c r="E881" s="14" t="str">
        <f t="shared" si="3"/>
        <v/>
      </c>
      <c r="F881" s="7" t="str">
        <f>IF($A881&lt;&gt;"",MAXIFS(Token!$C:$C,Token!$A:$A,$D881),)</f>
        <v/>
      </c>
    </row>
    <row r="882">
      <c r="A882" s="39" t="str">
        <f>IF(AND($L882*1&gt;=$G$3,$L882*1&lt;=$G$4,$I882*$J882&gt;0,OR($I882&lt;&gt;$I883,$L882-$L883&gt;25),IF(ABS($I882)&gt;10,$I882/POW(10,$J882),$J882/POW(10,$I882))*MAXIFS(Token!$C:$C,Token!$A:$A,$K882)&gt;0.01),$L882/86400+DATE(1970,1,1)+$G$6,)</f>
        <v/>
      </c>
      <c r="B882" s="27" t="str">
        <f t="shared" si="1"/>
        <v/>
      </c>
      <c r="C882" s="14" t="str">
        <f>IF($A882&lt;&gt;"",MINIFS(Merchant!$A:$A,Merchant!$B:$B,$G$2),)</f>
        <v/>
      </c>
      <c r="D882" s="14" t="str">
        <f t="shared" si="2"/>
        <v/>
      </c>
      <c r="E882" s="14" t="str">
        <f t="shared" si="3"/>
        <v/>
      </c>
      <c r="F882" s="7" t="str">
        <f>IF($A882&lt;&gt;"",MAXIFS(Token!$C:$C,Token!$A:$A,$D882),)</f>
        <v/>
      </c>
    </row>
    <row r="883">
      <c r="A883" s="39" t="str">
        <f>IF(AND($L883*1&gt;=$G$3,$L883*1&lt;=$G$4,$I883*$J883&gt;0,OR($I883&lt;&gt;$I884,$L883-$L884&gt;25),IF(ABS($I883)&gt;10,$I883/POW(10,$J883),$J883/POW(10,$I883))*MAXIFS(Token!$C:$C,Token!$A:$A,$K883)&gt;0.01),$L883/86400+DATE(1970,1,1)+$G$6,)</f>
        <v/>
      </c>
      <c r="B883" s="27" t="str">
        <f t="shared" si="1"/>
        <v/>
      </c>
      <c r="C883" s="14" t="str">
        <f>IF($A883&lt;&gt;"",MINIFS(Merchant!$A:$A,Merchant!$B:$B,$G$2),)</f>
        <v/>
      </c>
      <c r="D883" s="14" t="str">
        <f t="shared" si="2"/>
        <v/>
      </c>
      <c r="E883" s="14" t="str">
        <f t="shared" si="3"/>
        <v/>
      </c>
      <c r="F883" s="7" t="str">
        <f>IF($A883&lt;&gt;"",MAXIFS(Token!$C:$C,Token!$A:$A,$D883),)</f>
        <v/>
      </c>
    </row>
    <row r="884">
      <c r="A884" s="39" t="str">
        <f>IF(AND($L884*1&gt;=$G$3,$L884*1&lt;=$G$4,$I884*$J884&gt;0,OR($I884&lt;&gt;$I885,$L884-$L885&gt;25),IF(ABS($I884)&gt;10,$I884/POW(10,$J884),$J884/POW(10,$I884))*MAXIFS(Token!$C:$C,Token!$A:$A,$K884)&gt;0.01),$L884/86400+DATE(1970,1,1)+$G$6,)</f>
        <v/>
      </c>
      <c r="B884" s="27" t="str">
        <f t="shared" si="1"/>
        <v/>
      </c>
      <c r="C884" s="14" t="str">
        <f>IF($A884&lt;&gt;"",MINIFS(Merchant!$A:$A,Merchant!$B:$B,$G$2),)</f>
        <v/>
      </c>
      <c r="D884" s="14" t="str">
        <f t="shared" si="2"/>
        <v/>
      </c>
      <c r="E884" s="14" t="str">
        <f t="shared" si="3"/>
        <v/>
      </c>
      <c r="F884" s="7" t="str">
        <f>IF($A884&lt;&gt;"",MAXIFS(Token!$C:$C,Token!$A:$A,$D884),)</f>
        <v/>
      </c>
    </row>
    <row r="885">
      <c r="A885" s="39" t="str">
        <f>IF(AND($L885*1&gt;=$G$3,$L885*1&lt;=$G$4,$I885*$J885&gt;0,OR($I885&lt;&gt;$I886,$L885-$L886&gt;25),IF(ABS($I885)&gt;10,$I885/POW(10,$J885),$J885/POW(10,$I885))*MAXIFS(Token!$C:$C,Token!$A:$A,$K885)&gt;0.01),$L885/86400+DATE(1970,1,1)+$G$6,)</f>
        <v/>
      </c>
      <c r="B885" s="27" t="str">
        <f t="shared" si="1"/>
        <v/>
      </c>
      <c r="C885" s="14" t="str">
        <f>IF($A885&lt;&gt;"",MINIFS(Merchant!$A:$A,Merchant!$B:$B,$G$2),)</f>
        <v/>
      </c>
      <c r="D885" s="14" t="str">
        <f t="shared" si="2"/>
        <v/>
      </c>
      <c r="E885" s="14" t="str">
        <f t="shared" si="3"/>
        <v/>
      </c>
      <c r="F885" s="7" t="str">
        <f>IF($A885&lt;&gt;"",MAXIFS(Token!$C:$C,Token!$A:$A,$D885),)</f>
        <v/>
      </c>
    </row>
    <row r="886">
      <c r="A886" s="39" t="str">
        <f>IF(AND($L886*1&gt;=$G$3,$L886*1&lt;=$G$4,$I886*$J886&gt;0,OR($I886&lt;&gt;$I887,$L886-$L887&gt;25),IF(ABS($I886)&gt;10,$I886/POW(10,$J886),$J886/POW(10,$I886))*MAXIFS(Token!$C:$C,Token!$A:$A,$K886)&gt;0.01),$L886/86400+DATE(1970,1,1)+$G$6,)</f>
        <v/>
      </c>
      <c r="B886" s="27" t="str">
        <f t="shared" si="1"/>
        <v/>
      </c>
      <c r="C886" s="14" t="str">
        <f>IF($A886&lt;&gt;"",MINIFS(Merchant!$A:$A,Merchant!$B:$B,$G$2),)</f>
        <v/>
      </c>
      <c r="D886" s="14" t="str">
        <f t="shared" si="2"/>
        <v/>
      </c>
      <c r="E886" s="14" t="str">
        <f t="shared" si="3"/>
        <v/>
      </c>
      <c r="F886" s="7" t="str">
        <f>IF($A886&lt;&gt;"",MAXIFS(Token!$C:$C,Token!$A:$A,$D886),)</f>
        <v/>
      </c>
    </row>
    <row r="887">
      <c r="A887" s="39" t="str">
        <f>IF(AND($L887*1&gt;=$G$3,$L887*1&lt;=$G$4,$I887*$J887&gt;0,OR($I887&lt;&gt;$I888,$L887-$L888&gt;25),IF(ABS($I887)&gt;10,$I887/POW(10,$J887),$J887/POW(10,$I887))*MAXIFS(Token!$C:$C,Token!$A:$A,$K887)&gt;0.01),$L887/86400+DATE(1970,1,1)+$G$6,)</f>
        <v/>
      </c>
      <c r="B887" s="27" t="str">
        <f t="shared" si="1"/>
        <v/>
      </c>
      <c r="C887" s="14" t="str">
        <f>IF($A887&lt;&gt;"",MINIFS(Merchant!$A:$A,Merchant!$B:$B,$G$2),)</f>
        <v/>
      </c>
      <c r="D887" s="14" t="str">
        <f t="shared" si="2"/>
        <v/>
      </c>
      <c r="E887" s="14" t="str">
        <f t="shared" si="3"/>
        <v/>
      </c>
      <c r="F887" s="7" t="str">
        <f>IF($A887&lt;&gt;"",MAXIFS(Token!$C:$C,Token!$A:$A,$D887),)</f>
        <v/>
      </c>
    </row>
    <row r="888">
      <c r="A888" s="39" t="str">
        <f>IF(AND($L888*1&gt;=$G$3,$L888*1&lt;=$G$4,$I888*$J888&gt;0,OR($I888&lt;&gt;$I889,$L888-$L889&gt;25),IF(ABS($I888)&gt;10,$I888/POW(10,$J888),$J888/POW(10,$I888))*MAXIFS(Token!$C:$C,Token!$A:$A,$K888)&gt;0.01),$L888/86400+DATE(1970,1,1)+$G$6,)</f>
        <v/>
      </c>
      <c r="B888" s="27" t="str">
        <f t="shared" si="1"/>
        <v/>
      </c>
      <c r="C888" s="14" t="str">
        <f>IF($A888&lt;&gt;"",MINIFS(Merchant!$A:$A,Merchant!$B:$B,$G$2),)</f>
        <v/>
      </c>
      <c r="D888" s="14" t="str">
        <f t="shared" si="2"/>
        <v/>
      </c>
      <c r="E888" s="14" t="str">
        <f t="shared" si="3"/>
        <v/>
      </c>
      <c r="F888" s="7" t="str">
        <f>IF($A888&lt;&gt;"",MAXIFS(Token!$C:$C,Token!$A:$A,$D888),)</f>
        <v/>
      </c>
    </row>
    <row r="889">
      <c r="A889" s="39" t="str">
        <f>IF(AND($L889*1&gt;=$G$3,$L889*1&lt;=$G$4,$I889*$J889&gt;0,OR($I889&lt;&gt;$I890,$L889-$L890&gt;25),IF(ABS($I889)&gt;10,$I889/POW(10,$J889),$J889/POW(10,$I889))*MAXIFS(Token!$C:$C,Token!$A:$A,$K889)&gt;0.01),$L889/86400+DATE(1970,1,1)+$G$6,)</f>
        <v/>
      </c>
      <c r="B889" s="27" t="str">
        <f t="shared" si="1"/>
        <v/>
      </c>
      <c r="C889" s="14" t="str">
        <f>IF($A889&lt;&gt;"",MINIFS(Merchant!$A:$A,Merchant!$B:$B,$G$2),)</f>
        <v/>
      </c>
      <c r="D889" s="14" t="str">
        <f t="shared" si="2"/>
        <v/>
      </c>
      <c r="E889" s="14" t="str">
        <f t="shared" si="3"/>
        <v/>
      </c>
      <c r="F889" s="7" t="str">
        <f>IF($A889&lt;&gt;"",MAXIFS(Token!$C:$C,Token!$A:$A,$D889),)</f>
        <v/>
      </c>
    </row>
    <row r="890">
      <c r="A890" s="39" t="str">
        <f>IF(AND($L890*1&gt;=$G$3,$L890*1&lt;=$G$4,$I890*$J890&gt;0,OR($I890&lt;&gt;$I891,$L890-$L891&gt;25),IF(ABS($I890)&gt;10,$I890/POW(10,$J890),$J890/POW(10,$I890))*MAXIFS(Token!$C:$C,Token!$A:$A,$K890)&gt;0.01),$L890/86400+DATE(1970,1,1)+$G$6,)</f>
        <v/>
      </c>
      <c r="B890" s="27" t="str">
        <f t="shared" si="1"/>
        <v/>
      </c>
      <c r="C890" s="14" t="str">
        <f>IF($A890&lt;&gt;"",MINIFS(Merchant!$A:$A,Merchant!$B:$B,$G$2),)</f>
        <v/>
      </c>
      <c r="D890" s="14" t="str">
        <f t="shared" si="2"/>
        <v/>
      </c>
      <c r="E890" s="14" t="str">
        <f t="shared" si="3"/>
        <v/>
      </c>
      <c r="F890" s="7" t="str">
        <f>IF($A890&lt;&gt;"",MAXIFS(Token!$C:$C,Token!$A:$A,$D890),)</f>
        <v/>
      </c>
    </row>
    <row r="891">
      <c r="A891" s="39" t="str">
        <f>IF(AND($L891*1&gt;=$G$3,$L891*1&lt;=$G$4,$I891*$J891&gt;0,OR($I891&lt;&gt;$I892,$L891-$L892&gt;25),IF(ABS($I891)&gt;10,$I891/POW(10,$J891),$J891/POW(10,$I891))*MAXIFS(Token!$C:$C,Token!$A:$A,$K891)&gt;0.01),$L891/86400+DATE(1970,1,1)+$G$6,)</f>
        <v/>
      </c>
      <c r="B891" s="27" t="str">
        <f t="shared" si="1"/>
        <v/>
      </c>
      <c r="C891" s="14" t="str">
        <f>IF($A891&lt;&gt;"",MINIFS(Merchant!$A:$A,Merchant!$B:$B,$G$2),)</f>
        <v/>
      </c>
      <c r="D891" s="14" t="str">
        <f t="shared" si="2"/>
        <v/>
      </c>
      <c r="E891" s="14" t="str">
        <f t="shared" si="3"/>
        <v/>
      </c>
      <c r="F891" s="7" t="str">
        <f>IF($A891&lt;&gt;"",MAXIFS(Token!$C:$C,Token!$A:$A,$D891),)</f>
        <v/>
      </c>
    </row>
    <row r="892">
      <c r="A892" s="39" t="str">
        <f>IF(AND($L892*1&gt;=$G$3,$L892*1&lt;=$G$4,$I892*$J892&gt;0,OR($I892&lt;&gt;$I893,$L892-$L893&gt;25),IF(ABS($I892)&gt;10,$I892/POW(10,$J892),$J892/POW(10,$I892))*MAXIFS(Token!$C:$C,Token!$A:$A,$K892)&gt;0.01),$L892/86400+DATE(1970,1,1)+$G$6,)</f>
        <v/>
      </c>
      <c r="B892" s="27" t="str">
        <f t="shared" si="1"/>
        <v/>
      </c>
      <c r="C892" s="14" t="str">
        <f>IF($A892&lt;&gt;"",MINIFS(Merchant!$A:$A,Merchant!$B:$B,$G$2),)</f>
        <v/>
      </c>
      <c r="D892" s="14" t="str">
        <f t="shared" si="2"/>
        <v/>
      </c>
      <c r="E892" s="14" t="str">
        <f t="shared" si="3"/>
        <v/>
      </c>
      <c r="F892" s="7" t="str">
        <f>IF($A892&lt;&gt;"",MAXIFS(Token!$C:$C,Token!$A:$A,$D892),)</f>
        <v/>
      </c>
    </row>
    <row r="893">
      <c r="A893" s="39" t="str">
        <f>IF(AND($L893*1&gt;=$G$3,$L893*1&lt;=$G$4,$I893*$J893&gt;0,OR($I893&lt;&gt;$I894,$L893-$L894&gt;25),IF(ABS($I893)&gt;10,$I893/POW(10,$J893),$J893/POW(10,$I893))*MAXIFS(Token!$C:$C,Token!$A:$A,$K893)&gt;0.01),$L893/86400+DATE(1970,1,1)+$G$6,)</f>
        <v/>
      </c>
      <c r="B893" s="27" t="str">
        <f t="shared" si="1"/>
        <v/>
      </c>
      <c r="C893" s="14" t="str">
        <f>IF($A893&lt;&gt;"",MINIFS(Merchant!$A:$A,Merchant!$B:$B,$G$2),)</f>
        <v/>
      </c>
      <c r="D893" s="14" t="str">
        <f t="shared" si="2"/>
        <v/>
      </c>
      <c r="E893" s="14" t="str">
        <f t="shared" si="3"/>
        <v/>
      </c>
      <c r="F893" s="7" t="str">
        <f>IF($A893&lt;&gt;"",MAXIFS(Token!$C:$C,Token!$A:$A,$D893),)</f>
        <v/>
      </c>
    </row>
    <row r="894">
      <c r="A894" s="39" t="str">
        <f>IF(AND($L894*1&gt;=$G$3,$L894*1&lt;=$G$4,$I894*$J894&gt;0,OR($I894&lt;&gt;$I895,$L894-$L895&gt;25),IF(ABS($I894)&gt;10,$I894/POW(10,$J894),$J894/POW(10,$I894))*MAXIFS(Token!$C:$C,Token!$A:$A,$K894)&gt;0.01),$L894/86400+DATE(1970,1,1)+$G$6,)</f>
        <v/>
      </c>
      <c r="B894" s="27" t="str">
        <f t="shared" si="1"/>
        <v/>
      </c>
      <c r="C894" s="14" t="str">
        <f>IF($A894&lt;&gt;"",MINIFS(Merchant!$A:$A,Merchant!$B:$B,$G$2),)</f>
        <v/>
      </c>
      <c r="D894" s="14" t="str">
        <f t="shared" si="2"/>
        <v/>
      </c>
      <c r="E894" s="14" t="str">
        <f t="shared" si="3"/>
        <v/>
      </c>
      <c r="F894" s="7" t="str">
        <f>IF($A894&lt;&gt;"",MAXIFS(Token!$C:$C,Token!$A:$A,$D894),)</f>
        <v/>
      </c>
    </row>
    <row r="895">
      <c r="A895" s="39" t="str">
        <f>IF(AND($L895*1&gt;=$G$3,$L895*1&lt;=$G$4,$I895*$J895&gt;0,OR($I895&lt;&gt;$I896,$L895-$L896&gt;25),IF(ABS($I895)&gt;10,$I895/POW(10,$J895),$J895/POW(10,$I895))*MAXIFS(Token!$C:$C,Token!$A:$A,$K895)&gt;0.01),$L895/86400+DATE(1970,1,1)+$G$6,)</f>
        <v/>
      </c>
      <c r="B895" s="27" t="str">
        <f t="shared" si="1"/>
        <v/>
      </c>
      <c r="C895" s="14" t="str">
        <f>IF($A895&lt;&gt;"",MINIFS(Merchant!$A:$A,Merchant!$B:$B,$G$2),)</f>
        <v/>
      </c>
      <c r="D895" s="14" t="str">
        <f t="shared" si="2"/>
        <v/>
      </c>
      <c r="E895" s="14" t="str">
        <f t="shared" si="3"/>
        <v/>
      </c>
      <c r="F895" s="7" t="str">
        <f>IF($A895&lt;&gt;"",MAXIFS(Token!$C:$C,Token!$A:$A,$D895),)</f>
        <v/>
      </c>
    </row>
    <row r="896">
      <c r="A896" s="39" t="str">
        <f>IF(AND($L896*1&gt;=$G$3,$L896*1&lt;=$G$4,$I896*$J896&gt;0,OR($I896&lt;&gt;$I897,$L896-$L897&gt;25),IF(ABS($I896)&gt;10,$I896/POW(10,$J896),$J896/POW(10,$I896))*MAXIFS(Token!$C:$C,Token!$A:$A,$K896)&gt;0.01),$L896/86400+DATE(1970,1,1)+$G$6,)</f>
        <v/>
      </c>
      <c r="B896" s="27" t="str">
        <f t="shared" si="1"/>
        <v/>
      </c>
      <c r="C896" s="14" t="str">
        <f>IF($A896&lt;&gt;"",MINIFS(Merchant!$A:$A,Merchant!$B:$B,$G$2),)</f>
        <v/>
      </c>
      <c r="D896" s="14" t="str">
        <f t="shared" si="2"/>
        <v/>
      </c>
      <c r="E896" s="14" t="str">
        <f t="shared" si="3"/>
        <v/>
      </c>
      <c r="F896" s="7" t="str">
        <f>IF($A896&lt;&gt;"",MAXIFS(Token!$C:$C,Token!$A:$A,$D896),)</f>
        <v/>
      </c>
    </row>
    <row r="897">
      <c r="A897" s="39" t="str">
        <f>IF(AND($L897*1&gt;=$G$3,$L897*1&lt;=$G$4,$I897*$J897&gt;0,OR($I897&lt;&gt;$I898,$L897-$L898&gt;25),IF(ABS($I897)&gt;10,$I897/POW(10,$J897),$J897/POW(10,$I897))*MAXIFS(Token!$C:$C,Token!$A:$A,$K897)&gt;0.01),$L897/86400+DATE(1970,1,1)+$G$6,)</f>
        <v/>
      </c>
      <c r="B897" s="27" t="str">
        <f t="shared" si="1"/>
        <v/>
      </c>
      <c r="C897" s="14" t="str">
        <f>IF($A897&lt;&gt;"",MINIFS(Merchant!$A:$A,Merchant!$B:$B,$G$2),)</f>
        <v/>
      </c>
      <c r="D897" s="14" t="str">
        <f t="shared" si="2"/>
        <v/>
      </c>
      <c r="E897" s="14" t="str">
        <f t="shared" si="3"/>
        <v/>
      </c>
      <c r="F897" s="7" t="str">
        <f>IF($A897&lt;&gt;"",MAXIFS(Token!$C:$C,Token!$A:$A,$D897),)</f>
        <v/>
      </c>
    </row>
    <row r="898">
      <c r="A898" s="39" t="str">
        <f>IF(AND($L898*1&gt;=$G$3,$L898*1&lt;=$G$4,$I898*$J898&gt;0,OR($I898&lt;&gt;$I899,$L898-$L899&gt;25),IF(ABS($I898)&gt;10,$I898/POW(10,$J898),$J898/POW(10,$I898))*MAXIFS(Token!$C:$C,Token!$A:$A,$K898)&gt;0.01),$L898/86400+DATE(1970,1,1)+$G$6,)</f>
        <v/>
      </c>
      <c r="B898" s="27" t="str">
        <f t="shared" si="1"/>
        <v/>
      </c>
      <c r="C898" s="14" t="str">
        <f>IF($A898&lt;&gt;"",MINIFS(Merchant!$A:$A,Merchant!$B:$B,$G$2),)</f>
        <v/>
      </c>
      <c r="D898" s="14" t="str">
        <f t="shared" si="2"/>
        <v/>
      </c>
      <c r="E898" s="14" t="str">
        <f t="shared" si="3"/>
        <v/>
      </c>
      <c r="F898" s="7" t="str">
        <f>IF($A898&lt;&gt;"",MAXIFS(Token!$C:$C,Token!$A:$A,$D898),)</f>
        <v/>
      </c>
    </row>
    <row r="899">
      <c r="A899" s="39" t="str">
        <f>IF(AND($L899*1&gt;=$G$3,$L899*1&lt;=$G$4,$I899*$J899&gt;0,OR($I899&lt;&gt;$I900,$L899-$L900&gt;25),IF(ABS($I899)&gt;10,$I899/POW(10,$J899),$J899/POW(10,$I899))*MAXIFS(Token!$C:$C,Token!$A:$A,$K899)&gt;0.01),$L899/86400+DATE(1970,1,1)+$G$6,)</f>
        <v/>
      </c>
      <c r="B899" s="27" t="str">
        <f t="shared" si="1"/>
        <v/>
      </c>
      <c r="C899" s="14" t="str">
        <f>IF($A899&lt;&gt;"",MINIFS(Merchant!$A:$A,Merchant!$B:$B,$G$2),)</f>
        <v/>
      </c>
      <c r="D899" s="14" t="str">
        <f t="shared" si="2"/>
        <v/>
      </c>
      <c r="E899" s="14" t="str">
        <f t="shared" si="3"/>
        <v/>
      </c>
      <c r="F899" s="7" t="str">
        <f>IF($A899&lt;&gt;"",MAXIFS(Token!$C:$C,Token!$A:$A,$D899),)</f>
        <v/>
      </c>
    </row>
    <row r="900">
      <c r="A900" s="39" t="str">
        <f>IF(AND($L900*1&gt;=$G$3,$L900*1&lt;=$G$4,$I900*$J900&gt;0,OR($I900&lt;&gt;$I901,$L900-$L901&gt;25),IF(ABS($I900)&gt;10,$I900/POW(10,$J900),$J900/POW(10,$I900))*MAXIFS(Token!$C:$C,Token!$A:$A,$K900)&gt;0.01),$L900/86400+DATE(1970,1,1)+$G$6,)</f>
        <v/>
      </c>
      <c r="B900" s="27" t="str">
        <f t="shared" si="1"/>
        <v/>
      </c>
      <c r="C900" s="14" t="str">
        <f>IF($A900&lt;&gt;"",MINIFS(Merchant!$A:$A,Merchant!$B:$B,$G$2),)</f>
        <v/>
      </c>
      <c r="D900" s="14" t="str">
        <f t="shared" si="2"/>
        <v/>
      </c>
      <c r="E900" s="14" t="str">
        <f t="shared" si="3"/>
        <v/>
      </c>
      <c r="F900" s="7" t="str">
        <f>IF($A900&lt;&gt;"",MAXIFS(Token!$C:$C,Token!$A:$A,$D900),)</f>
        <v/>
      </c>
    </row>
    <row r="901">
      <c r="A901" s="39" t="str">
        <f>IF(AND($L901*1&gt;=$G$3,$L901*1&lt;=$G$4,$I901*$J901&gt;0,OR($I901&lt;&gt;$I902,$L901-$L902&gt;25),IF(ABS($I901)&gt;10,$I901/POW(10,$J901),$J901/POW(10,$I901))*MAXIFS(Token!$C:$C,Token!$A:$A,$K901)&gt;0.01),$L901/86400+DATE(1970,1,1)+$G$6,)</f>
        <v/>
      </c>
      <c r="B901" s="27" t="str">
        <f t="shared" si="1"/>
        <v/>
      </c>
      <c r="C901" s="14" t="str">
        <f>IF($A901&lt;&gt;"",MINIFS(Merchant!$A:$A,Merchant!$B:$B,$G$2),)</f>
        <v/>
      </c>
      <c r="D901" s="14" t="str">
        <f t="shared" si="2"/>
        <v/>
      </c>
      <c r="E901" s="14" t="str">
        <f t="shared" si="3"/>
        <v/>
      </c>
      <c r="F901" s="7" t="str">
        <f>IF($A901&lt;&gt;"",MAXIFS(Token!$C:$C,Token!$A:$A,$D901),)</f>
        <v/>
      </c>
    </row>
    <row r="902">
      <c r="A902" s="39" t="str">
        <f>IF(AND($L902*1&gt;=$G$3,$L902*1&lt;=$G$4,$I902*$J902&gt;0,OR($I902&lt;&gt;$I903,$L902-$L903&gt;25),IF(ABS($I902)&gt;10,$I902/POW(10,$J902),$J902/POW(10,$I902))*MAXIFS(Token!$C:$C,Token!$A:$A,$K902)&gt;0.01),$L902/86400+DATE(1970,1,1)+$G$6,)</f>
        <v/>
      </c>
      <c r="B902" s="27" t="str">
        <f t="shared" si="1"/>
        <v/>
      </c>
      <c r="C902" s="14" t="str">
        <f>IF($A902&lt;&gt;"",MINIFS(Merchant!$A:$A,Merchant!$B:$B,$G$2),)</f>
        <v/>
      </c>
      <c r="D902" s="14" t="str">
        <f t="shared" si="2"/>
        <v/>
      </c>
      <c r="E902" s="14" t="str">
        <f t="shared" si="3"/>
        <v/>
      </c>
      <c r="F902" s="7" t="str">
        <f>IF($A902&lt;&gt;"",MAXIFS(Token!$C:$C,Token!$A:$A,$D902),)</f>
        <v/>
      </c>
    </row>
    <row r="903">
      <c r="A903" s="39" t="str">
        <f>IF(AND($L903*1&gt;=$G$3,$L903*1&lt;=$G$4,$I903*$J903&gt;0,OR($I903&lt;&gt;$I904,$L903-$L904&gt;25),IF(ABS($I903)&gt;10,$I903/POW(10,$J903),$J903/POW(10,$I903))*MAXIFS(Token!$C:$C,Token!$A:$A,$K903)&gt;0.01),$L903/86400+DATE(1970,1,1)+$G$6,)</f>
        <v/>
      </c>
      <c r="B903" s="27" t="str">
        <f t="shared" si="1"/>
        <v/>
      </c>
      <c r="C903" s="14" t="str">
        <f>IF($A903&lt;&gt;"",MINIFS(Merchant!$A:$A,Merchant!$B:$B,$G$2),)</f>
        <v/>
      </c>
      <c r="D903" s="14" t="str">
        <f t="shared" si="2"/>
        <v/>
      </c>
      <c r="E903" s="14" t="str">
        <f t="shared" si="3"/>
        <v/>
      </c>
      <c r="F903" s="7" t="str">
        <f>IF($A903&lt;&gt;"",MAXIFS(Token!$C:$C,Token!$A:$A,$D903),)</f>
        <v/>
      </c>
    </row>
    <row r="904">
      <c r="A904" s="39" t="str">
        <f>IF(AND($L904*1&gt;=$G$3,$L904*1&lt;=$G$4,$I904*$J904&gt;0,OR($I904&lt;&gt;$I905,$L904-$L905&gt;25),IF(ABS($I904)&gt;10,$I904/POW(10,$J904),$J904/POW(10,$I904))*MAXIFS(Token!$C:$C,Token!$A:$A,$K904)&gt;0.01),$L904/86400+DATE(1970,1,1)+$G$6,)</f>
        <v/>
      </c>
      <c r="B904" s="27" t="str">
        <f t="shared" si="1"/>
        <v/>
      </c>
      <c r="C904" s="14" t="str">
        <f>IF($A904&lt;&gt;"",MINIFS(Merchant!$A:$A,Merchant!$B:$B,$G$2),)</f>
        <v/>
      </c>
      <c r="D904" s="14" t="str">
        <f t="shared" si="2"/>
        <v/>
      </c>
      <c r="E904" s="14" t="str">
        <f t="shared" si="3"/>
        <v/>
      </c>
      <c r="F904" s="7" t="str">
        <f>IF($A904&lt;&gt;"",MAXIFS(Token!$C:$C,Token!$A:$A,$D904),)</f>
        <v/>
      </c>
    </row>
    <row r="905">
      <c r="A905" s="39" t="str">
        <f>IF(AND($L905*1&gt;=$G$3,$L905*1&lt;=$G$4,$I905*$J905&gt;0,OR($I905&lt;&gt;$I906,$L905-$L906&gt;25),IF(ABS($I905)&gt;10,$I905/POW(10,$J905),$J905/POW(10,$I905))*MAXIFS(Token!$C:$C,Token!$A:$A,$K905)&gt;0.01),$L905/86400+DATE(1970,1,1)+$G$6,)</f>
        <v/>
      </c>
      <c r="B905" s="27" t="str">
        <f t="shared" si="1"/>
        <v/>
      </c>
      <c r="C905" s="14" t="str">
        <f>IF($A905&lt;&gt;"",MINIFS(Merchant!$A:$A,Merchant!$B:$B,$G$2),)</f>
        <v/>
      </c>
      <c r="D905" s="14" t="str">
        <f t="shared" si="2"/>
        <v/>
      </c>
      <c r="E905" s="14" t="str">
        <f t="shared" si="3"/>
        <v/>
      </c>
      <c r="F905" s="7" t="str">
        <f>IF($A905&lt;&gt;"",MAXIFS(Token!$C:$C,Token!$A:$A,$D905),)</f>
        <v/>
      </c>
    </row>
    <row r="906">
      <c r="A906" s="39" t="str">
        <f>IF(AND($L906*1&gt;=$G$3,$L906*1&lt;=$G$4,$I906*$J906&gt;0,OR($I906&lt;&gt;$I907,$L906-$L907&gt;25),IF(ABS($I906)&gt;10,$I906/POW(10,$J906),$J906/POW(10,$I906))*MAXIFS(Token!$C:$C,Token!$A:$A,$K906)&gt;0.01),$L906/86400+DATE(1970,1,1)+$G$6,)</f>
        <v/>
      </c>
      <c r="B906" s="27" t="str">
        <f t="shared" si="1"/>
        <v/>
      </c>
      <c r="C906" s="14" t="str">
        <f>IF($A906&lt;&gt;"",MINIFS(Merchant!$A:$A,Merchant!$B:$B,$G$2),)</f>
        <v/>
      </c>
      <c r="D906" s="14" t="str">
        <f t="shared" si="2"/>
        <v/>
      </c>
      <c r="E906" s="14" t="str">
        <f t="shared" si="3"/>
        <v/>
      </c>
      <c r="F906" s="7" t="str">
        <f>IF($A906&lt;&gt;"",MAXIFS(Token!$C:$C,Token!$A:$A,$D906),)</f>
        <v/>
      </c>
    </row>
    <row r="907">
      <c r="A907" s="39" t="str">
        <f>IF(AND($L907*1&gt;=$G$3,$L907*1&lt;=$G$4,$I907*$J907&gt;0,OR($I907&lt;&gt;$I908,$L907-$L908&gt;25),IF(ABS($I907)&gt;10,$I907/POW(10,$J907),$J907/POW(10,$I907))*MAXIFS(Token!$C:$C,Token!$A:$A,$K907)&gt;0.01),$L907/86400+DATE(1970,1,1)+$G$6,)</f>
        <v/>
      </c>
      <c r="B907" s="27" t="str">
        <f t="shared" si="1"/>
        <v/>
      </c>
      <c r="C907" s="14" t="str">
        <f>IF($A907&lt;&gt;"",MINIFS(Merchant!$A:$A,Merchant!$B:$B,$G$2),)</f>
        <v/>
      </c>
      <c r="D907" s="14" t="str">
        <f t="shared" si="2"/>
        <v/>
      </c>
      <c r="E907" s="14" t="str">
        <f t="shared" si="3"/>
        <v/>
      </c>
      <c r="F907" s="7" t="str">
        <f>IF($A907&lt;&gt;"",MAXIFS(Token!$C:$C,Token!$A:$A,$D907),)</f>
        <v/>
      </c>
    </row>
    <row r="908">
      <c r="A908" s="39" t="str">
        <f>IF(AND($L908*1&gt;=$G$3,$L908*1&lt;=$G$4,$I908*$J908&gt;0,OR($I908&lt;&gt;$I909,$L908-$L909&gt;25),IF(ABS($I908)&gt;10,$I908/POW(10,$J908),$J908/POW(10,$I908))*MAXIFS(Token!$C:$C,Token!$A:$A,$K908)&gt;0.01),$L908/86400+DATE(1970,1,1)+$G$6,)</f>
        <v/>
      </c>
      <c r="B908" s="27" t="str">
        <f t="shared" si="1"/>
        <v/>
      </c>
      <c r="C908" s="14" t="str">
        <f>IF($A908&lt;&gt;"",MINIFS(Merchant!$A:$A,Merchant!$B:$B,$G$2),)</f>
        <v/>
      </c>
      <c r="D908" s="14" t="str">
        <f t="shared" si="2"/>
        <v/>
      </c>
      <c r="E908" s="14" t="str">
        <f t="shared" si="3"/>
        <v/>
      </c>
      <c r="F908" s="7" t="str">
        <f>IF($A908&lt;&gt;"",MAXIFS(Token!$C:$C,Token!$A:$A,$D908),)</f>
        <v/>
      </c>
    </row>
    <row r="909">
      <c r="A909" s="39" t="str">
        <f>IF(AND($L909*1&gt;=$G$3,$L909*1&lt;=$G$4,$I909*$J909&gt;0,OR($I909&lt;&gt;$I910,$L909-$L910&gt;25),IF(ABS($I909)&gt;10,$I909/POW(10,$J909),$J909/POW(10,$I909))*MAXIFS(Token!$C:$C,Token!$A:$A,$K909)&gt;0.01),$L909/86400+DATE(1970,1,1)+$G$6,)</f>
        <v/>
      </c>
      <c r="B909" s="27" t="str">
        <f t="shared" si="1"/>
        <v/>
      </c>
      <c r="C909" s="14" t="str">
        <f>IF($A909&lt;&gt;"",MINIFS(Merchant!$A:$A,Merchant!$B:$B,$G$2),)</f>
        <v/>
      </c>
      <c r="D909" s="14" t="str">
        <f t="shared" si="2"/>
        <v/>
      </c>
      <c r="E909" s="14" t="str">
        <f t="shared" si="3"/>
        <v/>
      </c>
      <c r="F909" s="7" t="str">
        <f>IF($A909&lt;&gt;"",MAXIFS(Token!$C:$C,Token!$A:$A,$D909),)</f>
        <v/>
      </c>
    </row>
    <row r="910">
      <c r="A910" s="39" t="str">
        <f>IF(AND($L910*1&gt;=$G$3,$L910*1&lt;=$G$4,$I910*$J910&gt;0,OR($I910&lt;&gt;$I911,$L910-$L911&gt;25),IF(ABS($I910)&gt;10,$I910/POW(10,$J910),$J910/POW(10,$I910))*MAXIFS(Token!$C:$C,Token!$A:$A,$K910)&gt;0.01),$L910/86400+DATE(1970,1,1)+$G$6,)</f>
        <v/>
      </c>
      <c r="B910" s="27" t="str">
        <f t="shared" si="1"/>
        <v/>
      </c>
      <c r="C910" s="14" t="str">
        <f>IF($A910&lt;&gt;"",MINIFS(Merchant!$A:$A,Merchant!$B:$B,$G$2),)</f>
        <v/>
      </c>
      <c r="D910" s="14" t="str">
        <f t="shared" si="2"/>
        <v/>
      </c>
      <c r="E910" s="14" t="str">
        <f t="shared" si="3"/>
        <v/>
      </c>
      <c r="F910" s="7" t="str">
        <f>IF($A910&lt;&gt;"",MAXIFS(Token!$C:$C,Token!$A:$A,$D910),)</f>
        <v/>
      </c>
    </row>
    <row r="911">
      <c r="A911" s="39" t="str">
        <f>IF(AND($L911*1&gt;=$G$3,$L911*1&lt;=$G$4,$I911*$J911&gt;0,OR($I911&lt;&gt;$I912,$L911-$L912&gt;25),IF(ABS($I911)&gt;10,$I911/POW(10,$J911),$J911/POW(10,$I911))*MAXIFS(Token!$C:$C,Token!$A:$A,$K911)&gt;0.01),$L911/86400+DATE(1970,1,1)+$G$6,)</f>
        <v/>
      </c>
      <c r="B911" s="27" t="str">
        <f t="shared" si="1"/>
        <v/>
      </c>
      <c r="C911" s="14" t="str">
        <f>IF($A911&lt;&gt;"",MINIFS(Merchant!$A:$A,Merchant!$B:$B,$G$2),)</f>
        <v/>
      </c>
      <c r="D911" s="14" t="str">
        <f t="shared" si="2"/>
        <v/>
      </c>
      <c r="E911" s="14" t="str">
        <f t="shared" si="3"/>
        <v/>
      </c>
      <c r="F911" s="7" t="str">
        <f>IF($A911&lt;&gt;"",MAXIFS(Token!$C:$C,Token!$A:$A,$D911),)</f>
        <v/>
      </c>
    </row>
    <row r="912">
      <c r="A912" s="39" t="str">
        <f>IF(AND($L912*1&gt;=$G$3,$L912*1&lt;=$G$4,$I912*$J912&gt;0,OR($I912&lt;&gt;$I913,$L912-$L913&gt;25),IF(ABS($I912)&gt;10,$I912/POW(10,$J912),$J912/POW(10,$I912))*MAXIFS(Token!$C:$C,Token!$A:$A,$K912)&gt;0.01),$L912/86400+DATE(1970,1,1)+$G$6,)</f>
        <v/>
      </c>
      <c r="B912" s="27" t="str">
        <f t="shared" si="1"/>
        <v/>
      </c>
      <c r="C912" s="14" t="str">
        <f>IF($A912&lt;&gt;"",MINIFS(Merchant!$A:$A,Merchant!$B:$B,$G$2),)</f>
        <v/>
      </c>
      <c r="D912" s="14" t="str">
        <f t="shared" si="2"/>
        <v/>
      </c>
      <c r="E912" s="14" t="str">
        <f t="shared" si="3"/>
        <v/>
      </c>
      <c r="F912" s="7" t="str">
        <f>IF($A912&lt;&gt;"",MAXIFS(Token!$C:$C,Token!$A:$A,$D912),)</f>
        <v/>
      </c>
    </row>
    <row r="913">
      <c r="A913" s="39" t="str">
        <f>IF(AND($L913*1&gt;=$G$3,$L913*1&lt;=$G$4,$I913*$J913&gt;0,OR($I913&lt;&gt;$I914,$L913-$L914&gt;25),IF(ABS($I913)&gt;10,$I913/POW(10,$J913),$J913/POW(10,$I913))*MAXIFS(Token!$C:$C,Token!$A:$A,$K913)&gt;0.01),$L913/86400+DATE(1970,1,1)+$G$6,)</f>
        <v/>
      </c>
      <c r="B913" s="27" t="str">
        <f t="shared" si="1"/>
        <v/>
      </c>
      <c r="C913" s="14" t="str">
        <f>IF($A913&lt;&gt;"",MINIFS(Merchant!$A:$A,Merchant!$B:$B,$G$2),)</f>
        <v/>
      </c>
      <c r="D913" s="14" t="str">
        <f t="shared" si="2"/>
        <v/>
      </c>
      <c r="E913" s="14" t="str">
        <f t="shared" si="3"/>
        <v/>
      </c>
      <c r="F913" s="7" t="str">
        <f>IF($A913&lt;&gt;"",MAXIFS(Token!$C:$C,Token!$A:$A,$D913),)</f>
        <v/>
      </c>
    </row>
    <row r="914">
      <c r="A914" s="39" t="str">
        <f>IF(AND($L914*1&gt;=$G$3,$L914*1&lt;=$G$4,$I914*$J914&gt;0,OR($I914&lt;&gt;$I915,$L914-$L915&gt;25),IF(ABS($I914)&gt;10,$I914/POW(10,$J914),$J914/POW(10,$I914))*MAXIFS(Token!$C:$C,Token!$A:$A,$K914)&gt;0.01),$L914/86400+DATE(1970,1,1)+$G$6,)</f>
        <v/>
      </c>
      <c r="B914" s="27" t="str">
        <f t="shared" si="1"/>
        <v/>
      </c>
      <c r="C914" s="14" t="str">
        <f>IF($A914&lt;&gt;"",MINIFS(Merchant!$A:$A,Merchant!$B:$B,$G$2),)</f>
        <v/>
      </c>
      <c r="D914" s="14" t="str">
        <f t="shared" si="2"/>
        <v/>
      </c>
      <c r="E914" s="14" t="str">
        <f t="shared" si="3"/>
        <v/>
      </c>
      <c r="F914" s="7" t="str">
        <f>IF($A914&lt;&gt;"",MAXIFS(Token!$C:$C,Token!$A:$A,$D914),)</f>
        <v/>
      </c>
    </row>
    <row r="915">
      <c r="A915" s="39" t="str">
        <f>IF(AND($L915*1&gt;=$G$3,$L915*1&lt;=$G$4,$I915*$J915&gt;0,OR($I915&lt;&gt;$I916,$L915-$L916&gt;25),IF(ABS($I915)&gt;10,$I915/POW(10,$J915),$J915/POW(10,$I915))*MAXIFS(Token!$C:$C,Token!$A:$A,$K915)&gt;0.01),$L915/86400+DATE(1970,1,1)+$G$6,)</f>
        <v/>
      </c>
      <c r="B915" s="27" t="str">
        <f t="shared" si="1"/>
        <v/>
      </c>
      <c r="C915" s="14" t="str">
        <f>IF($A915&lt;&gt;"",MINIFS(Merchant!$A:$A,Merchant!$B:$B,$G$2),)</f>
        <v/>
      </c>
      <c r="D915" s="14" t="str">
        <f t="shared" si="2"/>
        <v/>
      </c>
      <c r="E915" s="14" t="str">
        <f t="shared" si="3"/>
        <v/>
      </c>
      <c r="F915" s="7" t="str">
        <f>IF($A915&lt;&gt;"",MAXIFS(Token!$C:$C,Token!$A:$A,$D915),)</f>
        <v/>
      </c>
    </row>
    <row r="916">
      <c r="A916" s="39" t="str">
        <f>IF(AND($L916*1&gt;=$G$3,$L916*1&lt;=$G$4,$I916*$J916&gt;0,OR($I916&lt;&gt;$I917,$L916-$L917&gt;25),IF(ABS($I916)&gt;10,$I916/POW(10,$J916),$J916/POW(10,$I916))*MAXIFS(Token!$C:$C,Token!$A:$A,$K916)&gt;0.01),$L916/86400+DATE(1970,1,1)+$G$6,)</f>
        <v/>
      </c>
      <c r="B916" s="27" t="str">
        <f t="shared" si="1"/>
        <v/>
      </c>
      <c r="C916" s="14" t="str">
        <f>IF($A916&lt;&gt;"",MINIFS(Merchant!$A:$A,Merchant!$B:$B,$G$2),)</f>
        <v/>
      </c>
      <c r="D916" s="14" t="str">
        <f t="shared" si="2"/>
        <v/>
      </c>
      <c r="E916" s="14" t="str">
        <f t="shared" si="3"/>
        <v/>
      </c>
      <c r="F916" s="7" t="str">
        <f>IF($A916&lt;&gt;"",MAXIFS(Token!$C:$C,Token!$A:$A,$D916),)</f>
        <v/>
      </c>
    </row>
    <row r="917">
      <c r="A917" s="39" t="str">
        <f>IF(AND($L917*1&gt;=$G$3,$L917*1&lt;=$G$4,$I917*$J917&gt;0,OR($I917&lt;&gt;$I918,$L917-$L918&gt;25),IF(ABS($I917)&gt;10,$I917/POW(10,$J917),$J917/POW(10,$I917))*MAXIFS(Token!$C:$C,Token!$A:$A,$K917)&gt;0.01),$L917/86400+DATE(1970,1,1)+$G$6,)</f>
        <v/>
      </c>
      <c r="B917" s="27" t="str">
        <f t="shared" si="1"/>
        <v/>
      </c>
      <c r="C917" s="14" t="str">
        <f>IF($A917&lt;&gt;"",MINIFS(Merchant!$A:$A,Merchant!$B:$B,$G$2),)</f>
        <v/>
      </c>
      <c r="D917" s="14" t="str">
        <f t="shared" si="2"/>
        <v/>
      </c>
      <c r="E917" s="14" t="str">
        <f t="shared" si="3"/>
        <v/>
      </c>
      <c r="F917" s="7" t="str">
        <f>IF($A917&lt;&gt;"",MAXIFS(Token!$C:$C,Token!$A:$A,$D917),)</f>
        <v/>
      </c>
    </row>
    <row r="918">
      <c r="A918" s="39" t="str">
        <f>IF(AND($L918*1&gt;=$G$3,$L918*1&lt;=$G$4,$I918*$J918&gt;0,OR($I918&lt;&gt;$I919,$L918-$L919&gt;25),IF(ABS($I918)&gt;10,$I918/POW(10,$J918),$J918/POW(10,$I918))*MAXIFS(Token!$C:$C,Token!$A:$A,$K918)&gt;0.01),$L918/86400+DATE(1970,1,1)+$G$6,)</f>
        <v/>
      </c>
      <c r="B918" s="27" t="str">
        <f t="shared" si="1"/>
        <v/>
      </c>
      <c r="C918" s="14" t="str">
        <f>IF($A918&lt;&gt;"",MINIFS(Merchant!$A:$A,Merchant!$B:$B,$G$2),)</f>
        <v/>
      </c>
      <c r="D918" s="14" t="str">
        <f t="shared" si="2"/>
        <v/>
      </c>
      <c r="E918" s="14" t="str">
        <f t="shared" si="3"/>
        <v/>
      </c>
      <c r="F918" s="7" t="str">
        <f>IF($A918&lt;&gt;"",MAXIFS(Token!$C:$C,Token!$A:$A,$D918),)</f>
        <v/>
      </c>
    </row>
    <row r="919">
      <c r="A919" s="39" t="str">
        <f>IF(AND($L919*1&gt;=$G$3,$L919*1&lt;=$G$4,$I919*$J919&gt;0,OR($I919&lt;&gt;$I920,$L919-$L920&gt;25),IF(ABS($I919)&gt;10,$I919/POW(10,$J919),$J919/POW(10,$I919))*MAXIFS(Token!$C:$C,Token!$A:$A,$K919)&gt;0.01),$L919/86400+DATE(1970,1,1)+$G$6,)</f>
        <v/>
      </c>
      <c r="B919" s="27" t="str">
        <f t="shared" si="1"/>
        <v/>
      </c>
      <c r="C919" s="14" t="str">
        <f>IF($A919&lt;&gt;"",MINIFS(Merchant!$A:$A,Merchant!$B:$B,$G$2),)</f>
        <v/>
      </c>
      <c r="D919" s="14" t="str">
        <f t="shared" si="2"/>
        <v/>
      </c>
      <c r="E919" s="14" t="str">
        <f t="shared" si="3"/>
        <v/>
      </c>
      <c r="F919" s="7" t="str">
        <f>IF($A919&lt;&gt;"",MAXIFS(Token!$C:$C,Token!$A:$A,$D919),)</f>
        <v/>
      </c>
    </row>
    <row r="920">
      <c r="A920" s="39" t="str">
        <f>IF(AND($L920*1&gt;=$G$3,$L920*1&lt;=$G$4,$I920*$J920&gt;0,OR($I920&lt;&gt;$I921,$L920-$L921&gt;25),IF(ABS($I920)&gt;10,$I920/POW(10,$J920),$J920/POW(10,$I920))*MAXIFS(Token!$C:$C,Token!$A:$A,$K920)&gt;0.01),$L920/86400+DATE(1970,1,1)+$G$6,)</f>
        <v/>
      </c>
      <c r="B920" s="27" t="str">
        <f t="shared" si="1"/>
        <v/>
      </c>
      <c r="C920" s="14" t="str">
        <f>IF($A920&lt;&gt;"",MINIFS(Merchant!$A:$A,Merchant!$B:$B,$G$2),)</f>
        <v/>
      </c>
      <c r="D920" s="14" t="str">
        <f t="shared" si="2"/>
        <v/>
      </c>
      <c r="E920" s="14" t="str">
        <f t="shared" si="3"/>
        <v/>
      </c>
      <c r="F920" s="7" t="str">
        <f>IF($A920&lt;&gt;"",MAXIFS(Token!$C:$C,Token!$A:$A,$D920),)</f>
        <v/>
      </c>
    </row>
    <row r="921">
      <c r="A921" s="39" t="str">
        <f>IF(AND($L921*1&gt;=$G$3,$L921*1&lt;=$G$4,$I921*$J921&gt;0,OR($I921&lt;&gt;$I922,$L921-$L922&gt;25),IF(ABS($I921)&gt;10,$I921/POW(10,$J921),$J921/POW(10,$I921))*MAXIFS(Token!$C:$C,Token!$A:$A,$K921)&gt;0.01),$L921/86400+DATE(1970,1,1)+$G$6,)</f>
        <v/>
      </c>
      <c r="B921" s="27" t="str">
        <f t="shared" si="1"/>
        <v/>
      </c>
      <c r="C921" s="14" t="str">
        <f>IF($A921&lt;&gt;"",MINIFS(Merchant!$A:$A,Merchant!$B:$B,$G$2),)</f>
        <v/>
      </c>
      <c r="D921" s="14" t="str">
        <f t="shared" si="2"/>
        <v/>
      </c>
      <c r="E921" s="14" t="str">
        <f t="shared" si="3"/>
        <v/>
      </c>
      <c r="F921" s="7" t="str">
        <f>IF($A921&lt;&gt;"",MAXIFS(Token!$C:$C,Token!$A:$A,$D921),)</f>
        <v/>
      </c>
    </row>
    <row r="922">
      <c r="A922" s="39" t="str">
        <f>IF(AND($L922*1&gt;=$G$3,$L922*1&lt;=$G$4,$I922*$J922&gt;0,OR($I922&lt;&gt;$I923,$L922-$L923&gt;25),IF(ABS($I922)&gt;10,$I922/POW(10,$J922),$J922/POW(10,$I922))*MAXIFS(Token!$C:$C,Token!$A:$A,$K922)&gt;0.01),$L922/86400+DATE(1970,1,1)+$G$6,)</f>
        <v/>
      </c>
      <c r="B922" s="27" t="str">
        <f t="shared" si="1"/>
        <v/>
      </c>
      <c r="C922" s="14" t="str">
        <f>IF($A922&lt;&gt;"",MINIFS(Merchant!$A:$A,Merchant!$B:$B,$G$2),)</f>
        <v/>
      </c>
      <c r="D922" s="14" t="str">
        <f t="shared" si="2"/>
        <v/>
      </c>
      <c r="E922" s="14" t="str">
        <f t="shared" si="3"/>
        <v/>
      </c>
      <c r="F922" s="7" t="str">
        <f>IF($A922&lt;&gt;"",MAXIFS(Token!$C:$C,Token!$A:$A,$D922),)</f>
        <v/>
      </c>
    </row>
    <row r="923">
      <c r="A923" s="39" t="str">
        <f>IF(AND($L923*1&gt;=$G$3,$L923*1&lt;=$G$4,$I923*$J923&gt;0,OR($I923&lt;&gt;$I924,$L923-$L924&gt;25),IF(ABS($I923)&gt;10,$I923/POW(10,$J923),$J923/POW(10,$I923))*MAXIFS(Token!$C:$C,Token!$A:$A,$K923)&gt;0.01),$L923/86400+DATE(1970,1,1)+$G$6,)</f>
        <v/>
      </c>
      <c r="B923" s="27" t="str">
        <f t="shared" si="1"/>
        <v/>
      </c>
      <c r="C923" s="14" t="str">
        <f>IF($A923&lt;&gt;"",MINIFS(Merchant!$A:$A,Merchant!$B:$B,$G$2),)</f>
        <v/>
      </c>
      <c r="D923" s="14" t="str">
        <f t="shared" si="2"/>
        <v/>
      </c>
      <c r="E923" s="14" t="str">
        <f t="shared" si="3"/>
        <v/>
      </c>
      <c r="F923" s="7" t="str">
        <f>IF($A923&lt;&gt;"",MAXIFS(Token!$C:$C,Token!$A:$A,$D923),)</f>
        <v/>
      </c>
    </row>
    <row r="924">
      <c r="A924" s="39" t="str">
        <f>IF(AND($L924*1&gt;=$G$3,$L924*1&lt;=$G$4,$I924*$J924&gt;0,OR($I924&lt;&gt;$I925,$L924-$L925&gt;25),IF(ABS($I924)&gt;10,$I924/POW(10,$J924),$J924/POW(10,$I924))*MAXIFS(Token!$C:$C,Token!$A:$A,$K924)&gt;0.01),$L924/86400+DATE(1970,1,1)+$G$6,)</f>
        <v/>
      </c>
      <c r="B924" s="27" t="str">
        <f t="shared" si="1"/>
        <v/>
      </c>
      <c r="C924" s="14" t="str">
        <f>IF($A924&lt;&gt;"",MINIFS(Merchant!$A:$A,Merchant!$B:$B,$G$2),)</f>
        <v/>
      </c>
      <c r="D924" s="14" t="str">
        <f t="shared" si="2"/>
        <v/>
      </c>
      <c r="E924" s="14" t="str">
        <f t="shared" si="3"/>
        <v/>
      </c>
      <c r="F924" s="7" t="str">
        <f>IF($A924&lt;&gt;"",MAXIFS(Token!$C:$C,Token!$A:$A,$D924),)</f>
        <v/>
      </c>
    </row>
    <row r="925">
      <c r="A925" s="39" t="str">
        <f>IF(AND($L925*1&gt;=$G$3,$L925*1&lt;=$G$4,$I925*$J925&gt;0,OR($I925&lt;&gt;$I926,$L925-$L926&gt;25),IF(ABS($I925)&gt;10,$I925/POW(10,$J925),$J925/POW(10,$I925))*MAXIFS(Token!$C:$C,Token!$A:$A,$K925)&gt;0.01),$L925/86400+DATE(1970,1,1)+$G$6,)</f>
        <v/>
      </c>
      <c r="B925" s="27" t="str">
        <f t="shared" si="1"/>
        <v/>
      </c>
      <c r="C925" s="14" t="str">
        <f>IF($A925&lt;&gt;"",MINIFS(Merchant!$A:$A,Merchant!$B:$B,$G$2),)</f>
        <v/>
      </c>
      <c r="D925" s="14" t="str">
        <f t="shared" si="2"/>
        <v/>
      </c>
      <c r="E925" s="14" t="str">
        <f t="shared" si="3"/>
        <v/>
      </c>
      <c r="F925" s="7" t="str">
        <f>IF($A925&lt;&gt;"",MAXIFS(Token!$C:$C,Token!$A:$A,$D925),)</f>
        <v/>
      </c>
    </row>
    <row r="926">
      <c r="A926" s="39" t="str">
        <f>IF(AND($L926*1&gt;=$G$3,$L926*1&lt;=$G$4,$I926*$J926&gt;0,OR($I926&lt;&gt;$I927,$L926-$L927&gt;25),IF(ABS($I926)&gt;10,$I926/POW(10,$J926),$J926/POW(10,$I926))*MAXIFS(Token!$C:$C,Token!$A:$A,$K926)&gt;0.01),$L926/86400+DATE(1970,1,1)+$G$6,)</f>
        <v/>
      </c>
      <c r="B926" s="27" t="str">
        <f t="shared" si="1"/>
        <v/>
      </c>
      <c r="C926" s="14" t="str">
        <f>IF($A926&lt;&gt;"",MINIFS(Merchant!$A:$A,Merchant!$B:$B,$G$2),)</f>
        <v/>
      </c>
      <c r="D926" s="14" t="str">
        <f t="shared" si="2"/>
        <v/>
      </c>
      <c r="E926" s="14" t="str">
        <f t="shared" si="3"/>
        <v/>
      </c>
      <c r="F926" s="7" t="str">
        <f>IF($A926&lt;&gt;"",MAXIFS(Token!$C:$C,Token!$A:$A,$D926),)</f>
        <v/>
      </c>
    </row>
    <row r="927">
      <c r="A927" s="39" t="str">
        <f>IF(AND($L927*1&gt;=$G$3,$L927*1&lt;=$G$4,$I927*$J927&gt;0,OR($I927&lt;&gt;$I928,$L927-$L928&gt;25),IF(ABS($I927)&gt;10,$I927/POW(10,$J927),$J927/POW(10,$I927))*MAXIFS(Token!$C:$C,Token!$A:$A,$K927)&gt;0.01),$L927/86400+DATE(1970,1,1)+$G$6,)</f>
        <v/>
      </c>
      <c r="B927" s="27" t="str">
        <f t="shared" si="1"/>
        <v/>
      </c>
      <c r="C927" s="14" t="str">
        <f>IF($A927&lt;&gt;"",MINIFS(Merchant!$A:$A,Merchant!$B:$B,$G$2),)</f>
        <v/>
      </c>
      <c r="D927" s="14" t="str">
        <f t="shared" si="2"/>
        <v/>
      </c>
      <c r="E927" s="14" t="str">
        <f t="shared" si="3"/>
        <v/>
      </c>
      <c r="F927" s="7" t="str">
        <f>IF($A927&lt;&gt;"",MAXIFS(Token!$C:$C,Token!$A:$A,$D927),)</f>
        <v/>
      </c>
    </row>
    <row r="928">
      <c r="A928" s="39" t="str">
        <f>IF(AND($L928*1&gt;=$G$3,$L928*1&lt;=$G$4,$I928*$J928&gt;0,OR($I928&lt;&gt;$I929,$L928-$L929&gt;25),IF(ABS($I928)&gt;10,$I928/POW(10,$J928),$J928/POW(10,$I928))*MAXIFS(Token!$C:$C,Token!$A:$A,$K928)&gt;0.01),$L928/86400+DATE(1970,1,1)+$G$6,)</f>
        <v/>
      </c>
      <c r="B928" s="27" t="str">
        <f t="shared" si="1"/>
        <v/>
      </c>
      <c r="C928" s="14" t="str">
        <f>IF($A928&lt;&gt;"",MINIFS(Merchant!$A:$A,Merchant!$B:$B,$G$2),)</f>
        <v/>
      </c>
      <c r="D928" s="14" t="str">
        <f t="shared" si="2"/>
        <v/>
      </c>
      <c r="E928" s="14" t="str">
        <f t="shared" si="3"/>
        <v/>
      </c>
      <c r="F928" s="7" t="str">
        <f>IF($A928&lt;&gt;"",MAXIFS(Token!$C:$C,Token!$A:$A,$D928),)</f>
        <v/>
      </c>
    </row>
    <row r="929">
      <c r="A929" s="39" t="str">
        <f>IF(AND($L929*1&gt;=$G$3,$L929*1&lt;=$G$4,$I929*$J929&gt;0,OR($I929&lt;&gt;$I930,$L929-$L930&gt;25),IF(ABS($I929)&gt;10,$I929/POW(10,$J929),$J929/POW(10,$I929))*MAXIFS(Token!$C:$C,Token!$A:$A,$K929)&gt;0.01),$L929/86400+DATE(1970,1,1)+$G$6,)</f>
        <v/>
      </c>
      <c r="B929" s="27" t="str">
        <f t="shared" si="1"/>
        <v/>
      </c>
      <c r="C929" s="14" t="str">
        <f>IF($A929&lt;&gt;"",MINIFS(Merchant!$A:$A,Merchant!$B:$B,$G$2),)</f>
        <v/>
      </c>
      <c r="D929" s="14" t="str">
        <f t="shared" si="2"/>
        <v/>
      </c>
      <c r="E929" s="14" t="str">
        <f t="shared" si="3"/>
        <v/>
      </c>
      <c r="F929" s="7" t="str">
        <f>IF($A929&lt;&gt;"",MAXIFS(Token!$C:$C,Token!$A:$A,$D929),)</f>
        <v/>
      </c>
    </row>
    <row r="930">
      <c r="A930" s="39" t="str">
        <f>IF(AND($L930*1&gt;=$G$3,$L930*1&lt;=$G$4,$I930*$J930&gt;0,OR($I930&lt;&gt;$I931,$L930-$L931&gt;25),IF(ABS($I930)&gt;10,$I930/POW(10,$J930),$J930/POW(10,$I930))*MAXIFS(Token!$C:$C,Token!$A:$A,$K930)&gt;0.01),$L930/86400+DATE(1970,1,1)+$G$6,)</f>
        <v/>
      </c>
      <c r="B930" s="27" t="str">
        <f t="shared" si="1"/>
        <v/>
      </c>
      <c r="C930" s="14" t="str">
        <f>IF($A930&lt;&gt;"",MINIFS(Merchant!$A:$A,Merchant!$B:$B,$G$2),)</f>
        <v/>
      </c>
      <c r="D930" s="14" t="str">
        <f t="shared" si="2"/>
        <v/>
      </c>
      <c r="E930" s="14" t="str">
        <f t="shared" si="3"/>
        <v/>
      </c>
      <c r="F930" s="7" t="str">
        <f>IF($A930&lt;&gt;"",MAXIFS(Token!$C:$C,Token!$A:$A,$D930),)</f>
        <v/>
      </c>
    </row>
    <row r="931">
      <c r="A931" s="39" t="str">
        <f>IF(AND($L931*1&gt;=$G$3,$L931*1&lt;=$G$4,$I931*$J931&gt;0,OR($I931&lt;&gt;$I932,$L931-$L932&gt;25),IF(ABS($I931)&gt;10,$I931/POW(10,$J931),$J931/POW(10,$I931))*MAXIFS(Token!$C:$C,Token!$A:$A,$K931)&gt;0.01),$L931/86400+DATE(1970,1,1)+$G$6,)</f>
        <v/>
      </c>
      <c r="B931" s="27" t="str">
        <f t="shared" si="1"/>
        <v/>
      </c>
      <c r="C931" s="14" t="str">
        <f>IF($A931&lt;&gt;"",MINIFS(Merchant!$A:$A,Merchant!$B:$B,$G$2),)</f>
        <v/>
      </c>
      <c r="D931" s="14" t="str">
        <f t="shared" si="2"/>
        <v/>
      </c>
      <c r="E931" s="14" t="str">
        <f t="shared" si="3"/>
        <v/>
      </c>
      <c r="F931" s="7" t="str">
        <f>IF($A931&lt;&gt;"",MAXIFS(Token!$C:$C,Token!$A:$A,$D931),)</f>
        <v/>
      </c>
    </row>
    <row r="932">
      <c r="A932" s="39" t="str">
        <f>IF(AND($L932*1&gt;=$G$3,$L932*1&lt;=$G$4,$I932*$J932&gt;0,OR($I932&lt;&gt;$I933,$L932-$L933&gt;25),IF(ABS($I932)&gt;10,$I932/POW(10,$J932),$J932/POW(10,$I932))*MAXIFS(Token!$C:$C,Token!$A:$A,$K932)&gt;0.01),$L932/86400+DATE(1970,1,1)+$G$6,)</f>
        <v/>
      </c>
      <c r="B932" s="27" t="str">
        <f t="shared" si="1"/>
        <v/>
      </c>
      <c r="C932" s="14" t="str">
        <f>IF($A932&lt;&gt;"",MINIFS(Merchant!$A:$A,Merchant!$B:$B,$G$2),)</f>
        <v/>
      </c>
      <c r="D932" s="14" t="str">
        <f t="shared" si="2"/>
        <v/>
      </c>
      <c r="E932" s="14" t="str">
        <f t="shared" si="3"/>
        <v/>
      </c>
      <c r="F932" s="7" t="str">
        <f>IF($A932&lt;&gt;"",MAXIFS(Token!$C:$C,Token!$A:$A,$D932),)</f>
        <v/>
      </c>
    </row>
    <row r="933">
      <c r="A933" s="39" t="str">
        <f>IF(AND($L933*1&gt;=$G$3,$L933*1&lt;=$G$4,$I933*$J933&gt;0,OR($I933&lt;&gt;$I934,$L933-$L934&gt;25),IF(ABS($I933)&gt;10,$I933/POW(10,$J933),$J933/POW(10,$I933))*MAXIFS(Token!$C:$C,Token!$A:$A,$K933)&gt;0.01),$L933/86400+DATE(1970,1,1)+$G$6,)</f>
        <v/>
      </c>
      <c r="B933" s="27" t="str">
        <f t="shared" si="1"/>
        <v/>
      </c>
      <c r="C933" s="14" t="str">
        <f>IF($A933&lt;&gt;"",MINIFS(Merchant!$A:$A,Merchant!$B:$B,$G$2),)</f>
        <v/>
      </c>
      <c r="D933" s="14" t="str">
        <f t="shared" si="2"/>
        <v/>
      </c>
      <c r="E933" s="14" t="str">
        <f t="shared" si="3"/>
        <v/>
      </c>
      <c r="F933" s="7" t="str">
        <f>IF($A933&lt;&gt;"",MAXIFS(Token!$C:$C,Token!$A:$A,$D933),)</f>
        <v/>
      </c>
    </row>
    <row r="934">
      <c r="A934" s="39" t="str">
        <f>IF(AND($L934*1&gt;=$G$3,$L934*1&lt;=$G$4,$I934*$J934&gt;0,OR($I934&lt;&gt;$I935,$L934-$L935&gt;25),IF(ABS($I934)&gt;10,$I934/POW(10,$J934),$J934/POW(10,$I934))*MAXIFS(Token!$C:$C,Token!$A:$A,$K934)&gt;0.01),$L934/86400+DATE(1970,1,1)+$G$6,)</f>
        <v/>
      </c>
      <c r="B934" s="27" t="str">
        <f t="shared" si="1"/>
        <v/>
      </c>
      <c r="C934" s="14" t="str">
        <f>IF($A934&lt;&gt;"",MINIFS(Merchant!$A:$A,Merchant!$B:$B,$G$2),)</f>
        <v/>
      </c>
      <c r="D934" s="14" t="str">
        <f t="shared" si="2"/>
        <v/>
      </c>
      <c r="E934" s="14" t="str">
        <f t="shared" si="3"/>
        <v/>
      </c>
      <c r="F934" s="7" t="str">
        <f>IF($A934&lt;&gt;"",MAXIFS(Token!$C:$C,Token!$A:$A,$D934),)</f>
        <v/>
      </c>
    </row>
    <row r="935">
      <c r="A935" s="39" t="str">
        <f>IF(AND($L935*1&gt;=$G$3,$L935*1&lt;=$G$4,$I935*$J935&gt;0,OR($I935&lt;&gt;$I936,$L935-$L936&gt;25),IF(ABS($I935)&gt;10,$I935/POW(10,$J935),$J935/POW(10,$I935))*MAXIFS(Token!$C:$C,Token!$A:$A,$K935)&gt;0.01),$L935/86400+DATE(1970,1,1)+$G$6,)</f>
        <v/>
      </c>
      <c r="B935" s="27" t="str">
        <f t="shared" si="1"/>
        <v/>
      </c>
      <c r="C935" s="14" t="str">
        <f>IF($A935&lt;&gt;"",MINIFS(Merchant!$A:$A,Merchant!$B:$B,$G$2),)</f>
        <v/>
      </c>
      <c r="D935" s="14" t="str">
        <f t="shared" si="2"/>
        <v/>
      </c>
      <c r="E935" s="14" t="str">
        <f t="shared" si="3"/>
        <v/>
      </c>
      <c r="F935" s="7" t="str">
        <f>IF($A935&lt;&gt;"",MAXIFS(Token!$C:$C,Token!$A:$A,$D935),)</f>
        <v/>
      </c>
    </row>
    <row r="936">
      <c r="A936" s="39" t="str">
        <f>IF(AND($L936*1&gt;=$G$3,$L936*1&lt;=$G$4,$I936*$J936&gt;0,OR($I936&lt;&gt;$I937,$L936-$L937&gt;25),IF(ABS($I936)&gt;10,$I936/POW(10,$J936),$J936/POW(10,$I936))*MAXIFS(Token!$C:$C,Token!$A:$A,$K936)&gt;0.01),$L936/86400+DATE(1970,1,1)+$G$6,)</f>
        <v/>
      </c>
      <c r="B936" s="27" t="str">
        <f t="shared" si="1"/>
        <v/>
      </c>
      <c r="C936" s="14" t="str">
        <f>IF($A936&lt;&gt;"",MINIFS(Merchant!$A:$A,Merchant!$B:$B,$G$2),)</f>
        <v/>
      </c>
      <c r="D936" s="14" t="str">
        <f t="shared" si="2"/>
        <v/>
      </c>
      <c r="E936" s="14" t="str">
        <f t="shared" si="3"/>
        <v/>
      </c>
      <c r="F936" s="7" t="str">
        <f>IF($A936&lt;&gt;"",MAXIFS(Token!$C:$C,Token!$A:$A,$D936),)</f>
        <v/>
      </c>
    </row>
    <row r="937">
      <c r="A937" s="39" t="str">
        <f>IF(AND($L937*1&gt;=$G$3,$L937*1&lt;=$G$4,$I937*$J937&gt;0,OR($I937&lt;&gt;$I938,$L937-$L938&gt;25),IF(ABS($I937)&gt;10,$I937/POW(10,$J937),$J937/POW(10,$I937))*MAXIFS(Token!$C:$C,Token!$A:$A,$K937)&gt;0.01),$L937/86400+DATE(1970,1,1)+$G$6,)</f>
        <v/>
      </c>
      <c r="B937" s="27" t="str">
        <f t="shared" si="1"/>
        <v/>
      </c>
      <c r="C937" s="14" t="str">
        <f>IF($A937&lt;&gt;"",MINIFS(Merchant!$A:$A,Merchant!$B:$B,$G$2),)</f>
        <v/>
      </c>
      <c r="D937" s="14" t="str">
        <f t="shared" si="2"/>
        <v/>
      </c>
      <c r="E937" s="14" t="str">
        <f t="shared" si="3"/>
        <v/>
      </c>
      <c r="F937" s="7" t="str">
        <f>IF($A937&lt;&gt;"",MAXIFS(Token!$C:$C,Token!$A:$A,$D937),)</f>
        <v/>
      </c>
    </row>
    <row r="938">
      <c r="A938" s="39" t="str">
        <f>IF(AND($L938*1&gt;=$G$3,$L938*1&lt;=$G$4,$I938*$J938&gt;0,OR($I938&lt;&gt;$I939,$L938-$L939&gt;25),IF(ABS($I938)&gt;10,$I938/POW(10,$J938),$J938/POW(10,$I938))*MAXIFS(Token!$C:$C,Token!$A:$A,$K938)&gt;0.01),$L938/86400+DATE(1970,1,1)+$G$6,)</f>
        <v/>
      </c>
      <c r="B938" s="27" t="str">
        <f t="shared" si="1"/>
        <v/>
      </c>
      <c r="C938" s="14" t="str">
        <f>IF($A938&lt;&gt;"",MINIFS(Merchant!$A:$A,Merchant!$B:$B,$G$2),)</f>
        <v/>
      </c>
      <c r="D938" s="14" t="str">
        <f t="shared" si="2"/>
        <v/>
      </c>
      <c r="E938" s="14" t="str">
        <f t="shared" si="3"/>
        <v/>
      </c>
      <c r="F938" s="7" t="str">
        <f>IF($A938&lt;&gt;"",MAXIFS(Token!$C:$C,Token!$A:$A,$D938),)</f>
        <v/>
      </c>
    </row>
    <row r="939">
      <c r="A939" s="39" t="str">
        <f>IF(AND($L939*1&gt;=$G$3,$L939*1&lt;=$G$4,$I939*$J939&gt;0,OR($I939&lt;&gt;$I940,$L939-$L940&gt;25),IF(ABS($I939)&gt;10,$I939/POW(10,$J939),$J939/POW(10,$I939))*MAXIFS(Token!$C:$C,Token!$A:$A,$K939)&gt;0.01),$L939/86400+DATE(1970,1,1)+$G$6,)</f>
        <v/>
      </c>
      <c r="B939" s="27" t="str">
        <f t="shared" si="1"/>
        <v/>
      </c>
      <c r="C939" s="14" t="str">
        <f>IF($A939&lt;&gt;"",MINIFS(Merchant!$A:$A,Merchant!$B:$B,$G$2),)</f>
        <v/>
      </c>
      <c r="D939" s="14" t="str">
        <f t="shared" si="2"/>
        <v/>
      </c>
      <c r="E939" s="14" t="str">
        <f t="shared" si="3"/>
        <v/>
      </c>
      <c r="F939" s="7" t="str">
        <f>IF($A939&lt;&gt;"",MAXIFS(Token!$C:$C,Token!$A:$A,$D939),)</f>
        <v/>
      </c>
    </row>
    <row r="940">
      <c r="A940" s="39" t="str">
        <f>IF(AND($L940*1&gt;=$G$3,$L940*1&lt;=$G$4,$I940*$J940&gt;0,OR($I940&lt;&gt;$I941,$L940-$L941&gt;25),IF(ABS($I940)&gt;10,$I940/POW(10,$J940),$J940/POW(10,$I940))*MAXIFS(Token!$C:$C,Token!$A:$A,$K940)&gt;0.01),$L940/86400+DATE(1970,1,1)+$G$6,)</f>
        <v/>
      </c>
      <c r="B940" s="27" t="str">
        <f t="shared" si="1"/>
        <v/>
      </c>
      <c r="C940" s="14" t="str">
        <f>IF($A940&lt;&gt;"",MINIFS(Merchant!$A:$A,Merchant!$B:$B,$G$2),)</f>
        <v/>
      </c>
      <c r="D940" s="14" t="str">
        <f t="shared" si="2"/>
        <v/>
      </c>
      <c r="E940" s="14" t="str">
        <f t="shared" si="3"/>
        <v/>
      </c>
      <c r="F940" s="7" t="str">
        <f>IF($A940&lt;&gt;"",MAXIFS(Token!$C:$C,Token!$A:$A,$D940),)</f>
        <v/>
      </c>
    </row>
    <row r="941">
      <c r="A941" s="39" t="str">
        <f>IF(AND($L941*1&gt;=$G$3,$L941*1&lt;=$G$4,$I941*$J941&gt;0,OR($I941&lt;&gt;$I942,$L941-$L942&gt;25),IF(ABS($I941)&gt;10,$I941/POW(10,$J941),$J941/POW(10,$I941))*MAXIFS(Token!$C:$C,Token!$A:$A,$K941)&gt;0.01),$L941/86400+DATE(1970,1,1)+$G$6,)</f>
        <v/>
      </c>
      <c r="B941" s="27" t="str">
        <f t="shared" si="1"/>
        <v/>
      </c>
      <c r="C941" s="14" t="str">
        <f>IF($A941&lt;&gt;"",MINIFS(Merchant!$A:$A,Merchant!$B:$B,$G$2),)</f>
        <v/>
      </c>
      <c r="D941" s="14" t="str">
        <f t="shared" si="2"/>
        <v/>
      </c>
      <c r="E941" s="14" t="str">
        <f t="shared" si="3"/>
        <v/>
      </c>
      <c r="F941" s="7" t="str">
        <f>IF($A941&lt;&gt;"",MAXIFS(Token!$C:$C,Token!$A:$A,$D941),)</f>
        <v/>
      </c>
    </row>
    <row r="942">
      <c r="A942" s="39" t="str">
        <f>IF(AND($L942*1&gt;=$G$3,$L942*1&lt;=$G$4,$I942*$J942&gt;0,OR($I942&lt;&gt;$I943,$L942-$L943&gt;25),IF(ABS($I942)&gt;10,$I942/POW(10,$J942),$J942/POW(10,$I942))*MAXIFS(Token!$C:$C,Token!$A:$A,$K942)&gt;0.01),$L942/86400+DATE(1970,1,1)+$G$6,)</f>
        <v/>
      </c>
      <c r="B942" s="27" t="str">
        <f t="shared" si="1"/>
        <v/>
      </c>
      <c r="C942" s="14" t="str">
        <f>IF($A942&lt;&gt;"",MINIFS(Merchant!$A:$A,Merchant!$B:$B,$G$2),)</f>
        <v/>
      </c>
      <c r="D942" s="14" t="str">
        <f t="shared" si="2"/>
        <v/>
      </c>
      <c r="E942" s="14" t="str">
        <f t="shared" si="3"/>
        <v/>
      </c>
      <c r="F942" s="7" t="str">
        <f>IF($A942&lt;&gt;"",MAXIFS(Token!$C:$C,Token!$A:$A,$D942),)</f>
        <v/>
      </c>
    </row>
    <row r="943">
      <c r="A943" s="39" t="str">
        <f>IF(AND($L943*1&gt;=$G$3,$L943*1&lt;=$G$4,$I943*$J943&gt;0,OR($I943&lt;&gt;$I944,$L943-$L944&gt;25),IF(ABS($I943)&gt;10,$I943/POW(10,$J943),$J943/POW(10,$I943))*MAXIFS(Token!$C:$C,Token!$A:$A,$K943)&gt;0.01),$L943/86400+DATE(1970,1,1)+$G$6,)</f>
        <v/>
      </c>
      <c r="B943" s="27" t="str">
        <f t="shared" si="1"/>
        <v/>
      </c>
      <c r="C943" s="14" t="str">
        <f>IF($A943&lt;&gt;"",MINIFS(Merchant!$A:$A,Merchant!$B:$B,$G$2),)</f>
        <v/>
      </c>
      <c r="D943" s="14" t="str">
        <f t="shared" si="2"/>
        <v/>
      </c>
      <c r="E943" s="14" t="str">
        <f t="shared" si="3"/>
        <v/>
      </c>
      <c r="F943" s="7" t="str">
        <f>IF($A943&lt;&gt;"",MAXIFS(Token!$C:$C,Token!$A:$A,$D943),)</f>
        <v/>
      </c>
    </row>
    <row r="944">
      <c r="A944" s="39" t="str">
        <f>IF(AND($L944*1&gt;=$G$3,$L944*1&lt;=$G$4,$I944*$J944&gt;0,OR($I944&lt;&gt;$I945,$L944-$L945&gt;25),IF(ABS($I944)&gt;10,$I944/POW(10,$J944),$J944/POW(10,$I944))*MAXIFS(Token!$C:$C,Token!$A:$A,$K944)&gt;0.01),$L944/86400+DATE(1970,1,1)+$G$6,)</f>
        <v/>
      </c>
      <c r="B944" s="27" t="str">
        <f t="shared" si="1"/>
        <v/>
      </c>
      <c r="C944" s="14" t="str">
        <f>IF($A944&lt;&gt;"",MINIFS(Merchant!$A:$A,Merchant!$B:$B,$G$2),)</f>
        <v/>
      </c>
      <c r="D944" s="14" t="str">
        <f t="shared" si="2"/>
        <v/>
      </c>
      <c r="E944" s="14" t="str">
        <f t="shared" si="3"/>
        <v/>
      </c>
      <c r="F944" s="7" t="str">
        <f>IF($A944&lt;&gt;"",MAXIFS(Token!$C:$C,Token!$A:$A,$D944),)</f>
        <v/>
      </c>
    </row>
    <row r="945">
      <c r="A945" s="39" t="str">
        <f>IF(AND($L945*1&gt;=$G$3,$L945*1&lt;=$G$4,$I945*$J945&gt;0,OR($I945&lt;&gt;$I946,$L945-$L946&gt;25),IF(ABS($I945)&gt;10,$I945/POW(10,$J945),$J945/POW(10,$I945))*MAXIFS(Token!$C:$C,Token!$A:$A,$K945)&gt;0.01),$L945/86400+DATE(1970,1,1)+$G$6,)</f>
        <v/>
      </c>
      <c r="B945" s="27" t="str">
        <f t="shared" si="1"/>
        <v/>
      </c>
      <c r="C945" s="14" t="str">
        <f>IF($A945&lt;&gt;"",MINIFS(Merchant!$A:$A,Merchant!$B:$B,$G$2),)</f>
        <v/>
      </c>
      <c r="D945" s="14" t="str">
        <f t="shared" si="2"/>
        <v/>
      </c>
      <c r="E945" s="14" t="str">
        <f t="shared" si="3"/>
        <v/>
      </c>
      <c r="F945" s="7" t="str">
        <f>IF($A945&lt;&gt;"",MAXIFS(Token!$C:$C,Token!$A:$A,$D945),)</f>
        <v/>
      </c>
    </row>
    <row r="946">
      <c r="A946" s="39" t="str">
        <f>IF(AND($L946*1&gt;=$G$3,$L946*1&lt;=$G$4,$I946*$J946&gt;0,OR($I946&lt;&gt;$I947,$L946-$L947&gt;25),IF(ABS($I946)&gt;10,$I946/POW(10,$J946),$J946/POW(10,$I946))*MAXIFS(Token!$C:$C,Token!$A:$A,$K946)&gt;0.01),$L946/86400+DATE(1970,1,1)+$G$6,)</f>
        <v/>
      </c>
      <c r="B946" s="27" t="str">
        <f t="shared" si="1"/>
        <v/>
      </c>
      <c r="C946" s="14" t="str">
        <f>IF($A946&lt;&gt;"",MINIFS(Merchant!$A:$A,Merchant!$B:$B,$G$2),)</f>
        <v/>
      </c>
      <c r="D946" s="14" t="str">
        <f t="shared" si="2"/>
        <v/>
      </c>
      <c r="E946" s="14" t="str">
        <f t="shared" si="3"/>
        <v/>
      </c>
      <c r="F946" s="7" t="str">
        <f>IF($A946&lt;&gt;"",MAXIFS(Token!$C:$C,Token!$A:$A,$D946),)</f>
        <v/>
      </c>
    </row>
    <row r="947">
      <c r="A947" s="39" t="str">
        <f>IF(AND($L947*1&gt;=$G$3,$L947*1&lt;=$G$4,$I947*$J947&gt;0,OR($I947&lt;&gt;$I948,$L947-$L948&gt;25),IF(ABS($I947)&gt;10,$I947/POW(10,$J947),$J947/POW(10,$I947))*MAXIFS(Token!$C:$C,Token!$A:$A,$K947)&gt;0.01),$L947/86400+DATE(1970,1,1)+$G$6,)</f>
        <v/>
      </c>
      <c r="B947" s="27" t="str">
        <f t="shared" si="1"/>
        <v/>
      </c>
      <c r="C947" s="14" t="str">
        <f>IF($A947&lt;&gt;"",MINIFS(Merchant!$A:$A,Merchant!$B:$B,$G$2),)</f>
        <v/>
      </c>
      <c r="D947" s="14" t="str">
        <f t="shared" si="2"/>
        <v/>
      </c>
      <c r="E947" s="14" t="str">
        <f t="shared" si="3"/>
        <v/>
      </c>
      <c r="F947" s="7" t="str">
        <f>IF($A947&lt;&gt;"",MAXIFS(Token!$C:$C,Token!$A:$A,$D947),)</f>
        <v/>
      </c>
    </row>
    <row r="948">
      <c r="A948" s="39" t="str">
        <f>IF(AND($L948*1&gt;=$G$3,$L948*1&lt;=$G$4,$I948*$J948&gt;0,OR($I948&lt;&gt;$I949,$L948-$L949&gt;25),IF(ABS($I948)&gt;10,$I948/POW(10,$J948),$J948/POW(10,$I948))*MAXIFS(Token!$C:$C,Token!$A:$A,$K948)&gt;0.01),$L948/86400+DATE(1970,1,1)+$G$6,)</f>
        <v/>
      </c>
      <c r="B948" s="27" t="str">
        <f t="shared" si="1"/>
        <v/>
      </c>
      <c r="C948" s="14" t="str">
        <f>IF($A948&lt;&gt;"",MINIFS(Merchant!$A:$A,Merchant!$B:$B,$G$2),)</f>
        <v/>
      </c>
      <c r="D948" s="14" t="str">
        <f t="shared" si="2"/>
        <v/>
      </c>
      <c r="E948" s="14" t="str">
        <f t="shared" si="3"/>
        <v/>
      </c>
      <c r="F948" s="7" t="str">
        <f>IF($A948&lt;&gt;"",MAXIFS(Token!$C:$C,Token!$A:$A,$D948),)</f>
        <v/>
      </c>
    </row>
    <row r="949">
      <c r="A949" s="39" t="str">
        <f>IF(AND($L949*1&gt;=$G$3,$L949*1&lt;=$G$4,$I949*$J949&gt;0,OR($I949&lt;&gt;$I950,$L949-$L950&gt;25),IF(ABS($I949)&gt;10,$I949/POW(10,$J949),$J949/POW(10,$I949))*MAXIFS(Token!$C:$C,Token!$A:$A,$K949)&gt;0.01),$L949/86400+DATE(1970,1,1)+$G$6,)</f>
        <v/>
      </c>
      <c r="B949" s="27" t="str">
        <f t="shared" si="1"/>
        <v/>
      </c>
      <c r="C949" s="14" t="str">
        <f>IF($A949&lt;&gt;"",MINIFS(Merchant!$A:$A,Merchant!$B:$B,$G$2),)</f>
        <v/>
      </c>
      <c r="D949" s="14" t="str">
        <f t="shared" si="2"/>
        <v/>
      </c>
      <c r="E949" s="14" t="str">
        <f t="shared" si="3"/>
        <v/>
      </c>
      <c r="F949" s="7" t="str">
        <f>IF($A949&lt;&gt;"",MAXIFS(Token!$C:$C,Token!$A:$A,$D949),)</f>
        <v/>
      </c>
    </row>
    <row r="950">
      <c r="A950" s="39" t="str">
        <f>IF(AND($L950*1&gt;=$G$3,$L950*1&lt;=$G$4,$I950*$J950&gt;0,OR($I950&lt;&gt;$I951,$L950-$L951&gt;25),IF(ABS($I950)&gt;10,$I950/POW(10,$J950),$J950/POW(10,$I950))*MAXIFS(Token!$C:$C,Token!$A:$A,$K950)&gt;0.01),$L950/86400+DATE(1970,1,1)+$G$6,)</f>
        <v/>
      </c>
      <c r="B950" s="27" t="str">
        <f t="shared" si="1"/>
        <v/>
      </c>
      <c r="C950" s="14" t="str">
        <f>IF($A950&lt;&gt;"",MINIFS(Merchant!$A:$A,Merchant!$B:$B,$G$2),)</f>
        <v/>
      </c>
      <c r="D950" s="14" t="str">
        <f t="shared" si="2"/>
        <v/>
      </c>
      <c r="E950" s="14" t="str">
        <f t="shared" si="3"/>
        <v/>
      </c>
      <c r="F950" s="7" t="str">
        <f>IF($A950&lt;&gt;"",MAXIFS(Token!$C:$C,Token!$A:$A,$D950),)</f>
        <v/>
      </c>
    </row>
    <row r="951">
      <c r="A951" s="39" t="str">
        <f>IF(AND($L951*1&gt;=$G$3,$L951*1&lt;=$G$4,$I951*$J951&gt;0,OR($I951&lt;&gt;$I952,$L951-$L952&gt;25),IF(ABS($I951)&gt;10,$I951/POW(10,$J951),$J951/POW(10,$I951))*MAXIFS(Token!$C:$C,Token!$A:$A,$K951)&gt;0.01),$L951/86400+DATE(1970,1,1)+$G$6,)</f>
        <v/>
      </c>
      <c r="B951" s="27" t="str">
        <f t="shared" si="1"/>
        <v/>
      </c>
      <c r="C951" s="14" t="str">
        <f>IF($A951&lt;&gt;"",MINIFS(Merchant!$A:$A,Merchant!$B:$B,$G$2),)</f>
        <v/>
      </c>
      <c r="D951" s="14" t="str">
        <f t="shared" si="2"/>
        <v/>
      </c>
      <c r="E951" s="14" t="str">
        <f t="shared" si="3"/>
        <v/>
      </c>
      <c r="F951" s="7" t="str">
        <f>IF($A951&lt;&gt;"",MAXIFS(Token!$C:$C,Token!$A:$A,$D951),)</f>
        <v/>
      </c>
    </row>
    <row r="952">
      <c r="A952" s="39" t="str">
        <f>IF(AND($L952*1&gt;=$G$3,$L952*1&lt;=$G$4,$I952*$J952&gt;0,OR($I952&lt;&gt;$I953,$L952-$L953&gt;25),IF(ABS($I952)&gt;10,$I952/POW(10,$J952),$J952/POW(10,$I952))*MAXIFS(Token!$C:$C,Token!$A:$A,$K952)&gt;0.01),$L952/86400+DATE(1970,1,1)+$G$6,)</f>
        <v/>
      </c>
      <c r="B952" s="27" t="str">
        <f t="shared" si="1"/>
        <v/>
      </c>
      <c r="C952" s="14" t="str">
        <f>IF($A952&lt;&gt;"",MINIFS(Merchant!$A:$A,Merchant!$B:$B,$G$2),)</f>
        <v/>
      </c>
      <c r="D952" s="14" t="str">
        <f t="shared" si="2"/>
        <v/>
      </c>
      <c r="E952" s="14" t="str">
        <f t="shared" si="3"/>
        <v/>
      </c>
      <c r="F952" s="7" t="str">
        <f>IF($A952&lt;&gt;"",MAXIFS(Token!$C:$C,Token!$A:$A,$D952),)</f>
        <v/>
      </c>
    </row>
    <row r="953">
      <c r="A953" s="39" t="str">
        <f>IF(AND($L953*1&gt;=$G$3,$L953*1&lt;=$G$4,$I953*$J953&gt;0,OR($I953&lt;&gt;$I954,$L953-$L954&gt;25),IF(ABS($I953)&gt;10,$I953/POW(10,$J953),$J953/POW(10,$I953))*MAXIFS(Token!$C:$C,Token!$A:$A,$K953)&gt;0.01),$L953/86400+DATE(1970,1,1)+$G$6,)</f>
        <v/>
      </c>
      <c r="B953" s="27" t="str">
        <f t="shared" si="1"/>
        <v/>
      </c>
      <c r="C953" s="14" t="str">
        <f>IF($A953&lt;&gt;"",MINIFS(Merchant!$A:$A,Merchant!$B:$B,$G$2),)</f>
        <v/>
      </c>
      <c r="D953" s="14" t="str">
        <f t="shared" si="2"/>
        <v/>
      </c>
      <c r="E953" s="14" t="str">
        <f t="shared" si="3"/>
        <v/>
      </c>
      <c r="F953" s="7" t="str">
        <f>IF($A953&lt;&gt;"",MAXIFS(Token!$C:$C,Token!$A:$A,$D953),)</f>
        <v/>
      </c>
    </row>
    <row r="954">
      <c r="A954" s="39" t="str">
        <f>IF(AND($L954*1&gt;=$G$3,$L954*1&lt;=$G$4,$I954*$J954&gt;0,OR($I954&lt;&gt;$I955,$L954-$L955&gt;25),IF(ABS($I954)&gt;10,$I954/POW(10,$J954),$J954/POW(10,$I954))*MAXIFS(Token!$C:$C,Token!$A:$A,$K954)&gt;0.01),$L954/86400+DATE(1970,1,1)+$G$6,)</f>
        <v/>
      </c>
      <c r="B954" s="27" t="str">
        <f t="shared" si="1"/>
        <v/>
      </c>
      <c r="C954" s="14" t="str">
        <f>IF($A954&lt;&gt;"",MINIFS(Merchant!$A:$A,Merchant!$B:$B,$G$2),)</f>
        <v/>
      </c>
      <c r="D954" s="14" t="str">
        <f t="shared" si="2"/>
        <v/>
      </c>
      <c r="E954" s="14" t="str">
        <f t="shared" si="3"/>
        <v/>
      </c>
      <c r="F954" s="7" t="str">
        <f>IF($A954&lt;&gt;"",MAXIFS(Token!$C:$C,Token!$A:$A,$D954),)</f>
        <v/>
      </c>
    </row>
    <row r="955">
      <c r="A955" s="39" t="str">
        <f>IF(AND($L955*1&gt;=$G$3,$L955*1&lt;=$G$4,$I955*$J955&gt;0,OR($I955&lt;&gt;$I956,$L955-$L956&gt;25),IF(ABS($I955)&gt;10,$I955/POW(10,$J955),$J955/POW(10,$I955))*MAXIFS(Token!$C:$C,Token!$A:$A,$K955)&gt;0.01),$L955/86400+DATE(1970,1,1)+$G$6,)</f>
        <v/>
      </c>
      <c r="B955" s="27" t="str">
        <f t="shared" si="1"/>
        <v/>
      </c>
      <c r="C955" s="14" t="str">
        <f>IF($A955&lt;&gt;"",MINIFS(Merchant!$A:$A,Merchant!$B:$B,$G$2),)</f>
        <v/>
      </c>
      <c r="D955" s="14" t="str">
        <f t="shared" si="2"/>
        <v/>
      </c>
      <c r="E955" s="14" t="str">
        <f t="shared" si="3"/>
        <v/>
      </c>
      <c r="F955" s="7" t="str">
        <f>IF($A955&lt;&gt;"",MAXIFS(Token!$C:$C,Token!$A:$A,$D955),)</f>
        <v/>
      </c>
    </row>
    <row r="956">
      <c r="A956" s="39" t="str">
        <f>IF(AND($L956*1&gt;=$G$3,$L956*1&lt;=$G$4,$I956*$J956&gt;0,OR($I956&lt;&gt;$I957,$L956-$L957&gt;25),IF(ABS($I956)&gt;10,$I956/POW(10,$J956),$J956/POW(10,$I956))*MAXIFS(Token!$C:$C,Token!$A:$A,$K956)&gt;0.01),$L956/86400+DATE(1970,1,1)+$G$6,)</f>
        <v/>
      </c>
      <c r="B956" s="27" t="str">
        <f t="shared" si="1"/>
        <v/>
      </c>
      <c r="C956" s="14" t="str">
        <f>IF($A956&lt;&gt;"",MINIFS(Merchant!$A:$A,Merchant!$B:$B,$G$2),)</f>
        <v/>
      </c>
      <c r="D956" s="14" t="str">
        <f t="shared" si="2"/>
        <v/>
      </c>
      <c r="E956" s="14" t="str">
        <f t="shared" si="3"/>
        <v/>
      </c>
      <c r="F956" s="7" t="str">
        <f>IF($A956&lt;&gt;"",MAXIFS(Token!$C:$C,Token!$A:$A,$D956),)</f>
        <v/>
      </c>
    </row>
    <row r="957">
      <c r="A957" s="39" t="str">
        <f>IF(AND($L957*1&gt;=$G$3,$L957*1&lt;=$G$4,$I957*$J957&gt;0,OR($I957&lt;&gt;$I958,$L957-$L958&gt;25),IF(ABS($I957)&gt;10,$I957/POW(10,$J957),$J957/POW(10,$I957))*MAXIFS(Token!$C:$C,Token!$A:$A,$K957)&gt;0.01),$L957/86400+DATE(1970,1,1)+$G$6,)</f>
        <v/>
      </c>
      <c r="B957" s="27" t="str">
        <f t="shared" si="1"/>
        <v/>
      </c>
      <c r="C957" s="14" t="str">
        <f>IF($A957&lt;&gt;"",MINIFS(Merchant!$A:$A,Merchant!$B:$B,$G$2),)</f>
        <v/>
      </c>
      <c r="D957" s="14" t="str">
        <f t="shared" si="2"/>
        <v/>
      </c>
      <c r="E957" s="14" t="str">
        <f t="shared" si="3"/>
        <v/>
      </c>
      <c r="F957" s="7" t="str">
        <f>IF($A957&lt;&gt;"",MAXIFS(Token!$C:$C,Token!$A:$A,$D957),)</f>
        <v/>
      </c>
    </row>
    <row r="958">
      <c r="A958" s="39" t="str">
        <f>IF(AND($L958*1&gt;=$G$3,$L958*1&lt;=$G$4,$I958*$J958&gt;0,OR($I958&lt;&gt;$I959,$L958-$L959&gt;25),IF(ABS($I958)&gt;10,$I958/POW(10,$J958),$J958/POW(10,$I958))*MAXIFS(Token!$C:$C,Token!$A:$A,$K958)&gt;0.01),$L958/86400+DATE(1970,1,1)+$G$6,)</f>
        <v/>
      </c>
      <c r="B958" s="27" t="str">
        <f t="shared" si="1"/>
        <v/>
      </c>
      <c r="C958" s="14" t="str">
        <f>IF($A958&lt;&gt;"",MINIFS(Merchant!$A:$A,Merchant!$B:$B,$G$2),)</f>
        <v/>
      </c>
      <c r="D958" s="14" t="str">
        <f t="shared" si="2"/>
        <v/>
      </c>
      <c r="E958" s="14" t="str">
        <f t="shared" si="3"/>
        <v/>
      </c>
      <c r="F958" s="7" t="str">
        <f>IF($A958&lt;&gt;"",MAXIFS(Token!$C:$C,Token!$A:$A,$D958),)</f>
        <v/>
      </c>
    </row>
    <row r="959">
      <c r="A959" s="39" t="str">
        <f>IF(AND($L959*1&gt;=$G$3,$L959*1&lt;=$G$4,$I959*$J959&gt;0,OR($I959&lt;&gt;$I960,$L959-$L960&gt;25),IF(ABS($I959)&gt;10,$I959/POW(10,$J959),$J959/POW(10,$I959))*MAXIFS(Token!$C:$C,Token!$A:$A,$K959)&gt;0.01),$L959/86400+DATE(1970,1,1)+$G$6,)</f>
        <v/>
      </c>
      <c r="B959" s="27" t="str">
        <f t="shared" si="1"/>
        <v/>
      </c>
      <c r="C959" s="14" t="str">
        <f>IF($A959&lt;&gt;"",MINIFS(Merchant!$A:$A,Merchant!$B:$B,$G$2),)</f>
        <v/>
      </c>
      <c r="D959" s="14" t="str">
        <f t="shared" si="2"/>
        <v/>
      </c>
      <c r="E959" s="14" t="str">
        <f t="shared" si="3"/>
        <v/>
      </c>
      <c r="F959" s="7" t="str">
        <f>IF($A959&lt;&gt;"",MAXIFS(Token!$C:$C,Token!$A:$A,$D959),)</f>
        <v/>
      </c>
    </row>
    <row r="960">
      <c r="A960" s="39" t="str">
        <f>IF(AND($L960*1&gt;=$G$3,$L960*1&lt;=$G$4,$I960*$J960&gt;0,OR($I960&lt;&gt;$I961,$L960-$L961&gt;25),IF(ABS($I960)&gt;10,$I960/POW(10,$J960),$J960/POW(10,$I960))*MAXIFS(Token!$C:$C,Token!$A:$A,$K960)&gt;0.01),$L960/86400+DATE(1970,1,1)+$G$6,)</f>
        <v/>
      </c>
      <c r="B960" s="27" t="str">
        <f t="shared" si="1"/>
        <v/>
      </c>
      <c r="C960" s="14" t="str">
        <f>IF($A960&lt;&gt;"",MINIFS(Merchant!$A:$A,Merchant!$B:$B,$G$2),)</f>
        <v/>
      </c>
      <c r="D960" s="14" t="str">
        <f t="shared" si="2"/>
        <v/>
      </c>
      <c r="E960" s="14" t="str">
        <f t="shared" si="3"/>
        <v/>
      </c>
      <c r="F960" s="7" t="str">
        <f>IF($A960&lt;&gt;"",MAXIFS(Token!$C:$C,Token!$A:$A,$D960),)</f>
        <v/>
      </c>
    </row>
    <row r="961">
      <c r="A961" s="39" t="str">
        <f>IF(AND($L961*1&gt;=$G$3,$L961*1&lt;=$G$4,$I961*$J961&gt;0,OR($I961&lt;&gt;$I962,$L961-$L962&gt;25),IF(ABS($I961)&gt;10,$I961/POW(10,$J961),$J961/POW(10,$I961))*MAXIFS(Token!$C:$C,Token!$A:$A,$K961)&gt;0.01),$L961/86400+DATE(1970,1,1)+$G$6,)</f>
        <v/>
      </c>
      <c r="B961" s="27" t="str">
        <f t="shared" si="1"/>
        <v/>
      </c>
      <c r="C961" s="14" t="str">
        <f>IF($A961&lt;&gt;"",MINIFS(Merchant!$A:$A,Merchant!$B:$B,$G$2),)</f>
        <v/>
      </c>
      <c r="D961" s="14" t="str">
        <f t="shared" si="2"/>
        <v/>
      </c>
      <c r="E961" s="14" t="str">
        <f t="shared" si="3"/>
        <v/>
      </c>
      <c r="F961" s="7" t="str">
        <f>IF($A961&lt;&gt;"",MAXIFS(Token!$C:$C,Token!$A:$A,$D961),)</f>
        <v/>
      </c>
    </row>
    <row r="962">
      <c r="A962" s="39" t="str">
        <f>IF(AND($L962*1&gt;=$G$3,$L962*1&lt;=$G$4,$I962*$J962&gt;0,OR($I962&lt;&gt;$I963,$L962-$L963&gt;25),IF(ABS($I962)&gt;10,$I962/POW(10,$J962),$J962/POW(10,$I962))*MAXIFS(Token!$C:$C,Token!$A:$A,$K962)&gt;0.01),$L962/86400+DATE(1970,1,1)+$G$6,)</f>
        <v/>
      </c>
      <c r="B962" s="27" t="str">
        <f t="shared" si="1"/>
        <v/>
      </c>
      <c r="C962" s="14" t="str">
        <f>IF($A962&lt;&gt;"",MINIFS(Merchant!$A:$A,Merchant!$B:$B,$G$2),)</f>
        <v/>
      </c>
      <c r="D962" s="14" t="str">
        <f t="shared" si="2"/>
        <v/>
      </c>
      <c r="E962" s="14" t="str">
        <f t="shared" si="3"/>
        <v/>
      </c>
      <c r="F962" s="7" t="str">
        <f>IF($A962&lt;&gt;"",MAXIFS(Token!$C:$C,Token!$A:$A,$D962),)</f>
        <v/>
      </c>
    </row>
    <row r="963">
      <c r="A963" s="39" t="str">
        <f>IF(AND($L963*1&gt;=$G$3,$L963*1&lt;=$G$4,$I963*$J963&gt;0,OR($I963&lt;&gt;$I964,$L963-$L964&gt;25),IF(ABS($I963)&gt;10,$I963/POW(10,$J963),$J963/POW(10,$I963))*MAXIFS(Token!$C:$C,Token!$A:$A,$K963)&gt;0.01),$L963/86400+DATE(1970,1,1)+$G$6,)</f>
        <v/>
      </c>
      <c r="B963" s="27" t="str">
        <f t="shared" si="1"/>
        <v/>
      </c>
      <c r="C963" s="14" t="str">
        <f>IF($A963&lt;&gt;"",MINIFS(Merchant!$A:$A,Merchant!$B:$B,$G$2),)</f>
        <v/>
      </c>
      <c r="D963" s="14" t="str">
        <f t="shared" si="2"/>
        <v/>
      </c>
      <c r="E963" s="14" t="str">
        <f t="shared" si="3"/>
        <v/>
      </c>
      <c r="F963" s="7" t="str">
        <f>IF($A963&lt;&gt;"",MAXIFS(Token!$C:$C,Token!$A:$A,$D963),)</f>
        <v/>
      </c>
    </row>
    <row r="964">
      <c r="A964" s="39" t="str">
        <f>IF(AND($L964*1&gt;=$G$3,$L964*1&lt;=$G$4,$I964*$J964&gt;0,OR($I964&lt;&gt;$I965,$L964-$L965&gt;25),IF(ABS($I964)&gt;10,$I964/POW(10,$J964),$J964/POW(10,$I964))*MAXIFS(Token!$C:$C,Token!$A:$A,$K964)&gt;0.01),$L964/86400+DATE(1970,1,1)+$G$6,)</f>
        <v/>
      </c>
      <c r="B964" s="27" t="str">
        <f t="shared" si="1"/>
        <v/>
      </c>
      <c r="C964" s="14" t="str">
        <f>IF($A964&lt;&gt;"",MINIFS(Merchant!$A:$A,Merchant!$B:$B,$G$2),)</f>
        <v/>
      </c>
      <c r="D964" s="14" t="str">
        <f t="shared" si="2"/>
        <v/>
      </c>
      <c r="E964" s="14" t="str">
        <f t="shared" si="3"/>
        <v/>
      </c>
      <c r="F964" s="7" t="str">
        <f>IF($A964&lt;&gt;"",MAXIFS(Token!$C:$C,Token!$A:$A,$D964),)</f>
        <v/>
      </c>
    </row>
    <row r="965">
      <c r="A965" s="39" t="str">
        <f>IF(AND($L965*1&gt;=$G$3,$L965*1&lt;=$G$4,$I965*$J965&gt;0,OR($I965&lt;&gt;$I966,$L965-$L966&gt;25),IF(ABS($I965)&gt;10,$I965/POW(10,$J965),$J965/POW(10,$I965))*MAXIFS(Token!$C:$C,Token!$A:$A,$K965)&gt;0.01),$L965/86400+DATE(1970,1,1)+$G$6,)</f>
        <v/>
      </c>
      <c r="B965" s="27" t="str">
        <f t="shared" si="1"/>
        <v/>
      </c>
      <c r="C965" s="14" t="str">
        <f>IF($A965&lt;&gt;"",MINIFS(Merchant!$A:$A,Merchant!$B:$B,$G$2),)</f>
        <v/>
      </c>
      <c r="D965" s="14" t="str">
        <f t="shared" si="2"/>
        <v/>
      </c>
      <c r="E965" s="14" t="str">
        <f t="shared" si="3"/>
        <v/>
      </c>
      <c r="F965" s="7" t="str">
        <f>IF($A965&lt;&gt;"",MAXIFS(Token!$C:$C,Token!$A:$A,$D965),)</f>
        <v/>
      </c>
    </row>
    <row r="966">
      <c r="A966" s="39" t="str">
        <f>IF(AND($L966*1&gt;=$G$3,$L966*1&lt;=$G$4,$I966*$J966&gt;0,OR($I966&lt;&gt;$I967,$L966-$L967&gt;25),IF(ABS($I966)&gt;10,$I966/POW(10,$J966),$J966/POW(10,$I966))*MAXIFS(Token!$C:$C,Token!$A:$A,$K966)&gt;0.01),$L966/86400+DATE(1970,1,1)+$G$6,)</f>
        <v/>
      </c>
      <c r="B966" s="27" t="str">
        <f t="shared" si="1"/>
        <v/>
      </c>
      <c r="C966" s="14" t="str">
        <f>IF($A966&lt;&gt;"",MINIFS(Merchant!$A:$A,Merchant!$B:$B,$G$2),)</f>
        <v/>
      </c>
      <c r="D966" s="14" t="str">
        <f t="shared" si="2"/>
        <v/>
      </c>
      <c r="E966" s="14" t="str">
        <f t="shared" si="3"/>
        <v/>
      </c>
      <c r="F966" s="7" t="str">
        <f>IF($A966&lt;&gt;"",MAXIFS(Token!$C:$C,Token!$A:$A,$D966),)</f>
        <v/>
      </c>
    </row>
    <row r="967">
      <c r="A967" s="39" t="str">
        <f>IF(AND($L967*1&gt;=$G$3,$L967*1&lt;=$G$4,$I967*$J967&gt;0,OR($I967&lt;&gt;$I968,$L967-$L968&gt;25),IF(ABS($I967)&gt;10,$I967/POW(10,$J967),$J967/POW(10,$I967))*MAXIFS(Token!$C:$C,Token!$A:$A,$K967)&gt;0.01),$L967/86400+DATE(1970,1,1)+$G$6,)</f>
        <v/>
      </c>
      <c r="B967" s="27" t="str">
        <f t="shared" si="1"/>
        <v/>
      </c>
      <c r="C967" s="14" t="str">
        <f>IF($A967&lt;&gt;"",MINIFS(Merchant!$A:$A,Merchant!$B:$B,$G$2),)</f>
        <v/>
      </c>
      <c r="D967" s="14" t="str">
        <f t="shared" si="2"/>
        <v/>
      </c>
      <c r="E967" s="14" t="str">
        <f t="shared" si="3"/>
        <v/>
      </c>
      <c r="F967" s="7" t="str">
        <f>IF($A967&lt;&gt;"",MAXIFS(Token!$C:$C,Token!$A:$A,$D967),)</f>
        <v/>
      </c>
    </row>
    <row r="968">
      <c r="A968" s="39" t="str">
        <f>IF(AND($L968*1&gt;=$G$3,$L968*1&lt;=$G$4,$I968*$J968&gt;0,OR($I968&lt;&gt;$I969,$L968-$L969&gt;25),IF(ABS($I968)&gt;10,$I968/POW(10,$J968),$J968/POW(10,$I968))*MAXIFS(Token!$C:$C,Token!$A:$A,$K968)&gt;0.01),$L968/86400+DATE(1970,1,1)+$G$6,)</f>
        <v/>
      </c>
      <c r="B968" s="27" t="str">
        <f t="shared" si="1"/>
        <v/>
      </c>
      <c r="C968" s="14" t="str">
        <f>IF($A968&lt;&gt;"",MINIFS(Merchant!$A:$A,Merchant!$B:$B,$G$2),)</f>
        <v/>
      </c>
      <c r="D968" s="14" t="str">
        <f t="shared" si="2"/>
        <v/>
      </c>
      <c r="E968" s="14" t="str">
        <f t="shared" si="3"/>
        <v/>
      </c>
      <c r="F968" s="7" t="str">
        <f>IF($A968&lt;&gt;"",MAXIFS(Token!$C:$C,Token!$A:$A,$D968),)</f>
        <v/>
      </c>
    </row>
    <row r="969">
      <c r="A969" s="39" t="str">
        <f>IF(AND($L969*1&gt;=$G$3,$L969*1&lt;=$G$4,$I969*$J969&gt;0,OR($I969&lt;&gt;$I970,$L969-$L970&gt;25),IF(ABS($I969)&gt;10,$I969/POW(10,$J969),$J969/POW(10,$I969))*MAXIFS(Token!$C:$C,Token!$A:$A,$K969)&gt;0.01),$L969/86400+DATE(1970,1,1)+$G$6,)</f>
        <v/>
      </c>
      <c r="B969" s="27" t="str">
        <f t="shared" si="1"/>
        <v/>
      </c>
      <c r="C969" s="14" t="str">
        <f>IF($A969&lt;&gt;"",MINIFS(Merchant!$A:$A,Merchant!$B:$B,$G$2),)</f>
        <v/>
      </c>
      <c r="D969" s="14" t="str">
        <f t="shared" si="2"/>
        <v/>
      </c>
      <c r="E969" s="14" t="str">
        <f t="shared" si="3"/>
        <v/>
      </c>
      <c r="F969" s="7" t="str">
        <f>IF($A969&lt;&gt;"",MAXIFS(Token!$C:$C,Token!$A:$A,$D969),)</f>
        <v/>
      </c>
    </row>
    <row r="970">
      <c r="A970" s="39" t="str">
        <f>IF(AND($L970*1&gt;=$G$3,$L970*1&lt;=$G$4,$I970*$J970&gt;0,OR($I970&lt;&gt;$I971,$L970-$L971&gt;25),IF(ABS($I970)&gt;10,$I970/POW(10,$J970),$J970/POW(10,$I970))*MAXIFS(Token!$C:$C,Token!$A:$A,$K970)&gt;0.01),$L970/86400+DATE(1970,1,1)+$G$6,)</f>
        <v/>
      </c>
      <c r="B970" s="27" t="str">
        <f t="shared" si="1"/>
        <v/>
      </c>
      <c r="C970" s="14" t="str">
        <f>IF($A970&lt;&gt;"",MINIFS(Merchant!$A:$A,Merchant!$B:$B,$G$2),)</f>
        <v/>
      </c>
      <c r="D970" s="14" t="str">
        <f t="shared" si="2"/>
        <v/>
      </c>
      <c r="E970" s="14" t="str">
        <f t="shared" si="3"/>
        <v/>
      </c>
      <c r="F970" s="7" t="str">
        <f>IF($A970&lt;&gt;"",MAXIFS(Token!$C:$C,Token!$A:$A,$D970),)</f>
        <v/>
      </c>
    </row>
    <row r="971">
      <c r="A971" s="39" t="str">
        <f>IF(AND($L971*1&gt;=$G$3,$L971*1&lt;=$G$4,$I971*$J971&gt;0,OR($I971&lt;&gt;$I972,$L971-$L972&gt;25),IF(ABS($I971)&gt;10,$I971/POW(10,$J971),$J971/POW(10,$I971))*MAXIFS(Token!$C:$C,Token!$A:$A,$K971)&gt;0.01),$L971/86400+DATE(1970,1,1)+$G$6,)</f>
        <v/>
      </c>
      <c r="B971" s="27" t="str">
        <f t="shared" si="1"/>
        <v/>
      </c>
      <c r="C971" s="14" t="str">
        <f>IF($A971&lt;&gt;"",MINIFS(Merchant!$A:$A,Merchant!$B:$B,$G$2),)</f>
        <v/>
      </c>
      <c r="D971" s="14" t="str">
        <f t="shared" si="2"/>
        <v/>
      </c>
      <c r="E971" s="14" t="str">
        <f t="shared" si="3"/>
        <v/>
      </c>
      <c r="F971" s="7" t="str">
        <f>IF($A971&lt;&gt;"",MAXIFS(Token!$C:$C,Token!$A:$A,$D971),)</f>
        <v/>
      </c>
    </row>
    <row r="972">
      <c r="A972" s="39" t="str">
        <f>IF(AND($L972*1&gt;=$G$3,$L972*1&lt;=$G$4,$I972*$J972&gt;0,OR($I972&lt;&gt;$I973,$L972-$L973&gt;25),IF(ABS($I972)&gt;10,$I972/POW(10,$J972),$J972/POW(10,$I972))*MAXIFS(Token!$C:$C,Token!$A:$A,$K972)&gt;0.01),$L972/86400+DATE(1970,1,1)+$G$6,)</f>
        <v/>
      </c>
      <c r="B972" s="27" t="str">
        <f t="shared" si="1"/>
        <v/>
      </c>
      <c r="C972" s="14" t="str">
        <f>IF($A972&lt;&gt;"",MINIFS(Merchant!$A:$A,Merchant!$B:$B,$G$2),)</f>
        <v/>
      </c>
      <c r="D972" s="14" t="str">
        <f t="shared" si="2"/>
        <v/>
      </c>
      <c r="E972" s="14" t="str">
        <f t="shared" si="3"/>
        <v/>
      </c>
      <c r="F972" s="7" t="str">
        <f>IF($A972&lt;&gt;"",MAXIFS(Token!$C:$C,Token!$A:$A,$D972),)</f>
        <v/>
      </c>
    </row>
    <row r="973">
      <c r="A973" s="39" t="str">
        <f>IF(AND($L973*1&gt;=$G$3,$L973*1&lt;=$G$4,$I973*$J973&gt;0,OR($I973&lt;&gt;$I974,$L973-$L974&gt;25),IF(ABS($I973)&gt;10,$I973/POW(10,$J973),$J973/POW(10,$I973))*MAXIFS(Token!$C:$C,Token!$A:$A,$K973)&gt;0.01),$L973/86400+DATE(1970,1,1)+$G$6,)</f>
        <v/>
      </c>
      <c r="B973" s="27" t="str">
        <f t="shared" si="1"/>
        <v/>
      </c>
      <c r="C973" s="14" t="str">
        <f>IF($A973&lt;&gt;"",MINIFS(Merchant!$A:$A,Merchant!$B:$B,$G$2),)</f>
        <v/>
      </c>
      <c r="D973" s="14" t="str">
        <f t="shared" si="2"/>
        <v/>
      </c>
      <c r="E973" s="14" t="str">
        <f t="shared" si="3"/>
        <v/>
      </c>
      <c r="F973" s="7" t="str">
        <f>IF($A973&lt;&gt;"",MAXIFS(Token!$C:$C,Token!$A:$A,$D973),)</f>
        <v/>
      </c>
    </row>
    <row r="974">
      <c r="A974" s="39" t="str">
        <f>IF(AND($L974*1&gt;=$G$3,$L974*1&lt;=$G$4,$I974*$J974&gt;0,OR($I974&lt;&gt;$I975,$L974-$L975&gt;25),IF(ABS($I974)&gt;10,$I974/POW(10,$J974),$J974/POW(10,$I974))*MAXIFS(Token!$C:$C,Token!$A:$A,$K974)&gt;0.01),$L974/86400+DATE(1970,1,1)+$G$6,)</f>
        <v/>
      </c>
      <c r="B974" s="27" t="str">
        <f t="shared" si="1"/>
        <v/>
      </c>
      <c r="C974" s="14" t="str">
        <f>IF($A974&lt;&gt;"",MINIFS(Merchant!$A:$A,Merchant!$B:$B,$G$2),)</f>
        <v/>
      </c>
      <c r="D974" s="14" t="str">
        <f t="shared" si="2"/>
        <v/>
      </c>
      <c r="E974" s="14" t="str">
        <f t="shared" si="3"/>
        <v/>
      </c>
      <c r="F974" s="7" t="str">
        <f>IF($A974&lt;&gt;"",MAXIFS(Token!$C:$C,Token!$A:$A,$D974),)</f>
        <v/>
      </c>
    </row>
    <row r="975">
      <c r="A975" s="39" t="str">
        <f>IF(AND($L975*1&gt;=$G$3,$L975*1&lt;=$G$4,$I975*$J975&gt;0,OR($I975&lt;&gt;$I976,$L975-$L976&gt;25),IF(ABS($I975)&gt;10,$I975/POW(10,$J975),$J975/POW(10,$I975))*MAXIFS(Token!$C:$C,Token!$A:$A,$K975)&gt;0.01),$L975/86400+DATE(1970,1,1)+$G$6,)</f>
        <v/>
      </c>
      <c r="B975" s="27" t="str">
        <f t="shared" si="1"/>
        <v/>
      </c>
      <c r="C975" s="14" t="str">
        <f>IF($A975&lt;&gt;"",MINIFS(Merchant!$A:$A,Merchant!$B:$B,$G$2),)</f>
        <v/>
      </c>
      <c r="D975" s="14" t="str">
        <f t="shared" si="2"/>
        <v/>
      </c>
      <c r="E975" s="14" t="str">
        <f t="shared" si="3"/>
        <v/>
      </c>
      <c r="F975" s="7" t="str">
        <f>IF($A975&lt;&gt;"",MAXIFS(Token!$C:$C,Token!$A:$A,$D975),)</f>
        <v/>
      </c>
    </row>
    <row r="976">
      <c r="A976" s="39" t="str">
        <f>IF(AND($L976*1&gt;=$G$3,$L976*1&lt;=$G$4,$I976*$J976&gt;0,OR($I976&lt;&gt;$I977,$L976-$L977&gt;25),IF(ABS($I976)&gt;10,$I976/POW(10,$J976),$J976/POW(10,$I976))*MAXIFS(Token!$C:$C,Token!$A:$A,$K976)&gt;0.01),$L976/86400+DATE(1970,1,1)+$G$6,)</f>
        <v/>
      </c>
      <c r="B976" s="27" t="str">
        <f t="shared" si="1"/>
        <v/>
      </c>
      <c r="C976" s="14" t="str">
        <f>IF($A976&lt;&gt;"",MINIFS(Merchant!$A:$A,Merchant!$B:$B,$G$2),)</f>
        <v/>
      </c>
      <c r="D976" s="14" t="str">
        <f t="shared" si="2"/>
        <v/>
      </c>
      <c r="E976" s="14" t="str">
        <f t="shared" si="3"/>
        <v/>
      </c>
      <c r="F976" s="7" t="str">
        <f>IF($A976&lt;&gt;"",MAXIFS(Token!$C:$C,Token!$A:$A,$D976),)</f>
        <v/>
      </c>
    </row>
    <row r="977">
      <c r="A977" s="39" t="str">
        <f>IF(AND($L977*1&gt;=$G$3,$L977*1&lt;=$G$4,$I977*$J977&gt;0,OR($I977&lt;&gt;$I978,$L977-$L978&gt;25),IF(ABS($I977)&gt;10,$I977/POW(10,$J977),$J977/POW(10,$I977))*MAXIFS(Token!$C:$C,Token!$A:$A,$K977)&gt;0.01),$L977/86400+DATE(1970,1,1)+$G$6,)</f>
        <v/>
      </c>
      <c r="B977" s="27" t="str">
        <f t="shared" si="1"/>
        <v/>
      </c>
      <c r="C977" s="14" t="str">
        <f>IF($A977&lt;&gt;"",MINIFS(Merchant!$A:$A,Merchant!$B:$B,$G$2),)</f>
        <v/>
      </c>
      <c r="D977" s="14" t="str">
        <f t="shared" si="2"/>
        <v/>
      </c>
      <c r="E977" s="14" t="str">
        <f t="shared" si="3"/>
        <v/>
      </c>
      <c r="F977" s="7" t="str">
        <f>IF($A977&lt;&gt;"",MAXIFS(Token!$C:$C,Token!$A:$A,$D977),)</f>
        <v/>
      </c>
    </row>
    <row r="978">
      <c r="A978" s="39" t="str">
        <f>IF(AND($L978*1&gt;=$G$3,$L978*1&lt;=$G$4,$I978*$J978&gt;0,OR($I978&lt;&gt;$I979,$L978-$L979&gt;25),IF(ABS($I978)&gt;10,$I978/POW(10,$J978),$J978/POW(10,$I978))*MAXIFS(Token!$C:$C,Token!$A:$A,$K978)&gt;0.01),$L978/86400+DATE(1970,1,1)+$G$6,)</f>
        <v/>
      </c>
      <c r="B978" s="27" t="str">
        <f t="shared" si="1"/>
        <v/>
      </c>
      <c r="C978" s="14" t="str">
        <f>IF($A978&lt;&gt;"",MINIFS(Merchant!$A:$A,Merchant!$B:$B,$G$2),)</f>
        <v/>
      </c>
      <c r="D978" s="14" t="str">
        <f t="shared" si="2"/>
        <v/>
      </c>
      <c r="E978" s="14" t="str">
        <f t="shared" si="3"/>
        <v/>
      </c>
      <c r="F978" s="7" t="str">
        <f>IF($A978&lt;&gt;"",MAXIFS(Token!$C:$C,Token!$A:$A,$D978),)</f>
        <v/>
      </c>
    </row>
    <row r="979">
      <c r="A979" s="39" t="str">
        <f>IF(AND($L979*1&gt;=$G$3,$L979*1&lt;=$G$4,$I979*$J979&gt;0,OR($I979&lt;&gt;$I980,$L979-$L980&gt;25),IF(ABS($I979)&gt;10,$I979/POW(10,$J979),$J979/POW(10,$I979))*MAXIFS(Token!$C:$C,Token!$A:$A,$K979)&gt;0.01),$L979/86400+DATE(1970,1,1)+$G$6,)</f>
        <v/>
      </c>
      <c r="B979" s="27" t="str">
        <f t="shared" si="1"/>
        <v/>
      </c>
      <c r="C979" s="14" t="str">
        <f>IF($A979&lt;&gt;"",MINIFS(Merchant!$A:$A,Merchant!$B:$B,$G$2),)</f>
        <v/>
      </c>
      <c r="D979" s="14" t="str">
        <f t="shared" si="2"/>
        <v/>
      </c>
      <c r="E979" s="14" t="str">
        <f t="shared" si="3"/>
        <v/>
      </c>
      <c r="F979" s="7" t="str">
        <f>IF($A979&lt;&gt;"",MAXIFS(Token!$C:$C,Token!$A:$A,$D979),)</f>
        <v/>
      </c>
    </row>
    <row r="980">
      <c r="A980" s="39" t="str">
        <f>IF(AND($L980*1&gt;=$G$3,$L980*1&lt;=$G$4,$I980*$J980&gt;0,OR($I980&lt;&gt;$I981,$L980-$L981&gt;25),IF(ABS($I980)&gt;10,$I980/POW(10,$J980),$J980/POW(10,$I980))*MAXIFS(Token!$C:$C,Token!$A:$A,$K980)&gt;0.01),$L980/86400+DATE(1970,1,1)+$G$6,)</f>
        <v/>
      </c>
      <c r="B980" s="27" t="str">
        <f t="shared" si="1"/>
        <v/>
      </c>
      <c r="C980" s="14" t="str">
        <f>IF($A980&lt;&gt;"",MINIFS(Merchant!$A:$A,Merchant!$B:$B,$G$2),)</f>
        <v/>
      </c>
      <c r="D980" s="14" t="str">
        <f t="shared" si="2"/>
        <v/>
      </c>
      <c r="E980" s="14" t="str">
        <f t="shared" si="3"/>
        <v/>
      </c>
      <c r="F980" s="7" t="str">
        <f>IF($A980&lt;&gt;"",MAXIFS(Token!$C:$C,Token!$A:$A,$D980),)</f>
        <v/>
      </c>
    </row>
    <row r="981">
      <c r="A981" s="39" t="str">
        <f>IF(AND($L981*1&gt;=$G$3,$L981*1&lt;=$G$4,$I981*$J981&gt;0,OR($I981&lt;&gt;$I982,$L981-$L982&gt;25),IF(ABS($I981)&gt;10,$I981/POW(10,$J981),$J981/POW(10,$I981))*MAXIFS(Token!$C:$C,Token!$A:$A,$K981)&gt;0.01),$L981/86400+DATE(1970,1,1)+$G$6,)</f>
        <v/>
      </c>
      <c r="B981" s="27" t="str">
        <f t="shared" si="1"/>
        <v/>
      </c>
      <c r="C981" s="14" t="str">
        <f>IF($A981&lt;&gt;"",MINIFS(Merchant!$A:$A,Merchant!$B:$B,$G$2),)</f>
        <v/>
      </c>
      <c r="D981" s="14" t="str">
        <f t="shared" si="2"/>
        <v/>
      </c>
      <c r="E981" s="14" t="str">
        <f t="shared" si="3"/>
        <v/>
      </c>
      <c r="F981" s="7" t="str">
        <f>IF($A981&lt;&gt;"",MAXIFS(Token!$C:$C,Token!$A:$A,$D981),)</f>
        <v/>
      </c>
    </row>
    <row r="982">
      <c r="A982" s="39" t="str">
        <f>IF(AND($L982*1&gt;=$G$3,$L982*1&lt;=$G$4,$I982*$J982&gt;0,OR($I982&lt;&gt;$I983,$L982-$L983&gt;25),IF(ABS($I982)&gt;10,$I982/POW(10,$J982),$J982/POW(10,$I982))*MAXIFS(Token!$C:$C,Token!$A:$A,$K982)&gt;0.01),$L982/86400+DATE(1970,1,1)+$G$6,)</f>
        <v/>
      </c>
      <c r="B982" s="27" t="str">
        <f t="shared" si="1"/>
        <v/>
      </c>
      <c r="C982" s="14" t="str">
        <f>IF($A982&lt;&gt;"",MINIFS(Merchant!$A:$A,Merchant!$B:$B,$G$2),)</f>
        <v/>
      </c>
      <c r="D982" s="14" t="str">
        <f t="shared" si="2"/>
        <v/>
      </c>
      <c r="E982" s="14" t="str">
        <f t="shared" si="3"/>
        <v/>
      </c>
      <c r="F982" s="7" t="str">
        <f>IF($A982&lt;&gt;"",MAXIFS(Token!$C:$C,Token!$A:$A,$D982),)</f>
        <v/>
      </c>
    </row>
    <row r="983">
      <c r="A983" s="39" t="str">
        <f>IF(AND($L983*1&gt;=$G$3,$L983*1&lt;=$G$4,$I983*$J983&gt;0,OR($I983&lt;&gt;$I984,$L983-$L984&gt;25),IF(ABS($I983)&gt;10,$I983/POW(10,$J983),$J983/POW(10,$I983))*MAXIFS(Token!$C:$C,Token!$A:$A,$K983)&gt;0.01),$L983/86400+DATE(1970,1,1)+$G$6,)</f>
        <v/>
      </c>
      <c r="B983" s="27" t="str">
        <f t="shared" si="1"/>
        <v/>
      </c>
      <c r="C983" s="14" t="str">
        <f>IF($A983&lt;&gt;"",MINIFS(Merchant!$A:$A,Merchant!$B:$B,$G$2),)</f>
        <v/>
      </c>
      <c r="D983" s="14" t="str">
        <f t="shared" si="2"/>
        <v/>
      </c>
      <c r="E983" s="14" t="str">
        <f t="shared" si="3"/>
        <v/>
      </c>
      <c r="F983" s="7" t="str">
        <f>IF($A983&lt;&gt;"",MAXIFS(Token!$C:$C,Token!$A:$A,$D983),)</f>
        <v/>
      </c>
    </row>
    <row r="984">
      <c r="A984" s="39" t="str">
        <f>IF(AND($L984*1&gt;=$G$3,$L984*1&lt;=$G$4,$I984*$J984&gt;0,OR($I984&lt;&gt;$I985,$L984-$L985&gt;25),IF(ABS($I984)&gt;10,$I984/POW(10,$J984),$J984/POW(10,$I984))*MAXIFS(Token!$C:$C,Token!$A:$A,$K984)&gt;0.01),$L984/86400+DATE(1970,1,1)+$G$6,)</f>
        <v/>
      </c>
      <c r="B984" s="27" t="str">
        <f t="shared" si="1"/>
        <v/>
      </c>
      <c r="C984" s="14" t="str">
        <f>IF($A984&lt;&gt;"",MINIFS(Merchant!$A:$A,Merchant!$B:$B,$G$2),)</f>
        <v/>
      </c>
      <c r="D984" s="14" t="str">
        <f t="shared" si="2"/>
        <v/>
      </c>
      <c r="E984" s="14" t="str">
        <f t="shared" si="3"/>
        <v/>
      </c>
      <c r="F984" s="7" t="str">
        <f>IF($A984&lt;&gt;"",MAXIFS(Token!$C:$C,Token!$A:$A,$D984),)</f>
        <v/>
      </c>
    </row>
    <row r="985">
      <c r="A985" s="39" t="str">
        <f>IF(AND($L985*1&gt;=$G$3,$L985*1&lt;=$G$4,$I985*$J985&gt;0,OR($I985&lt;&gt;$I986,$L985-$L986&gt;25),IF(ABS($I985)&gt;10,$I985/POW(10,$J985),$J985/POW(10,$I985))*MAXIFS(Token!$C:$C,Token!$A:$A,$K985)&gt;0.01),$L985/86400+DATE(1970,1,1)+$G$6,)</f>
        <v/>
      </c>
      <c r="B985" s="27" t="str">
        <f t="shared" si="1"/>
        <v/>
      </c>
      <c r="C985" s="14" t="str">
        <f>IF($A985&lt;&gt;"",MINIFS(Merchant!$A:$A,Merchant!$B:$B,$G$2),)</f>
        <v/>
      </c>
      <c r="D985" s="14" t="str">
        <f t="shared" si="2"/>
        <v/>
      </c>
      <c r="E985" s="14" t="str">
        <f t="shared" si="3"/>
        <v/>
      </c>
      <c r="F985" s="7" t="str">
        <f>IF($A985&lt;&gt;"",MAXIFS(Token!$C:$C,Token!$A:$A,$D985),)</f>
        <v/>
      </c>
    </row>
    <row r="986">
      <c r="A986" s="39" t="str">
        <f>IF(AND($L986*1&gt;=$G$3,$L986*1&lt;=$G$4,$I986*$J986&gt;0,OR($I986&lt;&gt;$I987,$L986-$L987&gt;25),IF(ABS($I986)&gt;10,$I986/POW(10,$J986),$J986/POW(10,$I986))*MAXIFS(Token!$C:$C,Token!$A:$A,$K986)&gt;0.01),$L986/86400+DATE(1970,1,1)+$G$6,)</f>
        <v/>
      </c>
      <c r="B986" s="27" t="str">
        <f t="shared" si="1"/>
        <v/>
      </c>
      <c r="C986" s="14" t="str">
        <f>IF($A986&lt;&gt;"",MINIFS(Merchant!$A:$A,Merchant!$B:$B,$G$2),)</f>
        <v/>
      </c>
      <c r="D986" s="14" t="str">
        <f t="shared" si="2"/>
        <v/>
      </c>
      <c r="E986" s="14" t="str">
        <f t="shared" si="3"/>
        <v/>
      </c>
      <c r="F986" s="7" t="str">
        <f>IF($A986&lt;&gt;"",MAXIFS(Token!$C:$C,Token!$A:$A,$D986),)</f>
        <v/>
      </c>
    </row>
    <row r="987">
      <c r="A987" s="39" t="str">
        <f>IF(AND($L987*1&gt;=$G$3,$L987*1&lt;=$G$4,$I987*$J987&gt;0,OR($I987&lt;&gt;$I988,$L987-$L988&gt;25),IF(ABS($I987)&gt;10,$I987/POW(10,$J987),$J987/POW(10,$I987))*MAXIFS(Token!$C:$C,Token!$A:$A,$K987)&gt;0.01),$L987/86400+DATE(1970,1,1)+$G$6,)</f>
        <v/>
      </c>
      <c r="B987" s="27" t="str">
        <f t="shared" si="1"/>
        <v/>
      </c>
      <c r="C987" s="14" t="str">
        <f>IF($A987&lt;&gt;"",MINIFS(Merchant!$A:$A,Merchant!$B:$B,$G$2),)</f>
        <v/>
      </c>
      <c r="D987" s="14" t="str">
        <f t="shared" si="2"/>
        <v/>
      </c>
      <c r="E987" s="14" t="str">
        <f t="shared" si="3"/>
        <v/>
      </c>
      <c r="F987" s="7" t="str">
        <f>IF($A987&lt;&gt;"",MAXIFS(Token!$C:$C,Token!$A:$A,$D987),)</f>
        <v/>
      </c>
    </row>
    <row r="988">
      <c r="A988" s="39" t="str">
        <f>IF(AND($L988*1&gt;=$G$3,$L988*1&lt;=$G$4,$I988*$J988&gt;0,OR($I988&lt;&gt;$I989,$L988-$L989&gt;25),IF(ABS($I988)&gt;10,$I988/POW(10,$J988),$J988/POW(10,$I988))*MAXIFS(Token!$C:$C,Token!$A:$A,$K988)&gt;0.01),$L988/86400+DATE(1970,1,1)+$G$6,)</f>
        <v/>
      </c>
      <c r="B988" s="27" t="str">
        <f t="shared" si="1"/>
        <v/>
      </c>
      <c r="C988" s="14" t="str">
        <f>IF($A988&lt;&gt;"",MINIFS(Merchant!$A:$A,Merchant!$B:$B,$G$2),)</f>
        <v/>
      </c>
      <c r="D988" s="14" t="str">
        <f t="shared" si="2"/>
        <v/>
      </c>
      <c r="E988" s="14" t="str">
        <f t="shared" si="3"/>
        <v/>
      </c>
      <c r="F988" s="7" t="str">
        <f>IF($A988&lt;&gt;"",MAXIFS(Token!$C:$C,Token!$A:$A,$D988),)</f>
        <v/>
      </c>
    </row>
    <row r="989">
      <c r="A989" s="39" t="str">
        <f>IF(AND($L989*1&gt;=$G$3,$L989*1&lt;=$G$4,$I989*$J989&gt;0,OR($I989&lt;&gt;$I990,$L989-$L990&gt;25),IF(ABS($I989)&gt;10,$I989/POW(10,$J989),$J989/POW(10,$I989))*MAXIFS(Token!$C:$C,Token!$A:$A,$K989)&gt;0.01),$L989/86400+DATE(1970,1,1)+$G$6,)</f>
        <v/>
      </c>
      <c r="B989" s="27" t="str">
        <f t="shared" si="1"/>
        <v/>
      </c>
      <c r="C989" s="14" t="str">
        <f>IF($A989&lt;&gt;"",MINIFS(Merchant!$A:$A,Merchant!$B:$B,$G$2),)</f>
        <v/>
      </c>
      <c r="D989" s="14" t="str">
        <f t="shared" si="2"/>
        <v/>
      </c>
      <c r="E989" s="14" t="str">
        <f t="shared" si="3"/>
        <v/>
      </c>
      <c r="F989" s="7" t="str">
        <f>IF($A989&lt;&gt;"",MAXIFS(Token!$C:$C,Token!$A:$A,$D989),)</f>
        <v/>
      </c>
    </row>
    <row r="990">
      <c r="A990" s="39" t="str">
        <f>IF(AND($L990*1&gt;=$G$3,$L990*1&lt;=$G$4,$I990*$J990&gt;0,OR($I990&lt;&gt;$I991,$L990-$L991&gt;25),IF(ABS($I990)&gt;10,$I990/POW(10,$J990),$J990/POW(10,$I990))*MAXIFS(Token!$C:$C,Token!$A:$A,$K990)&gt;0.01),$L990/86400+DATE(1970,1,1)+$G$6,)</f>
        <v/>
      </c>
      <c r="B990" s="27" t="str">
        <f t="shared" si="1"/>
        <v/>
      </c>
      <c r="C990" s="14" t="str">
        <f>IF($A990&lt;&gt;"",MINIFS(Merchant!$A:$A,Merchant!$B:$B,$G$2),)</f>
        <v/>
      </c>
      <c r="D990" s="14" t="str">
        <f t="shared" si="2"/>
        <v/>
      </c>
      <c r="E990" s="14" t="str">
        <f t="shared" si="3"/>
        <v/>
      </c>
      <c r="F990" s="7" t="str">
        <f>IF($A990&lt;&gt;"",MAXIFS(Token!$C:$C,Token!$A:$A,$D990),)</f>
        <v/>
      </c>
    </row>
    <row r="991">
      <c r="A991" s="39" t="str">
        <f>IF(AND($L991*1&gt;=$G$3,$L991*1&lt;=$G$4,$I991*$J991&gt;0,OR($I991&lt;&gt;$I992,$L991-$L992&gt;25),IF(ABS($I991)&gt;10,$I991/POW(10,$J991),$J991/POW(10,$I991))*MAXIFS(Token!$C:$C,Token!$A:$A,$K991)&gt;0.01),$L991/86400+DATE(1970,1,1)+$G$6,)</f>
        <v/>
      </c>
      <c r="B991" s="27" t="str">
        <f t="shared" si="1"/>
        <v/>
      </c>
      <c r="C991" s="14" t="str">
        <f>IF($A991&lt;&gt;"",MINIFS(Merchant!$A:$A,Merchant!$B:$B,$G$2),)</f>
        <v/>
      </c>
      <c r="D991" s="14" t="str">
        <f t="shared" si="2"/>
        <v/>
      </c>
      <c r="E991" s="14" t="str">
        <f t="shared" si="3"/>
        <v/>
      </c>
      <c r="F991" s="7" t="str">
        <f>IF($A991&lt;&gt;"",MAXIFS(Token!$C:$C,Token!$A:$A,$D991),)</f>
        <v/>
      </c>
    </row>
    <row r="992">
      <c r="A992" s="39" t="str">
        <f>IF(AND($L992*1&gt;=$G$3,$L992*1&lt;=$G$4,$I992*$J992&gt;0,OR($I992&lt;&gt;$I993,$L992-$L993&gt;25),IF(ABS($I992)&gt;10,$I992/POW(10,$J992),$J992/POW(10,$I992))*MAXIFS(Token!$C:$C,Token!$A:$A,$K992)&gt;0.01),$L992/86400+DATE(1970,1,1)+$G$6,)</f>
        <v/>
      </c>
      <c r="B992" s="27" t="str">
        <f t="shared" si="1"/>
        <v/>
      </c>
      <c r="C992" s="14" t="str">
        <f>IF($A992&lt;&gt;"",MINIFS(Merchant!$A:$A,Merchant!$B:$B,$G$2),)</f>
        <v/>
      </c>
      <c r="D992" s="14" t="str">
        <f t="shared" si="2"/>
        <v/>
      </c>
      <c r="E992" s="14" t="str">
        <f t="shared" si="3"/>
        <v/>
      </c>
      <c r="F992" s="7" t="str">
        <f>IF($A992&lt;&gt;"",MAXIFS(Token!$C:$C,Token!$A:$A,$D992),)</f>
        <v/>
      </c>
    </row>
    <row r="993">
      <c r="A993" s="39" t="str">
        <f>IF(AND($L993*1&gt;=$G$3,$L993*1&lt;=$G$4,$I993*$J993&gt;0,OR($I993&lt;&gt;$I994,$L993-$L994&gt;25),IF(ABS($I993)&gt;10,$I993/POW(10,$J993),$J993/POW(10,$I993))*MAXIFS(Token!$C:$C,Token!$A:$A,$K993)&gt;0.01),$L993/86400+DATE(1970,1,1)+$G$6,)</f>
        <v/>
      </c>
      <c r="B993" s="27" t="str">
        <f t="shared" si="1"/>
        <v/>
      </c>
      <c r="C993" s="14" t="str">
        <f>IF($A993&lt;&gt;"",MINIFS(Merchant!$A:$A,Merchant!$B:$B,$G$2),)</f>
        <v/>
      </c>
      <c r="D993" s="14" t="str">
        <f t="shared" si="2"/>
        <v/>
      </c>
      <c r="E993" s="14" t="str">
        <f t="shared" si="3"/>
        <v/>
      </c>
      <c r="F993" s="7" t="str">
        <f>IF($A993&lt;&gt;"",MAXIFS(Token!$C:$C,Token!$A:$A,$D993),)</f>
        <v/>
      </c>
    </row>
    <row r="994">
      <c r="A994" s="39" t="str">
        <f>IF(AND($L994*1&gt;=$G$3,$L994*1&lt;=$G$4,$I994*$J994&gt;0,OR($I994&lt;&gt;$I995,$L994-$L995&gt;25),IF(ABS($I994)&gt;10,$I994/POW(10,$J994),$J994/POW(10,$I994))*MAXIFS(Token!$C:$C,Token!$A:$A,$K994)&gt;0.01),$L994/86400+DATE(1970,1,1)+$G$6,)</f>
        <v/>
      </c>
      <c r="B994" s="27" t="str">
        <f t="shared" si="1"/>
        <v/>
      </c>
      <c r="C994" s="14" t="str">
        <f>IF($A994&lt;&gt;"",MINIFS(Merchant!$A:$A,Merchant!$B:$B,$G$2),)</f>
        <v/>
      </c>
      <c r="D994" s="14" t="str">
        <f t="shared" si="2"/>
        <v/>
      </c>
      <c r="E994" s="14" t="str">
        <f t="shared" si="3"/>
        <v/>
      </c>
      <c r="F994" s="7" t="str">
        <f>IF($A994&lt;&gt;"",MAXIFS(Token!$C:$C,Token!$A:$A,$D994),)</f>
        <v/>
      </c>
    </row>
    <row r="995">
      <c r="A995" s="39" t="str">
        <f>IF(AND($L995*1&gt;=$G$3,$L995*1&lt;=$G$4,$I995*$J995&gt;0,OR($I995&lt;&gt;$I996,$L995-$L996&gt;25),IF(ABS($I995)&gt;10,$I995/POW(10,$J995),$J995/POW(10,$I995))*MAXIFS(Token!$C:$C,Token!$A:$A,$K995)&gt;0.01),$L995/86400+DATE(1970,1,1)+$G$6,)</f>
        <v/>
      </c>
      <c r="B995" s="27" t="str">
        <f t="shared" si="1"/>
        <v/>
      </c>
      <c r="C995" s="14" t="str">
        <f>IF($A995&lt;&gt;"",MINIFS(Merchant!$A:$A,Merchant!$B:$B,$G$2),)</f>
        <v/>
      </c>
      <c r="D995" s="14" t="str">
        <f t="shared" si="2"/>
        <v/>
      </c>
      <c r="E995" s="14" t="str">
        <f t="shared" si="3"/>
        <v/>
      </c>
      <c r="F995" s="7" t="str">
        <f>IF($A995&lt;&gt;"",MAXIFS(Token!$C:$C,Token!$A:$A,$D995),)</f>
        <v/>
      </c>
    </row>
    <row r="996">
      <c r="A996" s="39" t="str">
        <f>IF(AND($L996*1&gt;=$G$3,$L996*1&lt;=$G$4,$I996*$J996&gt;0,OR($I996&lt;&gt;$I997,$L996-$L997&gt;25),IF(ABS($I996)&gt;10,$I996/POW(10,$J996),$J996/POW(10,$I996))*MAXIFS(Token!$C:$C,Token!$A:$A,$K996)&gt;0.01),$L996/86400+DATE(1970,1,1)+$G$6,)</f>
        <v/>
      </c>
      <c r="B996" s="27" t="str">
        <f t="shared" si="1"/>
        <v/>
      </c>
      <c r="C996" s="14" t="str">
        <f>IF($A996&lt;&gt;"",MINIFS(Merchant!$A:$A,Merchant!$B:$B,$G$2),)</f>
        <v/>
      </c>
      <c r="D996" s="14" t="str">
        <f t="shared" si="2"/>
        <v/>
      </c>
      <c r="E996" s="14" t="str">
        <f t="shared" si="3"/>
        <v/>
      </c>
      <c r="F996" s="7" t="str">
        <f>IF($A996&lt;&gt;"",MAXIFS(Token!$C:$C,Token!$A:$A,$D996),)</f>
        <v/>
      </c>
    </row>
    <row r="997">
      <c r="A997" s="39" t="str">
        <f>IF(AND($L997*1&gt;=$G$3,$L997*1&lt;=$G$4,$I997*$J997&gt;0,OR($I997&lt;&gt;$I998,$L997-$L998&gt;25),IF(ABS($I997)&gt;10,$I997/POW(10,$J997),$J997/POW(10,$I997))*MAXIFS(Token!$C:$C,Token!$A:$A,$K997)&gt;0.01),$L997/86400+DATE(1970,1,1)+$G$6,)</f>
        <v/>
      </c>
      <c r="B997" s="27" t="str">
        <f t="shared" si="1"/>
        <v/>
      </c>
      <c r="C997" s="14" t="str">
        <f>IF($A997&lt;&gt;"",MINIFS(Merchant!$A:$A,Merchant!$B:$B,$G$2),)</f>
        <v/>
      </c>
      <c r="D997" s="14" t="str">
        <f t="shared" si="2"/>
        <v/>
      </c>
      <c r="E997" s="14" t="str">
        <f t="shared" si="3"/>
        <v/>
      </c>
      <c r="F997" s="7" t="str">
        <f>IF($A997&lt;&gt;"",MAXIFS(Token!$C:$C,Token!$A:$A,$D997),)</f>
        <v/>
      </c>
    </row>
    <row r="998">
      <c r="A998" s="39" t="str">
        <f>IF(AND($L998*1&gt;=$G$3,$L998*1&lt;=$G$4,$I998*$J998&gt;0,OR($I998&lt;&gt;$I999,$L998-$L999&gt;25),IF(ABS($I998)&gt;10,$I998/POW(10,$J998),$J998/POW(10,$I998))*MAXIFS(Token!$C:$C,Token!$A:$A,$K998)&gt;0.01),$L998/86400+DATE(1970,1,1)+$G$6,)</f>
        <v/>
      </c>
      <c r="B998" s="27" t="str">
        <f t="shared" si="1"/>
        <v/>
      </c>
      <c r="C998" s="14" t="str">
        <f>IF($A998&lt;&gt;"",MINIFS(Merchant!$A:$A,Merchant!$B:$B,$G$2),)</f>
        <v/>
      </c>
      <c r="D998" s="14" t="str">
        <f t="shared" si="2"/>
        <v/>
      </c>
      <c r="E998" s="14" t="str">
        <f t="shared" si="3"/>
        <v/>
      </c>
      <c r="F998" s="7" t="str">
        <f>IF($A998&lt;&gt;"",MAXIFS(Token!$C:$C,Token!$A:$A,$D998),)</f>
        <v/>
      </c>
    </row>
    <row r="999">
      <c r="A999" s="39" t="str">
        <f>IF(AND($L999*1&gt;=$G$3,$L999*1&lt;=$G$4,$I999*$J999&gt;0,OR($I999&lt;&gt;$I1000,$L999-$L1000&gt;25),IF(ABS($I999)&gt;10,$I999/POW(10,$J999),$J999/POW(10,$I999))*MAXIFS(Token!$C:$C,Token!$A:$A,$K999)&gt;0.01),$L999/86400+DATE(1970,1,1)+$G$6,)</f>
        <v/>
      </c>
      <c r="B999" s="27" t="str">
        <f t="shared" si="1"/>
        <v/>
      </c>
      <c r="C999" s="14" t="str">
        <f>IF($A999&lt;&gt;"",MINIFS(Merchant!$A:$A,Merchant!$B:$B,$G$2),)</f>
        <v/>
      </c>
      <c r="D999" s="14" t="str">
        <f t="shared" si="2"/>
        <v/>
      </c>
      <c r="E999" s="14" t="str">
        <f t="shared" si="3"/>
        <v/>
      </c>
      <c r="F999" s="7" t="str">
        <f>IF($A999&lt;&gt;"",MAXIFS(Token!$C:$C,Token!$A:$A,$D999),)</f>
        <v/>
      </c>
    </row>
    <row r="1000">
      <c r="A1000" s="39" t="str">
        <f>IF(AND($L1000*1&gt;=$G$3,$L1000*1&lt;=$G$4,$I1000*$J1000&gt;0,OR($I1000&lt;&gt;$I1001,$L1000-$L1001&gt;25),IF(ABS($I1000)&gt;10,$I1000/POW(10,$J1000),$J1000/POW(10,$I1000))*MAXIFS(Token!$C:$C,Token!$A:$A,$K1000)&gt;0.01),$L1000/86400+DATE(1970,1,1)+$G$6,)</f>
        <v/>
      </c>
      <c r="B1000" s="27" t="str">
        <f t="shared" si="1"/>
        <v/>
      </c>
      <c r="C1000" s="14" t="str">
        <f>IF($A1000&lt;&gt;"",MINIFS(Merchant!$A:$A,Merchant!$B:$B,$G$2),)</f>
        <v/>
      </c>
      <c r="D1000" s="14" t="str">
        <f t="shared" si="2"/>
        <v/>
      </c>
      <c r="E1000" s="14" t="str">
        <f t="shared" si="3"/>
        <v/>
      </c>
      <c r="F1000" s="7" t="str">
        <f>IF($A1000&lt;&gt;"",MAXIFS(Token!$C:$C,Token!$A:$A,$D1000),)</f>
        <v/>
      </c>
    </row>
  </sheetData>
  <drawing r:id="rId2"/>
  <legacyDrawing r:id="rId3"/>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75"/>
    <col customWidth="1" min="7" max="7" width="12.63"/>
  </cols>
  <sheetData>
    <row r="1">
      <c r="A1" s="1" t="s">
        <v>4</v>
      </c>
      <c r="B1" s="1" t="s">
        <v>5</v>
      </c>
      <c r="C1" s="1" t="s">
        <v>6</v>
      </c>
      <c r="D1" s="1" t="s">
        <v>7</v>
      </c>
      <c r="E1" s="1" t="s">
        <v>8</v>
      </c>
      <c r="F1" s="11" t="s">
        <v>9</v>
      </c>
      <c r="G1" s="14">
        <v>1.0</v>
      </c>
      <c r="H1" s="14" t="s">
        <v>105</v>
      </c>
      <c r="I1" s="6" t="s">
        <v>106</v>
      </c>
      <c r="J1" s="6" t="s">
        <v>107</v>
      </c>
      <c r="K1" s="6" t="s">
        <v>108</v>
      </c>
      <c r="L1" s="6" t="s">
        <v>109</v>
      </c>
    </row>
    <row r="2">
      <c r="A2" s="39" t="str">
        <f>IF(AND($L2*1&gt;=$G$3,$L2*1&lt;=$G$4,$I2*$J2&gt;0,OR($I2&lt;&gt;$I3,$L2-$L3&gt;25),$I2/POW(10,$J2)*MAXIFS(Token!$B:$B,Token!$A:$A,$K2)&gt;0.01),$L2/86400+DATE(1970,1,1)+$G$6,)</f>
        <v/>
      </c>
      <c r="B2" s="27" t="str">
        <f t="shared" ref="B2:B1000" si="1">IF($A2&lt;&gt;"",$E2*$F2,)</f>
        <v/>
      </c>
      <c r="C2" s="14" t="str">
        <f>IF($A2&lt;&gt;"",MINIFS(Merchant!$A:$A,Merchant!$B:$B,$G$2),)</f>
        <v/>
      </c>
      <c r="D2" s="14" t="str">
        <f t="shared" ref="D2:D1000" si="2">IF($A2&lt;&gt;"",$K2,)</f>
        <v/>
      </c>
      <c r="E2" s="14" t="str">
        <f t="shared" ref="E2:E1000" si="3">IF($A2&lt;&gt;"",$I2/POW(10,$J2),)</f>
        <v/>
      </c>
      <c r="F2" s="7" t="str">
        <f>IF($A2&lt;&gt;"",MAXIFS(Token!$B:$B,Token!$A:$A,$D2),)</f>
        <v/>
      </c>
      <c r="G2" s="14" t="str">
        <f>VLOOKUP($G1,Merchant!$A:$B,2)</f>
        <v>#N/A</v>
      </c>
      <c r="H2" s="6" t="str">
        <f>IFERROR(__xludf.DUMMYFUNCTION("IF(AND($G$11,$G$1&gt;1,INDEX(I:I,ROW()-1)&lt;&gt;""""),ImportJSON(""https://public-api.solscan.io/account/splTransfers?account=""&amp;$G$2&amp;IF($G$5,""&amp;fromTime=""&amp;TO_TEXT($G$3)&amp;""&amp;toTime=""&amp;TO_TEXT($G$4),)&amp;""&amp;offset=""&amp;ROW()-2&amp;""&amp;limit=50""&amp;$G$7,TEXTJOIN("","",1,$H$1:$"&amp;"L$1),""noHeaders""),)"),"")</f>
        <v/>
      </c>
    </row>
    <row r="3">
      <c r="A3" s="39" t="str">
        <f>IF(AND($L3*1&gt;=$G$3,$L3*1&lt;=$G$4,$I3*$J3&gt;0,OR($I3&lt;&gt;$I4,$L3-$L4&gt;25),$I3/POW(10,$J3)*MAXIFS(Token!$B:$B,Token!$A:$A,$K3)&gt;0.01),$L3/86400+DATE(1970,1,1)+$G$6,)</f>
        <v/>
      </c>
      <c r="B3" s="27" t="str">
        <f t="shared" si="1"/>
        <v/>
      </c>
      <c r="C3" s="14" t="str">
        <f>IF($A3&lt;&gt;"",MINIFS(Merchant!$A:$A,Merchant!$B:$B,$G$2),)</f>
        <v/>
      </c>
      <c r="D3" s="14" t="str">
        <f t="shared" si="2"/>
        <v/>
      </c>
      <c r="E3" s="14" t="str">
        <f t="shared" si="3"/>
        <v/>
      </c>
      <c r="F3" s="7" t="str">
        <f>IF($A3&lt;&gt;"",MAXIFS(Token!$B:$B,Token!$A:$A,$D3),)</f>
        <v/>
      </c>
      <c r="G3" s="6">
        <f>IFERROR((VLOOKUP($G$1,Merchant!$A:$M,10)-DATE(1970,1,1)-IF($G$6&lt;&gt;"",$G$6,0))*86400,0)</f>
        <v>0</v>
      </c>
    </row>
    <row r="4">
      <c r="A4" s="39" t="str">
        <f>IF(AND($L4*1&gt;=$G$3,$L4*1&lt;=$G$4,$I4*$J4&gt;0,OR($I4&lt;&gt;$I5,$L4-$L5&gt;25),$I4/POW(10,$J4)*MAXIFS(Token!$B:$B,Token!$A:$A,$K4)&gt;0.01),$L4/86400+DATE(1970,1,1)+$G$6,)</f>
        <v/>
      </c>
      <c r="B4" s="27" t="str">
        <f t="shared" si="1"/>
        <v/>
      </c>
      <c r="C4" s="14" t="str">
        <f>IF($A4&lt;&gt;"",MINIFS(Merchant!$A:$A,Merchant!$B:$B,$G$2),)</f>
        <v/>
      </c>
      <c r="D4" s="14" t="str">
        <f t="shared" si="2"/>
        <v/>
      </c>
      <c r="E4" s="14" t="str">
        <f t="shared" si="3"/>
        <v/>
      </c>
      <c r="F4" s="7" t="str">
        <f>IF($A4&lt;&gt;"",MAXIFS(Token!$B:$B,Token!$A:$A,$D4),)</f>
        <v/>
      </c>
      <c r="G4" s="6">
        <f>IFERROR((MAX(VLOOKUP($G$1,Merchant!$A:$M,10),VLOOKUP($G$1,Merchant!$A:$M,11))-DATE(1970,1,1)-IF($G$6&lt;&gt;"",$G$6,0))*86400,0)</f>
        <v>0</v>
      </c>
    </row>
    <row r="5">
      <c r="A5" s="39" t="str">
        <f>IF(AND($L5*1&gt;=$G$3,$L5*1&lt;=$G$4,$I5*$J5&gt;0,OR($I5&lt;&gt;$I6,$L5-$L6&gt;25),$I5/POW(10,$J5)*MAXIFS(Token!$B:$B,Token!$A:$A,$K5)&gt;0.01),$L5/86400+DATE(1970,1,1)+$G$6,)</f>
        <v/>
      </c>
      <c r="B5" s="27" t="str">
        <f t="shared" si="1"/>
        <v/>
      </c>
      <c r="C5" s="14" t="str">
        <f>IF($A5&lt;&gt;"",MINIFS(Merchant!$A:$A,Merchant!$B:$B,$G$2),)</f>
        <v/>
      </c>
      <c r="D5" s="14" t="str">
        <f t="shared" si="2"/>
        <v/>
      </c>
      <c r="E5" s="14" t="str">
        <f t="shared" si="3"/>
        <v/>
      </c>
      <c r="F5" s="7" t="str">
        <f>IF($A5&lt;&gt;"",MAXIFS(Token!$B:$B,Token!$A:$A,$D5),)</f>
        <v/>
      </c>
      <c r="G5" s="40" t="b">
        <f>FALSE</f>
        <v>0</v>
      </c>
    </row>
    <row r="6">
      <c r="A6" s="39" t="str">
        <f>IF(AND($L6*1&gt;=$G$3,$L6*1&lt;=$G$4,$I6*$J6&gt;0,OR($I6&lt;&gt;$I7,$L6-$L7&gt;25),$I6/POW(10,$J6)*MAXIFS(Token!$B:$B,Token!$A:$A,$K6)&gt;0.01),$L6/86400+DATE(1970,1,1)+$G$6,)</f>
        <v/>
      </c>
      <c r="B6" s="27" t="str">
        <f t="shared" si="1"/>
        <v/>
      </c>
      <c r="C6" s="14" t="str">
        <f>IF($A6&lt;&gt;"",MINIFS(Merchant!$A:$A,Merchant!$B:$B,$G$2),)</f>
        <v/>
      </c>
      <c r="D6" s="14" t="str">
        <f t="shared" si="2"/>
        <v/>
      </c>
      <c r="E6" s="14" t="str">
        <f t="shared" si="3"/>
        <v/>
      </c>
      <c r="F6" s="7" t="str">
        <f>IF($A6&lt;&gt;"",MAXIFS(Token!$B:$B,Token!$A:$A,$D6),)</f>
        <v/>
      </c>
      <c r="G6" s="41">
        <f>TIME(2,0,0)</f>
        <v>0.08333333333</v>
      </c>
    </row>
    <row r="7">
      <c r="A7" s="39" t="str">
        <f>IF(AND($L7*1&gt;=$G$3,$L7*1&lt;=$G$4,$I7*$J7&gt;0,OR($I7&lt;&gt;$I8,$L7-$L8&gt;25),$I7/POW(10,$J7)*MAXIFS(Token!$B:$B,Token!$A:$A,$K7)&gt;0.01),$L7/86400+DATE(1970,1,1)+$G$6,)</f>
        <v/>
      </c>
      <c r="B7" s="27" t="str">
        <f t="shared" si="1"/>
        <v/>
      </c>
      <c r="C7" s="14" t="str">
        <f>IF($A7&lt;&gt;"",MINIFS(Merchant!$A:$A,Merchant!$B:$B,$G$2),)</f>
        <v/>
      </c>
      <c r="D7" s="14" t="str">
        <f t="shared" si="2"/>
        <v/>
      </c>
      <c r="E7" s="14" t="str">
        <f t="shared" si="3"/>
        <v/>
      </c>
      <c r="F7" s="7" t="str">
        <f>IF($A7&lt;&gt;"",MAXIFS(Token!$B:$B,Token!$A:$A,$D7),)</f>
        <v/>
      </c>
      <c r="G7" s="14" t="s">
        <v>103</v>
      </c>
    </row>
    <row r="8">
      <c r="A8" s="39" t="str">
        <f>IF(AND($L8*1&gt;=$G$3,$L8*1&lt;=$G$4,$I8*$J8&gt;0,OR($I8&lt;&gt;$I9,$L8-$L9&gt;25),$I8/POW(10,$J8)*MAXIFS(Token!$B:$B,Token!$A:$A,$K8)&gt;0.01),$L8/86400+DATE(1970,1,1)+$G$6,)</f>
        <v/>
      </c>
      <c r="B8" s="27" t="str">
        <f t="shared" si="1"/>
        <v/>
      </c>
      <c r="C8" s="14" t="str">
        <f>IF($A8&lt;&gt;"",MINIFS(Merchant!$A:$A,Merchant!$B:$B,$G$2),)</f>
        <v/>
      </c>
      <c r="D8" s="14" t="str">
        <f t="shared" si="2"/>
        <v/>
      </c>
      <c r="E8" s="14" t="str">
        <f t="shared" si="3"/>
        <v/>
      </c>
      <c r="F8" s="7" t="str">
        <f>IF($A8&lt;&gt;"",MAXIFS(Token!$B:$B,Token!$A:$A,$D8),)</f>
        <v/>
      </c>
      <c r="G8" s="6" t="b">
        <f>COUNTIF(OFFSET($A:$A,1,0),"&lt;&gt;")&lt;&gt;COUNTIF(Transactions!$C:$C,$G$1)</f>
        <v>0</v>
      </c>
    </row>
    <row r="9">
      <c r="A9" s="39" t="str">
        <f>IF(AND($L9*1&gt;=$G$3,$L9*1&lt;=$G$4,$I9*$J9&gt;0,OR($I9&lt;&gt;$I10,$L9-$L10&gt;25),$I9/POW(10,$J9)*MAXIFS(Token!$B:$B,Token!$A:$A,$K9)&gt;0.01),$L9/86400+DATE(1970,1,1)+$G$6,)</f>
        <v/>
      </c>
      <c r="B9" s="27" t="str">
        <f t="shared" si="1"/>
        <v/>
      </c>
      <c r="C9" s="14" t="str">
        <f>IF($A9&lt;&gt;"",MINIFS(Merchant!$A:$A,Merchant!$B:$B,$G$2),)</f>
        <v/>
      </c>
      <c r="D9" s="14" t="str">
        <f t="shared" si="2"/>
        <v/>
      </c>
      <c r="E9" s="14" t="str">
        <f t="shared" si="3"/>
        <v/>
      </c>
      <c r="F9" s="7" t="str">
        <f>IF($A9&lt;&gt;"",MAXIFS(Token!$B:$B,Token!$A:$A,$D9),)</f>
        <v/>
      </c>
      <c r="G9" s="42">
        <f>TODAY()+TIME(7,0,0)</f>
        <v>44933.29167</v>
      </c>
    </row>
    <row r="10">
      <c r="A10" s="39" t="str">
        <f>IF(AND($L10*1&gt;=$G$3,$L10*1&lt;=$G$4,$I10*$J10&gt;0,OR($I10&lt;&gt;$I11,$L10-$L11&gt;25),$I10/POW(10,$J10)*MAXIFS(Token!$B:$B,Token!$A:$A,$K10)&gt;0.01),$L10/86400+DATE(1970,1,1)+$G$6,)</f>
        <v/>
      </c>
      <c r="B10" s="27" t="str">
        <f t="shared" si="1"/>
        <v/>
      </c>
      <c r="C10" s="14" t="str">
        <f>IF($A10&lt;&gt;"",MINIFS(Merchant!$A:$A,Merchant!$B:$B,$G$2),)</f>
        <v/>
      </c>
      <c r="D10" s="14" t="str">
        <f t="shared" si="2"/>
        <v/>
      </c>
      <c r="E10" s="14" t="str">
        <f t="shared" si="3"/>
        <v/>
      </c>
      <c r="F10" s="7" t="str">
        <f>IF($A10&lt;&gt;"",MAXIFS(Token!$B:$B,Token!$A:$A,$D10),)</f>
        <v/>
      </c>
      <c r="G10" s="42">
        <f>TODAY()+TIME(22,0,0)</f>
        <v>44933.91667</v>
      </c>
    </row>
    <row r="11">
      <c r="A11" s="39" t="str">
        <f>IF(AND($L11*1&gt;=$G$3,$L11*1&lt;=$G$4,$I11*$J11&gt;0,OR($I11&lt;&gt;$I12,$L11-$L12&gt;25),$I11/POW(10,$J11)*MAXIFS(Token!$B:$B,Token!$A:$A,$K11)&gt;0.01),$L11/86400+DATE(1970,1,1)+$G$6,)</f>
        <v/>
      </c>
      <c r="B11" s="27" t="str">
        <f t="shared" si="1"/>
        <v/>
      </c>
      <c r="C11" s="14" t="str">
        <f>IF($A11&lt;&gt;"",MINIFS(Merchant!$A:$A,Merchant!$B:$B,$G$2),)</f>
        <v/>
      </c>
      <c r="D11" s="14" t="str">
        <f t="shared" si="2"/>
        <v/>
      </c>
      <c r="E11" s="14" t="str">
        <f t="shared" si="3"/>
        <v/>
      </c>
      <c r="F11" s="7" t="str">
        <f>IF($A11&lt;&gt;"",MAXIFS(Token!$B:$B,Token!$A:$A,$D11),)</f>
        <v/>
      </c>
      <c r="G11" s="6" t="b">
        <f>OR(TRUE,AND(NOW()&gt;$G$9,NOW()&lt;=$G$10))</f>
        <v>1</v>
      </c>
    </row>
    <row r="12">
      <c r="A12" s="39" t="str">
        <f>IF(AND($L12*1&gt;=$G$3,$L12*1&lt;=$G$4,$I12*$J12&gt;0,OR($I12&lt;&gt;$I13,$L12-$L13&gt;25),$I12/POW(10,$J12)*MAXIFS(Token!$B:$B,Token!$A:$A,$K12)&gt;0.01),$L12/86400+DATE(1970,1,1)+$G$6,)</f>
        <v/>
      </c>
      <c r="B12" s="27" t="str">
        <f t="shared" si="1"/>
        <v/>
      </c>
      <c r="C12" s="14" t="str">
        <f>IF($A12&lt;&gt;"",MINIFS(Merchant!$A:$A,Merchant!$B:$B,$G$2),)</f>
        <v/>
      </c>
      <c r="D12" s="14" t="str">
        <f t="shared" si="2"/>
        <v/>
      </c>
      <c r="E12" s="14" t="str">
        <f t="shared" si="3"/>
        <v/>
      </c>
      <c r="F12" s="7" t="str">
        <f>IF($A12&lt;&gt;"",MAXIFS(Token!$B:$B,Token!$A:$A,$D12),)</f>
        <v/>
      </c>
    </row>
    <row r="13">
      <c r="A13" s="39" t="str">
        <f>IF(AND($L13*1&gt;=$G$3,$L13*1&lt;=$G$4,$I13*$J13&gt;0,OR($I13&lt;&gt;$I14,$L13-$L14&gt;25),$I13/POW(10,$J13)*MAXIFS(Token!$B:$B,Token!$A:$A,$K13)&gt;0.01),$L13/86400+DATE(1970,1,1)+$G$6,)</f>
        <v/>
      </c>
      <c r="B13" s="27" t="str">
        <f t="shared" si="1"/>
        <v/>
      </c>
      <c r="C13" s="14" t="str">
        <f>IF($A13&lt;&gt;"",MINIFS(Merchant!$A:$A,Merchant!$B:$B,$G$2),)</f>
        <v/>
      </c>
      <c r="D13" s="14" t="str">
        <f t="shared" si="2"/>
        <v/>
      </c>
      <c r="E13" s="14" t="str">
        <f t="shared" si="3"/>
        <v/>
      </c>
      <c r="F13" s="7" t="str">
        <f>IF($A13&lt;&gt;"",MAXIFS(Token!$B:$B,Token!$A:$A,$D13),)</f>
        <v/>
      </c>
    </row>
    <row r="14">
      <c r="A14" s="39" t="str">
        <f>IF(AND($L14*1&gt;=$G$3,$L14*1&lt;=$G$4,$I14*$J14&gt;0,OR($I14&lt;&gt;$I15,$L14-$L15&gt;25),$I14/POW(10,$J14)*MAXIFS(Token!$B:$B,Token!$A:$A,$K14)&gt;0.01),$L14/86400+DATE(1970,1,1)+$G$6,)</f>
        <v/>
      </c>
      <c r="B14" s="27" t="str">
        <f t="shared" si="1"/>
        <v/>
      </c>
      <c r="C14" s="14" t="str">
        <f>IF($A14&lt;&gt;"",MINIFS(Merchant!$A:$A,Merchant!$B:$B,$G$2),)</f>
        <v/>
      </c>
      <c r="D14" s="14" t="str">
        <f t="shared" si="2"/>
        <v/>
      </c>
      <c r="E14" s="14" t="str">
        <f t="shared" si="3"/>
        <v/>
      </c>
      <c r="F14" s="7" t="str">
        <f>IF($A14&lt;&gt;"",MAXIFS(Token!$B:$B,Token!$A:$A,$D14),)</f>
        <v/>
      </c>
    </row>
    <row r="15">
      <c r="A15" s="39" t="str">
        <f>IF(AND($L15*1&gt;=$G$3,$L15*1&lt;=$G$4,$I15*$J15&gt;0,OR($I15&lt;&gt;$I16,$L15-$L16&gt;25),$I15/POW(10,$J15)*MAXIFS(Token!$B:$B,Token!$A:$A,$K15)&gt;0.01),$L15/86400+DATE(1970,1,1)+$G$6,)</f>
        <v/>
      </c>
      <c r="B15" s="27" t="str">
        <f t="shared" si="1"/>
        <v/>
      </c>
      <c r="C15" s="14" t="str">
        <f>IF($A15&lt;&gt;"",MINIFS(Merchant!$A:$A,Merchant!$B:$B,$G$2),)</f>
        <v/>
      </c>
      <c r="D15" s="14" t="str">
        <f t="shared" si="2"/>
        <v/>
      </c>
      <c r="E15" s="14" t="str">
        <f t="shared" si="3"/>
        <v/>
      </c>
      <c r="F15" s="7" t="str">
        <f>IF($A15&lt;&gt;"",MAXIFS(Token!$B:$B,Token!$A:$A,$D15),)</f>
        <v/>
      </c>
      <c r="G15" s="39"/>
    </row>
    <row r="16">
      <c r="A16" s="39" t="str">
        <f>IF(AND($L16*1&gt;=$G$3,$L16*1&lt;=$G$4,$I16*$J16&gt;0,OR($I16&lt;&gt;$I17,$L16-$L17&gt;25),$I16/POW(10,$J16)*MAXIFS(Token!$B:$B,Token!$A:$A,$K16)&gt;0.01),$L16/86400+DATE(1970,1,1)+$G$6,)</f>
        <v/>
      </c>
      <c r="B16" s="27" t="str">
        <f t="shared" si="1"/>
        <v/>
      </c>
      <c r="C16" s="14" t="str">
        <f>IF($A16&lt;&gt;"",MINIFS(Merchant!$A:$A,Merchant!$B:$B,$G$2),)</f>
        <v/>
      </c>
      <c r="D16" s="14" t="str">
        <f t="shared" si="2"/>
        <v/>
      </c>
      <c r="E16" s="14" t="str">
        <f t="shared" si="3"/>
        <v/>
      </c>
      <c r="F16" s="7" t="str">
        <f>IF($A16&lt;&gt;"",MAXIFS(Token!$B:$B,Token!$A:$A,$D16),)</f>
        <v/>
      </c>
    </row>
    <row r="17">
      <c r="A17" s="39" t="str">
        <f>IF(AND($L17*1&gt;=$G$3,$L17*1&lt;=$G$4,$I17*$J17&gt;0,OR($I17&lt;&gt;$I18,$L17-$L18&gt;25),$I17/POW(10,$J17)*MAXIFS(Token!$B:$B,Token!$A:$A,$K17)&gt;0.01),$L17/86400+DATE(1970,1,1)+$G$6,)</f>
        <v/>
      </c>
      <c r="B17" s="27" t="str">
        <f t="shared" si="1"/>
        <v/>
      </c>
      <c r="C17" s="14" t="str">
        <f>IF($A17&lt;&gt;"",MINIFS(Merchant!$A:$A,Merchant!$B:$B,$G$2),)</f>
        <v/>
      </c>
      <c r="D17" s="14" t="str">
        <f t="shared" si="2"/>
        <v/>
      </c>
      <c r="E17" s="14" t="str">
        <f t="shared" si="3"/>
        <v/>
      </c>
      <c r="F17" s="7" t="str">
        <f>IF($A17&lt;&gt;"",MAXIFS(Token!$B:$B,Token!$A:$A,$D17),)</f>
        <v/>
      </c>
    </row>
    <row r="18">
      <c r="A18" s="39" t="str">
        <f>IF(AND($L18*1&gt;=$G$3,$L18*1&lt;=$G$4,$I18*$J18&gt;0,OR($I18&lt;&gt;$I19,$L18-$L19&gt;25),$I18/POW(10,$J18)*MAXIFS(Token!$B:$B,Token!$A:$A,$K18)&gt;0.01),$L18/86400+DATE(1970,1,1)+$G$6,)</f>
        <v/>
      </c>
      <c r="B18" s="27" t="str">
        <f t="shared" si="1"/>
        <v/>
      </c>
      <c r="C18" s="14" t="str">
        <f>IF($A18&lt;&gt;"",MINIFS(Merchant!$A:$A,Merchant!$B:$B,$G$2),)</f>
        <v/>
      </c>
      <c r="D18" s="14" t="str">
        <f t="shared" si="2"/>
        <v/>
      </c>
      <c r="E18" s="14" t="str">
        <f t="shared" si="3"/>
        <v/>
      </c>
      <c r="F18" s="7" t="str">
        <f>IF($A18&lt;&gt;"",MAXIFS(Token!$B:$B,Token!$A:$A,$D18),)</f>
        <v/>
      </c>
    </row>
    <row r="19">
      <c r="A19" s="39" t="str">
        <f>IF(AND($L19*1&gt;=$G$3,$L19*1&lt;=$G$4,$I19*$J19&gt;0,OR($I19&lt;&gt;$I20,$L19-$L20&gt;25),$I19/POW(10,$J19)*MAXIFS(Token!$B:$B,Token!$A:$A,$K19)&gt;0.01),$L19/86400+DATE(1970,1,1)+$G$6,)</f>
        <v/>
      </c>
      <c r="B19" s="27" t="str">
        <f t="shared" si="1"/>
        <v/>
      </c>
      <c r="C19" s="14" t="str">
        <f>IF($A19&lt;&gt;"",MINIFS(Merchant!$A:$A,Merchant!$B:$B,$G$2),)</f>
        <v/>
      </c>
      <c r="D19" s="14" t="str">
        <f t="shared" si="2"/>
        <v/>
      </c>
      <c r="E19" s="14" t="str">
        <f t="shared" si="3"/>
        <v/>
      </c>
      <c r="F19" s="7" t="str">
        <f>IF($A19&lt;&gt;"",MAXIFS(Token!$B:$B,Token!$A:$A,$D19),)</f>
        <v/>
      </c>
    </row>
    <row r="20">
      <c r="A20" s="39" t="str">
        <f>IF(AND($L20*1&gt;=$G$3,$L20*1&lt;=$G$4,$I20*$J20&gt;0,OR($I20&lt;&gt;$I21,$L20-$L21&gt;25),$I20/POW(10,$J20)*MAXIFS(Token!$B:$B,Token!$A:$A,$K20)&gt;0.01),$L20/86400+DATE(1970,1,1)+$G$6,)</f>
        <v/>
      </c>
      <c r="B20" s="27" t="str">
        <f t="shared" si="1"/>
        <v/>
      </c>
      <c r="C20" s="14" t="str">
        <f>IF($A20&lt;&gt;"",MINIFS(Merchant!$A:$A,Merchant!$B:$B,$G$2),)</f>
        <v/>
      </c>
      <c r="D20" s="14" t="str">
        <f t="shared" si="2"/>
        <v/>
      </c>
      <c r="E20" s="14" t="str">
        <f t="shared" si="3"/>
        <v/>
      </c>
      <c r="F20" s="7" t="str">
        <f>IF($A20&lt;&gt;"",MAXIFS(Token!$B:$B,Token!$A:$A,$D20),)</f>
        <v/>
      </c>
    </row>
    <row r="21">
      <c r="A21" s="39" t="str">
        <f>IF(AND($L21*1&gt;=$G$3,$L21*1&lt;=$G$4,$I21*$J21&gt;0,OR($I21&lt;&gt;$I22,$L21-$L22&gt;25),$I21/POW(10,$J21)*MAXIFS(Token!$B:$B,Token!$A:$A,$K21)&gt;0.01),$L21/86400+DATE(1970,1,1)+$G$6,)</f>
        <v/>
      </c>
      <c r="B21" s="27" t="str">
        <f t="shared" si="1"/>
        <v/>
      </c>
      <c r="C21" s="14" t="str">
        <f>IF($A21&lt;&gt;"",MINIFS(Merchant!$A:$A,Merchant!$B:$B,$G$2),)</f>
        <v/>
      </c>
      <c r="D21" s="14" t="str">
        <f t="shared" si="2"/>
        <v/>
      </c>
      <c r="E21" s="14" t="str">
        <f t="shared" si="3"/>
        <v/>
      </c>
      <c r="F21" s="7" t="str">
        <f>IF($A21&lt;&gt;"",MAXIFS(Token!$B:$B,Token!$A:$A,$D21),)</f>
        <v/>
      </c>
    </row>
    <row r="22">
      <c r="A22" s="39" t="str">
        <f>IF(AND($L22*1&gt;=$G$3,$L22*1&lt;=$G$4,$I22*$J22&gt;0,OR($I22&lt;&gt;$I23,$L22-$L23&gt;25),$I22/POW(10,$J22)*MAXIFS(Token!$B:$B,Token!$A:$A,$K22)&gt;0.01),$L22/86400+DATE(1970,1,1)+$G$6,)</f>
        <v/>
      </c>
      <c r="B22" s="27" t="str">
        <f t="shared" si="1"/>
        <v/>
      </c>
      <c r="C22" s="14" t="str">
        <f>IF($A22&lt;&gt;"",MINIFS(Merchant!$A:$A,Merchant!$B:$B,$G$2),)</f>
        <v/>
      </c>
      <c r="D22" s="14" t="str">
        <f t="shared" si="2"/>
        <v/>
      </c>
      <c r="E22" s="14" t="str">
        <f t="shared" si="3"/>
        <v/>
      </c>
      <c r="F22" s="7" t="str">
        <f>IF($A22&lt;&gt;"",MAXIFS(Token!$B:$B,Token!$A:$A,$D22),)</f>
        <v/>
      </c>
    </row>
    <row r="23">
      <c r="A23" s="39" t="str">
        <f>IF(AND($L23*1&gt;=$G$3,$L23*1&lt;=$G$4,$I23*$J23&gt;0,OR($I23&lt;&gt;$I24,$L23-$L24&gt;25),$I23/POW(10,$J23)*MAXIFS(Token!$B:$B,Token!$A:$A,$K23)&gt;0.01),$L23/86400+DATE(1970,1,1)+$G$6,)</f>
        <v/>
      </c>
      <c r="B23" s="27" t="str">
        <f t="shared" si="1"/>
        <v/>
      </c>
      <c r="C23" s="14" t="str">
        <f>IF($A23&lt;&gt;"",MINIFS(Merchant!$A:$A,Merchant!$B:$B,$G$2),)</f>
        <v/>
      </c>
      <c r="D23" s="14" t="str">
        <f t="shared" si="2"/>
        <v/>
      </c>
      <c r="E23" s="14" t="str">
        <f t="shared" si="3"/>
        <v/>
      </c>
      <c r="F23" s="7" t="str">
        <f>IF($A23&lt;&gt;"",MAXIFS(Token!$B:$B,Token!$A:$A,$D23),)</f>
        <v/>
      </c>
    </row>
    <row r="24">
      <c r="A24" s="39" t="str">
        <f>IF(AND($L24*1&gt;=$G$3,$L24*1&lt;=$G$4,$I24*$J24&gt;0,OR($I24&lt;&gt;$I25,$L24-$L25&gt;25),$I24/POW(10,$J24)*MAXIFS(Token!$B:$B,Token!$A:$A,$K24)&gt;0.01),$L24/86400+DATE(1970,1,1)+$G$6,)</f>
        <v/>
      </c>
      <c r="B24" s="27" t="str">
        <f t="shared" si="1"/>
        <v/>
      </c>
      <c r="C24" s="14" t="str">
        <f>IF($A24&lt;&gt;"",MINIFS(Merchant!$A:$A,Merchant!$B:$B,$G$2),)</f>
        <v/>
      </c>
      <c r="D24" s="14" t="str">
        <f t="shared" si="2"/>
        <v/>
      </c>
      <c r="E24" s="14" t="str">
        <f t="shared" si="3"/>
        <v/>
      </c>
      <c r="F24" s="7" t="str">
        <f>IF($A24&lt;&gt;"",MAXIFS(Token!$B:$B,Token!$A:$A,$D24),)</f>
        <v/>
      </c>
    </row>
    <row r="25">
      <c r="A25" s="39" t="str">
        <f>IF(AND($L25*1&gt;=$G$3,$L25*1&lt;=$G$4,$I25*$J25&gt;0,OR($I25&lt;&gt;$I26,$L25-$L26&gt;25),$I25/POW(10,$J25)*MAXIFS(Token!$B:$B,Token!$A:$A,$K25)&gt;0.01),$L25/86400+DATE(1970,1,1)+$G$6,)</f>
        <v/>
      </c>
      <c r="B25" s="27" t="str">
        <f t="shared" si="1"/>
        <v/>
      </c>
      <c r="C25" s="14" t="str">
        <f>IF($A25&lt;&gt;"",MINIFS(Merchant!$A:$A,Merchant!$B:$B,$G$2),)</f>
        <v/>
      </c>
      <c r="D25" s="14" t="str">
        <f t="shared" si="2"/>
        <v/>
      </c>
      <c r="E25" s="14" t="str">
        <f t="shared" si="3"/>
        <v/>
      </c>
      <c r="F25" s="7" t="str">
        <f>IF($A25&lt;&gt;"",MAXIFS(Token!$B:$B,Token!$A:$A,$D25),)</f>
        <v/>
      </c>
    </row>
    <row r="26">
      <c r="A26" s="39" t="str">
        <f>IF(AND($L26*1&gt;=$G$3,$L26*1&lt;=$G$4,$I26*$J26&gt;0,OR($I26&lt;&gt;$I27,$L26-$L27&gt;25),$I26/POW(10,$J26)*MAXIFS(Token!$B:$B,Token!$A:$A,$K26)&gt;0.01),$L26/86400+DATE(1970,1,1)+$G$6,)</f>
        <v/>
      </c>
      <c r="B26" s="27" t="str">
        <f t="shared" si="1"/>
        <v/>
      </c>
      <c r="C26" s="14" t="str">
        <f>IF($A26&lt;&gt;"",MINIFS(Merchant!$A:$A,Merchant!$B:$B,$G$2),)</f>
        <v/>
      </c>
      <c r="D26" s="14" t="str">
        <f t="shared" si="2"/>
        <v/>
      </c>
      <c r="E26" s="14" t="str">
        <f t="shared" si="3"/>
        <v/>
      </c>
      <c r="F26" s="7" t="str">
        <f>IF($A26&lt;&gt;"",MAXIFS(Token!$B:$B,Token!$A:$A,$D26),)</f>
        <v/>
      </c>
    </row>
    <row r="27">
      <c r="A27" s="39" t="str">
        <f>IF(AND($L27*1&gt;=$G$3,$L27*1&lt;=$G$4,$I27*$J27&gt;0,OR($I27&lt;&gt;$I28,$L27-$L28&gt;25),$I27/POW(10,$J27)*MAXIFS(Token!$B:$B,Token!$A:$A,$K27)&gt;0.01),$L27/86400+DATE(1970,1,1)+$G$6,)</f>
        <v/>
      </c>
      <c r="B27" s="27" t="str">
        <f t="shared" si="1"/>
        <v/>
      </c>
      <c r="C27" s="14" t="str">
        <f>IF($A27&lt;&gt;"",MINIFS(Merchant!$A:$A,Merchant!$B:$B,$G$2),)</f>
        <v/>
      </c>
      <c r="D27" s="14" t="str">
        <f t="shared" si="2"/>
        <v/>
      </c>
      <c r="E27" s="14" t="str">
        <f t="shared" si="3"/>
        <v/>
      </c>
      <c r="F27" s="7" t="str">
        <f>IF($A27&lt;&gt;"",MAXIFS(Token!$B:$B,Token!$A:$A,$D27),)</f>
        <v/>
      </c>
    </row>
    <row r="28">
      <c r="A28" s="39" t="str">
        <f>IF(AND($L28*1&gt;=$G$3,$L28*1&lt;=$G$4,$I28*$J28&gt;0,OR($I28&lt;&gt;$I29,$L28-$L29&gt;25),$I28/POW(10,$J28)*MAXIFS(Token!$B:$B,Token!$A:$A,$K28)&gt;0.01),$L28/86400+DATE(1970,1,1)+$G$6,)</f>
        <v/>
      </c>
      <c r="B28" s="27" t="str">
        <f t="shared" si="1"/>
        <v/>
      </c>
      <c r="C28" s="14" t="str">
        <f>IF($A28&lt;&gt;"",MINIFS(Merchant!$A:$A,Merchant!$B:$B,$G$2),)</f>
        <v/>
      </c>
      <c r="D28" s="14" t="str">
        <f t="shared" si="2"/>
        <v/>
      </c>
      <c r="E28" s="14" t="str">
        <f t="shared" si="3"/>
        <v/>
      </c>
      <c r="F28" s="7" t="str">
        <f>IF($A28&lt;&gt;"",MAXIFS(Token!$B:$B,Token!$A:$A,$D28),)</f>
        <v/>
      </c>
    </row>
    <row r="29">
      <c r="A29" s="39" t="str">
        <f>IF(AND($L29*1&gt;=$G$3,$L29*1&lt;=$G$4,$I29*$J29&gt;0,OR($I29&lt;&gt;$I30,$L29-$L30&gt;25),$I29/POW(10,$J29)*MAXIFS(Token!$B:$B,Token!$A:$A,$K29)&gt;0.01),$L29/86400+DATE(1970,1,1)+$G$6,)</f>
        <v/>
      </c>
      <c r="B29" s="27" t="str">
        <f t="shared" si="1"/>
        <v/>
      </c>
      <c r="C29" s="14" t="str">
        <f>IF($A29&lt;&gt;"",MINIFS(Merchant!$A:$A,Merchant!$B:$B,$G$2),)</f>
        <v/>
      </c>
      <c r="D29" s="14" t="str">
        <f t="shared" si="2"/>
        <v/>
      </c>
      <c r="E29" s="14" t="str">
        <f t="shared" si="3"/>
        <v/>
      </c>
      <c r="F29" s="7" t="str">
        <f>IF($A29&lt;&gt;"",MAXIFS(Token!$B:$B,Token!$A:$A,$D29),)</f>
        <v/>
      </c>
    </row>
    <row r="30">
      <c r="A30" s="39" t="str">
        <f>IF(AND($L30*1&gt;=$G$3,$L30*1&lt;=$G$4,$I30*$J30&gt;0,OR($I30&lt;&gt;$I31,$L30-$L31&gt;25),$I30/POW(10,$J30)*MAXIFS(Token!$B:$B,Token!$A:$A,$K30)&gt;0.01),$L30/86400+DATE(1970,1,1)+$G$6,)</f>
        <v/>
      </c>
      <c r="B30" s="27" t="str">
        <f t="shared" si="1"/>
        <v/>
      </c>
      <c r="C30" s="14" t="str">
        <f>IF($A30&lt;&gt;"",MINIFS(Merchant!$A:$A,Merchant!$B:$B,$G$2),)</f>
        <v/>
      </c>
      <c r="D30" s="14" t="str">
        <f t="shared" si="2"/>
        <v/>
      </c>
      <c r="E30" s="14" t="str">
        <f t="shared" si="3"/>
        <v/>
      </c>
      <c r="F30" s="7" t="str">
        <f>IF($A30&lt;&gt;"",MAXIFS(Token!$B:$B,Token!$A:$A,$D30),)</f>
        <v/>
      </c>
    </row>
    <row r="31">
      <c r="A31" s="39" t="str">
        <f>IF(AND($L31*1&gt;=$G$3,$L31*1&lt;=$G$4,$I31*$J31&gt;0,OR($I31&lt;&gt;$I32,$L31-$L32&gt;25),$I31/POW(10,$J31)*MAXIFS(Token!$B:$B,Token!$A:$A,$K31)&gt;0.01),$L31/86400+DATE(1970,1,1)+$G$6,)</f>
        <v/>
      </c>
      <c r="B31" s="27" t="str">
        <f t="shared" si="1"/>
        <v/>
      </c>
      <c r="C31" s="14" t="str">
        <f>IF($A31&lt;&gt;"",MINIFS(Merchant!$A:$A,Merchant!$B:$B,$G$2),)</f>
        <v/>
      </c>
      <c r="D31" s="14" t="str">
        <f t="shared" si="2"/>
        <v/>
      </c>
      <c r="E31" s="14" t="str">
        <f t="shared" si="3"/>
        <v/>
      </c>
      <c r="F31" s="7" t="str">
        <f>IF($A31&lt;&gt;"",MAXIFS(Token!$B:$B,Token!$A:$A,$D31),)</f>
        <v/>
      </c>
    </row>
    <row r="32">
      <c r="A32" s="39" t="str">
        <f>IF(AND($L32*1&gt;=$G$3,$L32*1&lt;=$G$4,$I32*$J32&gt;0,OR($I32&lt;&gt;$I33,$L32-$L33&gt;25),$I32/POW(10,$J32)*MAXIFS(Token!$B:$B,Token!$A:$A,$K32)&gt;0.01),$L32/86400+DATE(1970,1,1)+$G$6,)</f>
        <v/>
      </c>
      <c r="B32" s="27" t="str">
        <f t="shared" si="1"/>
        <v/>
      </c>
      <c r="C32" s="14" t="str">
        <f>IF($A32&lt;&gt;"",MINIFS(Merchant!$A:$A,Merchant!$B:$B,$G$2),)</f>
        <v/>
      </c>
      <c r="D32" s="14" t="str">
        <f t="shared" si="2"/>
        <v/>
      </c>
      <c r="E32" s="14" t="str">
        <f t="shared" si="3"/>
        <v/>
      </c>
      <c r="F32" s="7" t="str">
        <f>IF($A32&lt;&gt;"",MAXIFS(Token!$B:$B,Token!$A:$A,$D32),)</f>
        <v/>
      </c>
    </row>
    <row r="33">
      <c r="A33" s="39" t="str">
        <f>IF(AND($L33*1&gt;=$G$3,$L33*1&lt;=$G$4,$I33*$J33&gt;0,OR($I33&lt;&gt;$I34,$L33-$L34&gt;25),$I33/POW(10,$J33)*MAXIFS(Token!$B:$B,Token!$A:$A,$K33)&gt;0.01),$L33/86400+DATE(1970,1,1)+$G$6,)</f>
        <v/>
      </c>
      <c r="B33" s="27" t="str">
        <f t="shared" si="1"/>
        <v/>
      </c>
      <c r="C33" s="14" t="str">
        <f>IF($A33&lt;&gt;"",MINIFS(Merchant!$A:$A,Merchant!$B:$B,$G$2),)</f>
        <v/>
      </c>
      <c r="D33" s="14" t="str">
        <f t="shared" si="2"/>
        <v/>
      </c>
      <c r="E33" s="14" t="str">
        <f t="shared" si="3"/>
        <v/>
      </c>
      <c r="F33" s="7" t="str">
        <f>IF($A33&lt;&gt;"",MAXIFS(Token!$B:$B,Token!$A:$A,$D33),)</f>
        <v/>
      </c>
    </row>
    <row r="34">
      <c r="A34" s="39" t="str">
        <f>IF(AND($L34*1&gt;=$G$3,$L34*1&lt;=$G$4,$I34*$J34&gt;0,OR($I34&lt;&gt;$I35,$L34-$L35&gt;25),$I34/POW(10,$J34)*MAXIFS(Token!$B:$B,Token!$A:$A,$K34)&gt;0.01),$L34/86400+DATE(1970,1,1)+$G$6,)</f>
        <v/>
      </c>
      <c r="B34" s="27" t="str">
        <f t="shared" si="1"/>
        <v/>
      </c>
      <c r="C34" s="14" t="str">
        <f>IF($A34&lt;&gt;"",MINIFS(Merchant!$A:$A,Merchant!$B:$B,$G$2),)</f>
        <v/>
      </c>
      <c r="D34" s="14" t="str">
        <f t="shared" si="2"/>
        <v/>
      </c>
      <c r="E34" s="14" t="str">
        <f t="shared" si="3"/>
        <v/>
      </c>
      <c r="F34" s="7" t="str">
        <f>IF($A34&lt;&gt;"",MAXIFS(Token!$B:$B,Token!$A:$A,$D34),)</f>
        <v/>
      </c>
    </row>
    <row r="35">
      <c r="A35" s="39" t="str">
        <f>IF(AND($L35*1&gt;=$G$3,$L35*1&lt;=$G$4,$I35*$J35&gt;0,OR($I35&lt;&gt;$I36,$L35-$L36&gt;25),$I35/POW(10,$J35)*MAXIFS(Token!$B:$B,Token!$A:$A,$K35)&gt;0.01),$L35/86400+DATE(1970,1,1)+$G$6,)</f>
        <v/>
      </c>
      <c r="B35" s="27" t="str">
        <f t="shared" si="1"/>
        <v/>
      </c>
      <c r="C35" s="14" t="str">
        <f>IF($A35&lt;&gt;"",MINIFS(Merchant!$A:$A,Merchant!$B:$B,$G$2),)</f>
        <v/>
      </c>
      <c r="D35" s="14" t="str">
        <f t="shared" si="2"/>
        <v/>
      </c>
      <c r="E35" s="14" t="str">
        <f t="shared" si="3"/>
        <v/>
      </c>
      <c r="F35" s="7" t="str">
        <f>IF($A35&lt;&gt;"",MAXIFS(Token!$B:$B,Token!$A:$A,$D35),)</f>
        <v/>
      </c>
    </row>
    <row r="36">
      <c r="A36" s="39" t="str">
        <f>IF(AND($L36*1&gt;=$G$3,$L36*1&lt;=$G$4,$I36*$J36&gt;0,OR($I36&lt;&gt;$I37,$L36-$L37&gt;25),$I36/POW(10,$J36)*MAXIFS(Token!$B:$B,Token!$A:$A,$K36)&gt;0.01),$L36/86400+DATE(1970,1,1)+$G$6,)</f>
        <v/>
      </c>
      <c r="B36" s="27" t="str">
        <f t="shared" si="1"/>
        <v/>
      </c>
      <c r="C36" s="14" t="str">
        <f>IF($A36&lt;&gt;"",MINIFS(Merchant!$A:$A,Merchant!$B:$B,$G$2),)</f>
        <v/>
      </c>
      <c r="D36" s="14" t="str">
        <f t="shared" si="2"/>
        <v/>
      </c>
      <c r="E36" s="14" t="str">
        <f t="shared" si="3"/>
        <v/>
      </c>
      <c r="F36" s="7" t="str">
        <f>IF($A36&lt;&gt;"",MAXIFS(Token!$B:$B,Token!$A:$A,$D36),)</f>
        <v/>
      </c>
    </row>
    <row r="37">
      <c r="A37" s="39" t="str">
        <f>IF(AND($L37*1&gt;=$G$3,$L37*1&lt;=$G$4,$I37*$J37&gt;0,OR($I37&lt;&gt;$I38,$L37-$L38&gt;25),$I37/POW(10,$J37)*MAXIFS(Token!$B:$B,Token!$A:$A,$K37)&gt;0.01),$L37/86400+DATE(1970,1,1)+$G$6,)</f>
        <v/>
      </c>
      <c r="B37" s="27" t="str">
        <f t="shared" si="1"/>
        <v/>
      </c>
      <c r="C37" s="14" t="str">
        <f>IF($A37&lt;&gt;"",MINIFS(Merchant!$A:$A,Merchant!$B:$B,$G$2),)</f>
        <v/>
      </c>
      <c r="D37" s="14" t="str">
        <f t="shared" si="2"/>
        <v/>
      </c>
      <c r="E37" s="14" t="str">
        <f t="shared" si="3"/>
        <v/>
      </c>
      <c r="F37" s="7" t="str">
        <f>IF($A37&lt;&gt;"",MAXIFS(Token!$B:$B,Token!$A:$A,$D37),)</f>
        <v/>
      </c>
    </row>
    <row r="38">
      <c r="A38" s="39" t="str">
        <f>IF(AND($L38*1&gt;=$G$3,$L38*1&lt;=$G$4,$I38*$J38&gt;0,OR($I38&lt;&gt;$I39,$L38-$L39&gt;25),$I38/POW(10,$J38)*MAXIFS(Token!$B:$B,Token!$A:$A,$K38)&gt;0.01),$L38/86400+DATE(1970,1,1)+$G$6,)</f>
        <v/>
      </c>
      <c r="B38" s="27" t="str">
        <f t="shared" si="1"/>
        <v/>
      </c>
      <c r="C38" s="14" t="str">
        <f>IF($A38&lt;&gt;"",MINIFS(Merchant!$A:$A,Merchant!$B:$B,$G$2),)</f>
        <v/>
      </c>
      <c r="D38" s="14" t="str">
        <f t="shared" si="2"/>
        <v/>
      </c>
      <c r="E38" s="14" t="str">
        <f t="shared" si="3"/>
        <v/>
      </c>
      <c r="F38" s="7" t="str">
        <f>IF($A38&lt;&gt;"",MAXIFS(Token!$B:$B,Token!$A:$A,$D38),)</f>
        <v/>
      </c>
    </row>
    <row r="39">
      <c r="A39" s="39" t="str">
        <f>IF(AND($L39*1&gt;=$G$3,$L39*1&lt;=$G$4,$I39*$J39&gt;0,OR($I39&lt;&gt;$I40,$L39-$L40&gt;25),$I39/POW(10,$J39)*MAXIFS(Token!$B:$B,Token!$A:$A,$K39)&gt;0.01),$L39/86400+DATE(1970,1,1)+$G$6,)</f>
        <v/>
      </c>
      <c r="B39" s="27" t="str">
        <f t="shared" si="1"/>
        <v/>
      </c>
      <c r="C39" s="14" t="str">
        <f>IF($A39&lt;&gt;"",MINIFS(Merchant!$A:$A,Merchant!$B:$B,$G$2),)</f>
        <v/>
      </c>
      <c r="D39" s="14" t="str">
        <f t="shared" si="2"/>
        <v/>
      </c>
      <c r="E39" s="14" t="str">
        <f t="shared" si="3"/>
        <v/>
      </c>
      <c r="F39" s="7" t="str">
        <f>IF($A39&lt;&gt;"",MAXIFS(Token!$B:$B,Token!$A:$A,$D39),)</f>
        <v/>
      </c>
    </row>
    <row r="40">
      <c r="A40" s="39" t="str">
        <f>IF(AND($L40*1&gt;=$G$3,$L40*1&lt;=$G$4,$I40*$J40&gt;0,OR($I40&lt;&gt;$I41,$L40-$L41&gt;25),$I40/POW(10,$J40)*MAXIFS(Token!$B:$B,Token!$A:$A,$K40)&gt;0.01),$L40/86400+DATE(1970,1,1)+$G$6,)</f>
        <v/>
      </c>
      <c r="B40" s="27" t="str">
        <f t="shared" si="1"/>
        <v/>
      </c>
      <c r="C40" s="14" t="str">
        <f>IF($A40&lt;&gt;"",MINIFS(Merchant!$A:$A,Merchant!$B:$B,$G$2),)</f>
        <v/>
      </c>
      <c r="D40" s="14" t="str">
        <f t="shared" si="2"/>
        <v/>
      </c>
      <c r="E40" s="14" t="str">
        <f t="shared" si="3"/>
        <v/>
      </c>
      <c r="F40" s="7" t="str">
        <f>IF($A40&lt;&gt;"",MAXIFS(Token!$B:$B,Token!$A:$A,$D40),)</f>
        <v/>
      </c>
    </row>
    <row r="41">
      <c r="A41" s="39" t="str">
        <f>IF(AND($L41*1&gt;=$G$3,$L41*1&lt;=$G$4,$I41*$J41&gt;0,OR($I41&lt;&gt;$I42,$L41-$L42&gt;25),$I41/POW(10,$J41)*MAXIFS(Token!$B:$B,Token!$A:$A,$K41)&gt;0.01),$L41/86400+DATE(1970,1,1)+$G$6,)</f>
        <v/>
      </c>
      <c r="B41" s="27" t="str">
        <f t="shared" si="1"/>
        <v/>
      </c>
      <c r="C41" s="14" t="str">
        <f>IF($A41&lt;&gt;"",MINIFS(Merchant!$A:$A,Merchant!$B:$B,$G$2),)</f>
        <v/>
      </c>
      <c r="D41" s="14" t="str">
        <f t="shared" si="2"/>
        <v/>
      </c>
      <c r="E41" s="14" t="str">
        <f t="shared" si="3"/>
        <v/>
      </c>
      <c r="F41" s="7" t="str">
        <f>IF($A41&lt;&gt;"",MAXIFS(Token!$B:$B,Token!$A:$A,$D41),)</f>
        <v/>
      </c>
    </row>
    <row r="42">
      <c r="A42" s="39" t="str">
        <f>IF(AND($L42*1&gt;=$G$3,$L42*1&lt;=$G$4,$I42*$J42&gt;0,OR($I42&lt;&gt;$I43,$L42-$L43&gt;25),$I42/POW(10,$J42)*MAXIFS(Token!$B:$B,Token!$A:$A,$K42)&gt;0.01),$L42/86400+DATE(1970,1,1)+$G$6,)</f>
        <v/>
      </c>
      <c r="B42" s="27" t="str">
        <f t="shared" si="1"/>
        <v/>
      </c>
      <c r="C42" s="14" t="str">
        <f>IF($A42&lt;&gt;"",MINIFS(Merchant!$A:$A,Merchant!$B:$B,$G$2),)</f>
        <v/>
      </c>
      <c r="D42" s="14" t="str">
        <f t="shared" si="2"/>
        <v/>
      </c>
      <c r="E42" s="14" t="str">
        <f t="shared" si="3"/>
        <v/>
      </c>
      <c r="F42" s="7" t="str">
        <f>IF($A42&lt;&gt;"",MAXIFS(Token!$B:$B,Token!$A:$A,$D42),)</f>
        <v/>
      </c>
    </row>
    <row r="43">
      <c r="A43" s="39" t="str">
        <f>IF(AND($L43*1&gt;=$G$3,$L43*1&lt;=$G$4,$I43*$J43&gt;0,OR($I43&lt;&gt;$I44,$L43-$L44&gt;25),$I43/POW(10,$J43)*MAXIFS(Token!$B:$B,Token!$A:$A,$K43)&gt;0.01),$L43/86400+DATE(1970,1,1)+$G$6,)</f>
        <v/>
      </c>
      <c r="B43" s="27" t="str">
        <f t="shared" si="1"/>
        <v/>
      </c>
      <c r="C43" s="14" t="str">
        <f>IF($A43&lt;&gt;"",MINIFS(Merchant!$A:$A,Merchant!$B:$B,$G$2),)</f>
        <v/>
      </c>
      <c r="D43" s="14" t="str">
        <f t="shared" si="2"/>
        <v/>
      </c>
      <c r="E43" s="14" t="str">
        <f t="shared" si="3"/>
        <v/>
      </c>
      <c r="F43" s="7" t="str">
        <f>IF($A43&lt;&gt;"",MAXIFS(Token!$B:$B,Token!$A:$A,$D43),)</f>
        <v/>
      </c>
    </row>
    <row r="44">
      <c r="A44" s="39" t="str">
        <f>IF(AND($L44*1&gt;=$G$3,$L44*1&lt;=$G$4,$I44*$J44&gt;0,OR($I44&lt;&gt;$I45,$L44-$L45&gt;25),$I44/POW(10,$J44)*MAXIFS(Token!$B:$B,Token!$A:$A,$K44)&gt;0.01),$L44/86400+DATE(1970,1,1)+$G$6,)</f>
        <v/>
      </c>
      <c r="B44" s="27" t="str">
        <f t="shared" si="1"/>
        <v/>
      </c>
      <c r="C44" s="14" t="str">
        <f>IF($A44&lt;&gt;"",MINIFS(Merchant!$A:$A,Merchant!$B:$B,$G$2),)</f>
        <v/>
      </c>
      <c r="D44" s="14" t="str">
        <f t="shared" si="2"/>
        <v/>
      </c>
      <c r="E44" s="14" t="str">
        <f t="shared" si="3"/>
        <v/>
      </c>
      <c r="F44" s="7" t="str">
        <f>IF($A44&lt;&gt;"",MAXIFS(Token!$B:$B,Token!$A:$A,$D44),)</f>
        <v/>
      </c>
    </row>
    <row r="45">
      <c r="A45" s="39" t="str">
        <f>IF(AND($L45*1&gt;=$G$3,$L45*1&lt;=$G$4,$I45*$J45&gt;0,OR($I45&lt;&gt;$I46,$L45-$L46&gt;25),$I45/POW(10,$J45)*MAXIFS(Token!$B:$B,Token!$A:$A,$K45)&gt;0.01),$L45/86400+DATE(1970,1,1)+$G$6,)</f>
        <v/>
      </c>
      <c r="B45" s="27" t="str">
        <f t="shared" si="1"/>
        <v/>
      </c>
      <c r="C45" s="14" t="str">
        <f>IF($A45&lt;&gt;"",MINIFS(Merchant!$A:$A,Merchant!$B:$B,$G$2),)</f>
        <v/>
      </c>
      <c r="D45" s="14" t="str">
        <f t="shared" si="2"/>
        <v/>
      </c>
      <c r="E45" s="14" t="str">
        <f t="shared" si="3"/>
        <v/>
      </c>
      <c r="F45" s="7" t="str">
        <f>IF($A45&lt;&gt;"",MAXIFS(Token!$B:$B,Token!$A:$A,$D45),)</f>
        <v/>
      </c>
    </row>
    <row r="46">
      <c r="A46" s="39" t="str">
        <f>IF(AND($L46*1&gt;=$G$3,$L46*1&lt;=$G$4,$I46*$J46&gt;0,OR($I46&lt;&gt;$I47,$L46-$L47&gt;25),$I46/POW(10,$J46)*MAXIFS(Token!$B:$B,Token!$A:$A,$K46)&gt;0.01),$L46/86400+DATE(1970,1,1)+$G$6,)</f>
        <v/>
      </c>
      <c r="B46" s="27" t="str">
        <f t="shared" si="1"/>
        <v/>
      </c>
      <c r="C46" s="14" t="str">
        <f>IF($A46&lt;&gt;"",MINIFS(Merchant!$A:$A,Merchant!$B:$B,$G$2),)</f>
        <v/>
      </c>
      <c r="D46" s="14" t="str">
        <f t="shared" si="2"/>
        <v/>
      </c>
      <c r="E46" s="14" t="str">
        <f t="shared" si="3"/>
        <v/>
      </c>
      <c r="F46" s="7" t="str">
        <f>IF($A46&lt;&gt;"",MAXIFS(Token!$B:$B,Token!$A:$A,$D46),)</f>
        <v/>
      </c>
    </row>
    <row r="47">
      <c r="A47" s="39" t="str">
        <f>IF(AND($L47*1&gt;=$G$3,$L47*1&lt;=$G$4,$I47*$J47&gt;0,OR($I47&lt;&gt;$I48,$L47-$L48&gt;25),$I47/POW(10,$J47)*MAXIFS(Token!$B:$B,Token!$A:$A,$K47)&gt;0.01),$L47/86400+DATE(1970,1,1)+$G$6,)</f>
        <v/>
      </c>
      <c r="B47" s="27" t="str">
        <f t="shared" si="1"/>
        <v/>
      </c>
      <c r="C47" s="14" t="str">
        <f>IF($A47&lt;&gt;"",MINIFS(Merchant!$A:$A,Merchant!$B:$B,$G$2),)</f>
        <v/>
      </c>
      <c r="D47" s="14" t="str">
        <f t="shared" si="2"/>
        <v/>
      </c>
      <c r="E47" s="14" t="str">
        <f t="shared" si="3"/>
        <v/>
      </c>
      <c r="F47" s="7" t="str">
        <f>IF($A47&lt;&gt;"",MAXIFS(Token!$B:$B,Token!$A:$A,$D47),)</f>
        <v/>
      </c>
    </row>
    <row r="48">
      <c r="A48" s="39" t="str">
        <f>IF(AND($L48*1&gt;=$G$3,$L48*1&lt;=$G$4,$I48*$J48&gt;0,OR($I48&lt;&gt;$I49,$L48-$L49&gt;25),$I48/POW(10,$J48)*MAXIFS(Token!$B:$B,Token!$A:$A,$K48)&gt;0.01),$L48/86400+DATE(1970,1,1)+$G$6,)</f>
        <v/>
      </c>
      <c r="B48" s="27" t="str">
        <f t="shared" si="1"/>
        <v/>
      </c>
      <c r="C48" s="14" t="str">
        <f>IF($A48&lt;&gt;"",MINIFS(Merchant!$A:$A,Merchant!$B:$B,$G$2),)</f>
        <v/>
      </c>
      <c r="D48" s="14" t="str">
        <f t="shared" si="2"/>
        <v/>
      </c>
      <c r="E48" s="14" t="str">
        <f t="shared" si="3"/>
        <v/>
      </c>
      <c r="F48" s="7" t="str">
        <f>IF($A48&lt;&gt;"",MAXIFS(Token!$B:$B,Token!$A:$A,$D48),)</f>
        <v/>
      </c>
    </row>
    <row r="49">
      <c r="A49" s="39" t="str">
        <f>IF(AND($L49*1&gt;=$G$3,$L49*1&lt;=$G$4,$I49*$J49&gt;0,OR($I49&lt;&gt;$I50,$L49-$L50&gt;25),$I49/POW(10,$J49)*MAXIFS(Token!$B:$B,Token!$A:$A,$K49)&gt;0.01),$L49/86400+DATE(1970,1,1)+$G$6,)</f>
        <v/>
      </c>
      <c r="B49" s="27" t="str">
        <f t="shared" si="1"/>
        <v/>
      </c>
      <c r="C49" s="14" t="str">
        <f>IF($A49&lt;&gt;"",MINIFS(Merchant!$A:$A,Merchant!$B:$B,$G$2),)</f>
        <v/>
      </c>
      <c r="D49" s="14" t="str">
        <f t="shared" si="2"/>
        <v/>
      </c>
      <c r="E49" s="14" t="str">
        <f t="shared" si="3"/>
        <v/>
      </c>
      <c r="F49" s="7" t="str">
        <f>IF($A49&lt;&gt;"",MAXIFS(Token!$B:$B,Token!$A:$A,$D49),)</f>
        <v/>
      </c>
    </row>
    <row r="50">
      <c r="A50" s="39" t="str">
        <f>IF(AND($L50*1&gt;=$G$3,$L50*1&lt;=$G$4,$I50*$J50&gt;0,OR($I50&lt;&gt;$I51,$L50-$L51&gt;25),$I50/POW(10,$J50)*MAXIFS(Token!$B:$B,Token!$A:$A,$K50)&gt;0.01),$L50/86400+DATE(1970,1,1)+$G$6,)</f>
        <v/>
      </c>
      <c r="B50" s="27" t="str">
        <f t="shared" si="1"/>
        <v/>
      </c>
      <c r="C50" s="14" t="str">
        <f>IF($A50&lt;&gt;"",MINIFS(Merchant!$A:$A,Merchant!$B:$B,$G$2),)</f>
        <v/>
      </c>
      <c r="D50" s="14" t="str">
        <f t="shared" si="2"/>
        <v/>
      </c>
      <c r="E50" s="14" t="str">
        <f t="shared" si="3"/>
        <v/>
      </c>
      <c r="F50" s="7" t="str">
        <f>IF($A50&lt;&gt;"",MAXIFS(Token!$B:$B,Token!$A:$A,$D50),)</f>
        <v/>
      </c>
    </row>
    <row r="51">
      <c r="A51" s="39" t="str">
        <f>IF(AND($L51*1&gt;=$G$3,$L51*1&lt;=$G$4,$I51*$J51&gt;0,OR($I51&lt;&gt;$I52,$L51-$L52&gt;25),$I51/POW(10,$J51)*MAXIFS(Token!$B:$B,Token!$A:$A,$K51)&gt;0.01),$L51/86400+DATE(1970,1,1)+$G$6,)</f>
        <v/>
      </c>
      <c r="B51" s="27" t="str">
        <f t="shared" si="1"/>
        <v/>
      </c>
      <c r="C51" s="14" t="str">
        <f>IF($A51&lt;&gt;"",MINIFS(Merchant!$A:$A,Merchant!$B:$B,$G$2),)</f>
        <v/>
      </c>
      <c r="D51" s="14" t="str">
        <f t="shared" si="2"/>
        <v/>
      </c>
      <c r="E51" s="14" t="str">
        <f t="shared" si="3"/>
        <v/>
      </c>
      <c r="F51" s="7" t="str">
        <f>IF($A51&lt;&gt;"",MAXIFS(Token!$B:$B,Token!$A:$A,$D51),)</f>
        <v/>
      </c>
    </row>
    <row r="52">
      <c r="A52" s="39" t="str">
        <f>IF(AND($L52*1&gt;=$G$3,$L52*1&lt;=$G$4,$I52*$J52&gt;0,OR($I52&lt;&gt;$I53,$L52-$L53&gt;25),$I52/POW(10,$J52)*MAXIFS(Token!$B:$B,Token!$A:$A,$K52)&gt;0.01),$L52/86400+DATE(1970,1,1)+$G$6,)</f>
        <v/>
      </c>
      <c r="B52" s="27" t="str">
        <f t="shared" si="1"/>
        <v/>
      </c>
      <c r="C52" s="14" t="str">
        <f>IF($A52&lt;&gt;"",MINIFS(Merchant!$A:$A,Merchant!$B:$B,$G$2),)</f>
        <v/>
      </c>
      <c r="D52" s="14" t="str">
        <f t="shared" si="2"/>
        <v/>
      </c>
      <c r="E52" s="14" t="str">
        <f t="shared" si="3"/>
        <v/>
      </c>
      <c r="F52" s="7" t="str">
        <f>IF($A52&lt;&gt;"",MAXIFS(Token!$B:$B,Token!$A:$A,$D52),)</f>
        <v/>
      </c>
      <c r="H52" s="6" t="str">
        <f>IFERROR(__xludf.DUMMYFUNCTION("IF(AND($G$11,INDEX(L:L,ROW()-1)*1&gt;$G$3),ImportJSON(""https://public-api.solscan.io/account/splTransfers?account=""&amp;$G$2&amp;IF($G$5,""&amp;fromTime=""&amp;TO_TEXT($G$3)&amp;""&amp;toTime=""&amp;TO_TEXT($G$4),)&amp;""&amp;offset=""&amp;ROW()-2&amp;""&amp;limit=50""&amp;$G$7,TEXTJOIN("","",1,$H$1:$L$1),"&amp;"""noHeaders""),)"),"")</f>
        <v/>
      </c>
    </row>
    <row r="53">
      <c r="A53" s="39" t="str">
        <f>IF(AND($L53*1&gt;=$G$3,$L53*1&lt;=$G$4,$I53*$J53&gt;0,OR($I53&lt;&gt;$I54,$L53-$L54&gt;25),$I53/POW(10,$J53)*MAXIFS(Token!$B:$B,Token!$A:$A,$K53)&gt;0.01),$L53/86400+DATE(1970,1,1)+$G$6,)</f>
        <v/>
      </c>
      <c r="B53" s="27" t="str">
        <f t="shared" si="1"/>
        <v/>
      </c>
      <c r="C53" s="14" t="str">
        <f>IF($A53&lt;&gt;"",MINIFS(Merchant!$A:$A,Merchant!$B:$B,$G$2),)</f>
        <v/>
      </c>
      <c r="D53" s="14" t="str">
        <f t="shared" si="2"/>
        <v/>
      </c>
      <c r="E53" s="14" t="str">
        <f t="shared" si="3"/>
        <v/>
      </c>
      <c r="F53" s="7" t="str">
        <f>IF($A53&lt;&gt;"",MAXIFS(Token!$B:$B,Token!$A:$A,$D53),)</f>
        <v/>
      </c>
    </row>
    <row r="54">
      <c r="A54" s="39" t="str">
        <f>IF(AND($L54*1&gt;=$G$3,$L54*1&lt;=$G$4,$I54*$J54&gt;0,OR($I54&lt;&gt;$I55,$L54-$L55&gt;25),$I54/POW(10,$J54)*MAXIFS(Token!$B:$B,Token!$A:$A,$K54)&gt;0.01),$L54/86400+DATE(1970,1,1)+$G$6,)</f>
        <v/>
      </c>
      <c r="B54" s="27" t="str">
        <f t="shared" si="1"/>
        <v/>
      </c>
      <c r="C54" s="14" t="str">
        <f>IF($A54&lt;&gt;"",MINIFS(Merchant!$A:$A,Merchant!$B:$B,$G$2),)</f>
        <v/>
      </c>
      <c r="D54" s="14" t="str">
        <f t="shared" si="2"/>
        <v/>
      </c>
      <c r="E54" s="14" t="str">
        <f t="shared" si="3"/>
        <v/>
      </c>
      <c r="F54" s="7" t="str">
        <f>IF($A54&lt;&gt;"",MAXIFS(Token!$B:$B,Token!$A:$A,$D54),)</f>
        <v/>
      </c>
    </row>
    <row r="55">
      <c r="A55" s="39" t="str">
        <f>IF(AND($L55*1&gt;=$G$3,$L55*1&lt;=$G$4,$I55*$J55&gt;0,OR($I55&lt;&gt;$I56,$L55-$L56&gt;25),$I55/POW(10,$J55)*MAXIFS(Token!$B:$B,Token!$A:$A,$K55)&gt;0.01),$L55/86400+DATE(1970,1,1)+$G$6,)</f>
        <v/>
      </c>
      <c r="B55" s="27" t="str">
        <f t="shared" si="1"/>
        <v/>
      </c>
      <c r="C55" s="14" t="str">
        <f>IF($A55&lt;&gt;"",MINIFS(Merchant!$A:$A,Merchant!$B:$B,$G$2),)</f>
        <v/>
      </c>
      <c r="D55" s="14" t="str">
        <f t="shared" si="2"/>
        <v/>
      </c>
      <c r="E55" s="14" t="str">
        <f t="shared" si="3"/>
        <v/>
      </c>
      <c r="F55" s="7" t="str">
        <f>IF($A55&lt;&gt;"",MAXIFS(Token!$B:$B,Token!$A:$A,$D55),)</f>
        <v/>
      </c>
    </row>
    <row r="56">
      <c r="A56" s="39" t="str">
        <f>IF(AND($L56*1&gt;=$G$3,$L56*1&lt;=$G$4,$I56*$J56&gt;0,OR($I56&lt;&gt;$I57,$L56-$L57&gt;25),$I56/POW(10,$J56)*MAXIFS(Token!$B:$B,Token!$A:$A,$K56)&gt;0.01),$L56/86400+DATE(1970,1,1)+$G$6,)</f>
        <v/>
      </c>
      <c r="B56" s="27" t="str">
        <f t="shared" si="1"/>
        <v/>
      </c>
      <c r="C56" s="14" t="str">
        <f>IF($A56&lt;&gt;"",MINIFS(Merchant!$A:$A,Merchant!$B:$B,$G$2),)</f>
        <v/>
      </c>
      <c r="D56" s="14" t="str">
        <f t="shared" si="2"/>
        <v/>
      </c>
      <c r="E56" s="14" t="str">
        <f t="shared" si="3"/>
        <v/>
      </c>
      <c r="F56" s="7" t="str">
        <f>IF($A56&lt;&gt;"",MAXIFS(Token!$B:$B,Token!$A:$A,$D56),)</f>
        <v/>
      </c>
    </row>
    <row r="57">
      <c r="A57" s="39" t="str">
        <f>IF(AND($L57*1&gt;=$G$3,$L57*1&lt;=$G$4,$I57*$J57&gt;0,OR($I57&lt;&gt;$I58,$L57-$L58&gt;25),$I57/POW(10,$J57)*MAXIFS(Token!$B:$B,Token!$A:$A,$K57)&gt;0.01),$L57/86400+DATE(1970,1,1)+$G$6,)</f>
        <v/>
      </c>
      <c r="B57" s="27" t="str">
        <f t="shared" si="1"/>
        <v/>
      </c>
      <c r="C57" s="14" t="str">
        <f>IF($A57&lt;&gt;"",MINIFS(Merchant!$A:$A,Merchant!$B:$B,$G$2),)</f>
        <v/>
      </c>
      <c r="D57" s="14" t="str">
        <f t="shared" si="2"/>
        <v/>
      </c>
      <c r="E57" s="14" t="str">
        <f t="shared" si="3"/>
        <v/>
      </c>
      <c r="F57" s="7" t="str">
        <f>IF($A57&lt;&gt;"",MAXIFS(Token!$B:$B,Token!$A:$A,$D57),)</f>
        <v/>
      </c>
    </row>
    <row r="58">
      <c r="A58" s="39" t="str">
        <f>IF(AND($L58*1&gt;=$G$3,$L58*1&lt;=$G$4,$I58*$J58&gt;0,OR($I58&lt;&gt;$I59,$L58-$L59&gt;25),$I58/POW(10,$J58)*MAXIFS(Token!$B:$B,Token!$A:$A,$K58)&gt;0.01),$L58/86400+DATE(1970,1,1)+$G$6,)</f>
        <v/>
      </c>
      <c r="B58" s="27" t="str">
        <f t="shared" si="1"/>
        <v/>
      </c>
      <c r="C58" s="14" t="str">
        <f>IF($A58&lt;&gt;"",MINIFS(Merchant!$A:$A,Merchant!$B:$B,$G$2),)</f>
        <v/>
      </c>
      <c r="D58" s="14" t="str">
        <f t="shared" si="2"/>
        <v/>
      </c>
      <c r="E58" s="14" t="str">
        <f t="shared" si="3"/>
        <v/>
      </c>
      <c r="F58" s="7" t="str">
        <f>IF($A58&lt;&gt;"",MAXIFS(Token!$B:$B,Token!$A:$A,$D58),)</f>
        <v/>
      </c>
    </row>
    <row r="59">
      <c r="A59" s="39" t="str">
        <f>IF(AND($L59*1&gt;=$G$3,$L59*1&lt;=$G$4,$I59*$J59&gt;0,OR($I59&lt;&gt;$I60,$L59-$L60&gt;25),$I59/POW(10,$J59)*MAXIFS(Token!$B:$B,Token!$A:$A,$K59)&gt;0.01),$L59/86400+DATE(1970,1,1)+$G$6,)</f>
        <v/>
      </c>
      <c r="B59" s="27" t="str">
        <f t="shared" si="1"/>
        <v/>
      </c>
      <c r="C59" s="14" t="str">
        <f>IF($A59&lt;&gt;"",MINIFS(Merchant!$A:$A,Merchant!$B:$B,$G$2),)</f>
        <v/>
      </c>
      <c r="D59" s="14" t="str">
        <f t="shared" si="2"/>
        <v/>
      </c>
      <c r="E59" s="14" t="str">
        <f t="shared" si="3"/>
        <v/>
      </c>
      <c r="F59" s="7" t="str">
        <f>IF($A59&lt;&gt;"",MAXIFS(Token!$B:$B,Token!$A:$A,$D59),)</f>
        <v/>
      </c>
    </row>
    <row r="60">
      <c r="A60" s="39" t="str">
        <f>IF(AND($L60*1&gt;=$G$3,$L60*1&lt;=$G$4,$I60*$J60&gt;0,OR($I60&lt;&gt;$I61,$L60-$L61&gt;25),$I60/POW(10,$J60)*MAXIFS(Token!$B:$B,Token!$A:$A,$K60)&gt;0.01),$L60/86400+DATE(1970,1,1)+$G$6,)</f>
        <v/>
      </c>
      <c r="B60" s="27" t="str">
        <f t="shared" si="1"/>
        <v/>
      </c>
      <c r="C60" s="14" t="str">
        <f>IF($A60&lt;&gt;"",MINIFS(Merchant!$A:$A,Merchant!$B:$B,$G$2),)</f>
        <v/>
      </c>
      <c r="D60" s="14" t="str">
        <f t="shared" si="2"/>
        <v/>
      </c>
      <c r="E60" s="14" t="str">
        <f t="shared" si="3"/>
        <v/>
      </c>
      <c r="F60" s="7" t="str">
        <f>IF($A60&lt;&gt;"",MAXIFS(Token!$B:$B,Token!$A:$A,$D60),)</f>
        <v/>
      </c>
    </row>
    <row r="61">
      <c r="A61" s="39" t="str">
        <f>IF(AND($L61*1&gt;=$G$3,$L61*1&lt;=$G$4,$I61*$J61&gt;0,OR($I61&lt;&gt;$I62,$L61-$L62&gt;25),$I61/POW(10,$J61)*MAXIFS(Token!$B:$B,Token!$A:$A,$K61)&gt;0.01),$L61/86400+DATE(1970,1,1)+$G$6,)</f>
        <v/>
      </c>
      <c r="B61" s="27" t="str">
        <f t="shared" si="1"/>
        <v/>
      </c>
      <c r="C61" s="14" t="str">
        <f>IF($A61&lt;&gt;"",MINIFS(Merchant!$A:$A,Merchant!$B:$B,$G$2),)</f>
        <v/>
      </c>
      <c r="D61" s="14" t="str">
        <f t="shared" si="2"/>
        <v/>
      </c>
      <c r="E61" s="14" t="str">
        <f t="shared" si="3"/>
        <v/>
      </c>
      <c r="F61" s="7" t="str">
        <f>IF($A61&lt;&gt;"",MAXIFS(Token!$B:$B,Token!$A:$A,$D61),)</f>
        <v/>
      </c>
    </row>
    <row r="62">
      <c r="A62" s="39" t="str">
        <f>IF(AND($L62*1&gt;=$G$3,$L62*1&lt;=$G$4,$I62*$J62&gt;0,OR($I62&lt;&gt;$I63,$L62-$L63&gt;25),$I62/POW(10,$J62)*MAXIFS(Token!$B:$B,Token!$A:$A,$K62)&gt;0.01),$L62/86400+DATE(1970,1,1)+$G$6,)</f>
        <v/>
      </c>
      <c r="B62" s="27" t="str">
        <f t="shared" si="1"/>
        <v/>
      </c>
      <c r="C62" s="14" t="str">
        <f>IF($A62&lt;&gt;"",MINIFS(Merchant!$A:$A,Merchant!$B:$B,$G$2),)</f>
        <v/>
      </c>
      <c r="D62" s="14" t="str">
        <f t="shared" si="2"/>
        <v/>
      </c>
      <c r="E62" s="14" t="str">
        <f t="shared" si="3"/>
        <v/>
      </c>
      <c r="F62" s="7" t="str">
        <f>IF($A62&lt;&gt;"",MAXIFS(Token!$B:$B,Token!$A:$A,$D62),)</f>
        <v/>
      </c>
    </row>
    <row r="63">
      <c r="A63" s="39" t="str">
        <f>IF(AND($L63*1&gt;=$G$3,$L63*1&lt;=$G$4,$I63*$J63&gt;0,OR($I63&lt;&gt;$I64,$L63-$L64&gt;25),$I63/POW(10,$J63)*MAXIFS(Token!$B:$B,Token!$A:$A,$K63)&gt;0.01),$L63/86400+DATE(1970,1,1)+$G$6,)</f>
        <v/>
      </c>
      <c r="B63" s="27" t="str">
        <f t="shared" si="1"/>
        <v/>
      </c>
      <c r="C63" s="14" t="str">
        <f>IF($A63&lt;&gt;"",MINIFS(Merchant!$A:$A,Merchant!$B:$B,$G$2),)</f>
        <v/>
      </c>
      <c r="D63" s="14" t="str">
        <f t="shared" si="2"/>
        <v/>
      </c>
      <c r="E63" s="14" t="str">
        <f t="shared" si="3"/>
        <v/>
      </c>
      <c r="F63" s="7" t="str">
        <f>IF($A63&lt;&gt;"",MAXIFS(Token!$B:$B,Token!$A:$A,$D63),)</f>
        <v/>
      </c>
    </row>
    <row r="64">
      <c r="A64" s="39" t="str">
        <f>IF(AND($L64*1&gt;=$G$3,$L64*1&lt;=$G$4,$I64*$J64&gt;0,OR($I64&lt;&gt;$I65,$L64-$L65&gt;25),$I64/POW(10,$J64)*MAXIFS(Token!$B:$B,Token!$A:$A,$K64)&gt;0.01),$L64/86400+DATE(1970,1,1)+$G$6,)</f>
        <v/>
      </c>
      <c r="B64" s="27" t="str">
        <f t="shared" si="1"/>
        <v/>
      </c>
      <c r="C64" s="14" t="str">
        <f>IF($A64&lt;&gt;"",MINIFS(Merchant!$A:$A,Merchant!$B:$B,$G$2),)</f>
        <v/>
      </c>
      <c r="D64" s="14" t="str">
        <f t="shared" si="2"/>
        <v/>
      </c>
      <c r="E64" s="14" t="str">
        <f t="shared" si="3"/>
        <v/>
      </c>
      <c r="F64" s="7" t="str">
        <f>IF($A64&lt;&gt;"",MAXIFS(Token!$B:$B,Token!$A:$A,$D64),)</f>
        <v/>
      </c>
    </row>
    <row r="65">
      <c r="A65" s="39" t="str">
        <f>IF(AND($L65*1&gt;=$G$3,$L65*1&lt;=$G$4,$I65*$J65&gt;0,OR($I65&lt;&gt;$I66,$L65-$L66&gt;25),$I65/POW(10,$J65)*MAXIFS(Token!$B:$B,Token!$A:$A,$K65)&gt;0.01),$L65/86400+DATE(1970,1,1)+$G$6,)</f>
        <v/>
      </c>
      <c r="B65" s="27" t="str">
        <f t="shared" si="1"/>
        <v/>
      </c>
      <c r="C65" s="14" t="str">
        <f>IF($A65&lt;&gt;"",MINIFS(Merchant!$A:$A,Merchant!$B:$B,$G$2),)</f>
        <v/>
      </c>
      <c r="D65" s="14" t="str">
        <f t="shared" si="2"/>
        <v/>
      </c>
      <c r="E65" s="14" t="str">
        <f t="shared" si="3"/>
        <v/>
      </c>
      <c r="F65" s="7" t="str">
        <f>IF($A65&lt;&gt;"",MAXIFS(Token!$B:$B,Token!$A:$A,$D65),)</f>
        <v/>
      </c>
    </row>
    <row r="66">
      <c r="A66" s="39" t="str">
        <f>IF(AND($L66*1&gt;=$G$3,$L66*1&lt;=$G$4,$I66*$J66&gt;0,OR($I66&lt;&gt;$I67,$L66-$L67&gt;25),$I66/POW(10,$J66)*MAXIFS(Token!$B:$B,Token!$A:$A,$K66)&gt;0.01),$L66/86400+DATE(1970,1,1)+$G$6,)</f>
        <v/>
      </c>
      <c r="B66" s="27" t="str">
        <f t="shared" si="1"/>
        <v/>
      </c>
      <c r="C66" s="14" t="str">
        <f>IF($A66&lt;&gt;"",MINIFS(Merchant!$A:$A,Merchant!$B:$B,$G$2),)</f>
        <v/>
      </c>
      <c r="D66" s="14" t="str">
        <f t="shared" si="2"/>
        <v/>
      </c>
      <c r="E66" s="14" t="str">
        <f t="shared" si="3"/>
        <v/>
      </c>
      <c r="F66" s="7" t="str">
        <f>IF($A66&lt;&gt;"",MAXIFS(Token!$B:$B,Token!$A:$A,$D66),)</f>
        <v/>
      </c>
    </row>
    <row r="67">
      <c r="A67" s="39" t="str">
        <f>IF(AND($L67*1&gt;=$G$3,$L67*1&lt;=$G$4,$I67*$J67&gt;0,OR($I67&lt;&gt;$I68,$L67-$L68&gt;25),$I67/POW(10,$J67)*MAXIFS(Token!$B:$B,Token!$A:$A,$K67)&gt;0.01),$L67/86400+DATE(1970,1,1)+$G$6,)</f>
        <v/>
      </c>
      <c r="B67" s="27" t="str">
        <f t="shared" si="1"/>
        <v/>
      </c>
      <c r="C67" s="14" t="str">
        <f>IF($A67&lt;&gt;"",MINIFS(Merchant!$A:$A,Merchant!$B:$B,$G$2),)</f>
        <v/>
      </c>
      <c r="D67" s="14" t="str">
        <f t="shared" si="2"/>
        <v/>
      </c>
      <c r="E67" s="14" t="str">
        <f t="shared" si="3"/>
        <v/>
      </c>
      <c r="F67" s="7" t="str">
        <f>IF($A67&lt;&gt;"",MAXIFS(Token!$B:$B,Token!$A:$A,$D67),)</f>
        <v/>
      </c>
    </row>
    <row r="68">
      <c r="A68" s="39" t="str">
        <f>IF(AND($L68*1&gt;=$G$3,$L68*1&lt;=$G$4,$I68*$J68&gt;0,OR($I68&lt;&gt;$I69,$L68-$L69&gt;25),$I68/POW(10,$J68)*MAXIFS(Token!$B:$B,Token!$A:$A,$K68)&gt;0.01),$L68/86400+DATE(1970,1,1)+$G$6,)</f>
        <v/>
      </c>
      <c r="B68" s="27" t="str">
        <f t="shared" si="1"/>
        <v/>
      </c>
      <c r="C68" s="14" t="str">
        <f>IF($A68&lt;&gt;"",MINIFS(Merchant!$A:$A,Merchant!$B:$B,$G$2),)</f>
        <v/>
      </c>
      <c r="D68" s="14" t="str">
        <f t="shared" si="2"/>
        <v/>
      </c>
      <c r="E68" s="14" t="str">
        <f t="shared" si="3"/>
        <v/>
      </c>
      <c r="F68" s="7" t="str">
        <f>IF($A68&lt;&gt;"",MAXIFS(Token!$B:$B,Token!$A:$A,$D68),)</f>
        <v/>
      </c>
    </row>
    <row r="69">
      <c r="A69" s="39" t="str">
        <f>IF(AND($L69*1&gt;=$G$3,$L69*1&lt;=$G$4,$I69*$J69&gt;0,OR($I69&lt;&gt;$I70,$L69-$L70&gt;25),$I69/POW(10,$J69)*MAXIFS(Token!$B:$B,Token!$A:$A,$K69)&gt;0.01),$L69/86400+DATE(1970,1,1)+$G$6,)</f>
        <v/>
      </c>
      <c r="B69" s="27" t="str">
        <f t="shared" si="1"/>
        <v/>
      </c>
      <c r="C69" s="14" t="str">
        <f>IF($A69&lt;&gt;"",MINIFS(Merchant!$A:$A,Merchant!$B:$B,$G$2),)</f>
        <v/>
      </c>
      <c r="D69" s="14" t="str">
        <f t="shared" si="2"/>
        <v/>
      </c>
      <c r="E69" s="14" t="str">
        <f t="shared" si="3"/>
        <v/>
      </c>
      <c r="F69" s="7" t="str">
        <f>IF($A69&lt;&gt;"",MAXIFS(Token!$B:$B,Token!$A:$A,$D69),)</f>
        <v/>
      </c>
    </row>
    <row r="70">
      <c r="A70" s="39" t="str">
        <f>IF(AND($L70*1&gt;=$G$3,$L70*1&lt;=$G$4,$I70*$J70&gt;0,OR($I70&lt;&gt;$I71,$L70-$L71&gt;25),$I70/POW(10,$J70)*MAXIFS(Token!$B:$B,Token!$A:$A,$K70)&gt;0.01),$L70/86400+DATE(1970,1,1)+$G$6,)</f>
        <v/>
      </c>
      <c r="B70" s="27" t="str">
        <f t="shared" si="1"/>
        <v/>
      </c>
      <c r="C70" s="14" t="str">
        <f>IF($A70&lt;&gt;"",MINIFS(Merchant!$A:$A,Merchant!$B:$B,$G$2),)</f>
        <v/>
      </c>
      <c r="D70" s="14" t="str">
        <f t="shared" si="2"/>
        <v/>
      </c>
      <c r="E70" s="14" t="str">
        <f t="shared" si="3"/>
        <v/>
      </c>
      <c r="F70" s="7" t="str">
        <f>IF($A70&lt;&gt;"",MAXIFS(Token!$B:$B,Token!$A:$A,$D70),)</f>
        <v/>
      </c>
    </row>
    <row r="71">
      <c r="A71" s="39" t="str">
        <f>IF(AND($L71*1&gt;=$G$3,$L71*1&lt;=$G$4,$I71*$J71&gt;0,OR($I71&lt;&gt;$I72,$L71-$L72&gt;25),$I71/POW(10,$J71)*MAXIFS(Token!$B:$B,Token!$A:$A,$K71)&gt;0.01),$L71/86400+DATE(1970,1,1)+$G$6,)</f>
        <v/>
      </c>
      <c r="B71" s="27" t="str">
        <f t="shared" si="1"/>
        <v/>
      </c>
      <c r="C71" s="14" t="str">
        <f>IF($A71&lt;&gt;"",MINIFS(Merchant!$A:$A,Merchant!$B:$B,$G$2),)</f>
        <v/>
      </c>
      <c r="D71" s="14" t="str">
        <f t="shared" si="2"/>
        <v/>
      </c>
      <c r="E71" s="14" t="str">
        <f t="shared" si="3"/>
        <v/>
      </c>
      <c r="F71" s="7" t="str">
        <f>IF($A71&lt;&gt;"",MAXIFS(Token!$B:$B,Token!$A:$A,$D71),)</f>
        <v/>
      </c>
    </row>
    <row r="72">
      <c r="A72" s="39" t="str">
        <f>IF(AND($L72*1&gt;=$G$3,$L72*1&lt;=$G$4,$I72*$J72&gt;0,OR($I72&lt;&gt;$I73,$L72-$L73&gt;25),$I72/POW(10,$J72)*MAXIFS(Token!$B:$B,Token!$A:$A,$K72)&gt;0.01),$L72/86400+DATE(1970,1,1)+$G$6,)</f>
        <v/>
      </c>
      <c r="B72" s="27" t="str">
        <f t="shared" si="1"/>
        <v/>
      </c>
      <c r="C72" s="14" t="str">
        <f>IF($A72&lt;&gt;"",MINIFS(Merchant!$A:$A,Merchant!$B:$B,$G$2),)</f>
        <v/>
      </c>
      <c r="D72" s="14" t="str">
        <f t="shared" si="2"/>
        <v/>
      </c>
      <c r="E72" s="14" t="str">
        <f t="shared" si="3"/>
        <v/>
      </c>
      <c r="F72" s="7" t="str">
        <f>IF($A72&lt;&gt;"",MAXIFS(Token!$B:$B,Token!$A:$A,$D72),)</f>
        <v/>
      </c>
    </row>
    <row r="73">
      <c r="A73" s="39" t="str">
        <f>IF(AND($L73*1&gt;=$G$3,$L73*1&lt;=$G$4,$I73*$J73&gt;0,OR($I73&lt;&gt;$I74,$L73-$L74&gt;25),$I73/POW(10,$J73)*MAXIFS(Token!$B:$B,Token!$A:$A,$K73)&gt;0.01),$L73/86400+DATE(1970,1,1)+$G$6,)</f>
        <v/>
      </c>
      <c r="B73" s="27" t="str">
        <f t="shared" si="1"/>
        <v/>
      </c>
      <c r="C73" s="14" t="str">
        <f>IF($A73&lt;&gt;"",MINIFS(Merchant!$A:$A,Merchant!$B:$B,$G$2),)</f>
        <v/>
      </c>
      <c r="D73" s="14" t="str">
        <f t="shared" si="2"/>
        <v/>
      </c>
      <c r="E73" s="14" t="str">
        <f t="shared" si="3"/>
        <v/>
      </c>
      <c r="F73" s="7" t="str">
        <f>IF($A73&lt;&gt;"",MAXIFS(Token!$B:$B,Token!$A:$A,$D73),)</f>
        <v/>
      </c>
    </row>
    <row r="74">
      <c r="A74" s="39" t="str">
        <f>IF(AND($L74*1&gt;=$G$3,$L74*1&lt;=$G$4,$I74*$J74&gt;0,OR($I74&lt;&gt;$I75,$L74-$L75&gt;25),$I74/POW(10,$J74)*MAXIFS(Token!$B:$B,Token!$A:$A,$K74)&gt;0.01),$L74/86400+DATE(1970,1,1)+$G$6,)</f>
        <v/>
      </c>
      <c r="B74" s="27" t="str">
        <f t="shared" si="1"/>
        <v/>
      </c>
      <c r="C74" s="14" t="str">
        <f>IF($A74&lt;&gt;"",MINIFS(Merchant!$A:$A,Merchant!$B:$B,$G$2),)</f>
        <v/>
      </c>
      <c r="D74" s="14" t="str">
        <f t="shared" si="2"/>
        <v/>
      </c>
      <c r="E74" s="14" t="str">
        <f t="shared" si="3"/>
        <v/>
      </c>
      <c r="F74" s="7" t="str">
        <f>IF($A74&lt;&gt;"",MAXIFS(Token!$B:$B,Token!$A:$A,$D74),)</f>
        <v/>
      </c>
    </row>
    <row r="75">
      <c r="A75" s="39" t="str">
        <f>IF(AND($L75*1&gt;=$G$3,$L75*1&lt;=$G$4,$I75*$J75&gt;0,OR($I75&lt;&gt;$I76,$L75-$L76&gt;25),$I75/POW(10,$J75)*MAXIFS(Token!$B:$B,Token!$A:$A,$K75)&gt;0.01),$L75/86400+DATE(1970,1,1)+$G$6,)</f>
        <v/>
      </c>
      <c r="B75" s="27" t="str">
        <f t="shared" si="1"/>
        <v/>
      </c>
      <c r="C75" s="14" t="str">
        <f>IF($A75&lt;&gt;"",MINIFS(Merchant!$A:$A,Merchant!$B:$B,$G$2),)</f>
        <v/>
      </c>
      <c r="D75" s="14" t="str">
        <f t="shared" si="2"/>
        <v/>
      </c>
      <c r="E75" s="14" t="str">
        <f t="shared" si="3"/>
        <v/>
      </c>
      <c r="F75" s="7" t="str">
        <f>IF($A75&lt;&gt;"",MAXIFS(Token!$B:$B,Token!$A:$A,$D75),)</f>
        <v/>
      </c>
    </row>
    <row r="76">
      <c r="A76" s="39" t="str">
        <f>IF(AND($L76*1&gt;=$G$3,$L76*1&lt;=$G$4,$I76*$J76&gt;0,OR($I76&lt;&gt;$I77,$L76-$L77&gt;25),$I76/POW(10,$J76)*MAXIFS(Token!$B:$B,Token!$A:$A,$K76)&gt;0.01),$L76/86400+DATE(1970,1,1)+$G$6,)</f>
        <v/>
      </c>
      <c r="B76" s="27" t="str">
        <f t="shared" si="1"/>
        <v/>
      </c>
      <c r="C76" s="14" t="str">
        <f>IF($A76&lt;&gt;"",MINIFS(Merchant!$A:$A,Merchant!$B:$B,$G$2),)</f>
        <v/>
      </c>
      <c r="D76" s="14" t="str">
        <f t="shared" si="2"/>
        <v/>
      </c>
      <c r="E76" s="14" t="str">
        <f t="shared" si="3"/>
        <v/>
      </c>
      <c r="F76" s="7" t="str">
        <f>IF($A76&lt;&gt;"",MAXIFS(Token!$B:$B,Token!$A:$A,$D76),)</f>
        <v/>
      </c>
    </row>
    <row r="77">
      <c r="A77" s="39" t="str">
        <f>IF(AND($L77*1&gt;=$G$3,$L77*1&lt;=$G$4,$I77*$J77&gt;0,OR($I77&lt;&gt;$I78,$L77-$L78&gt;25),$I77/POW(10,$J77)*MAXIFS(Token!$B:$B,Token!$A:$A,$K77)&gt;0.01),$L77/86400+DATE(1970,1,1)+$G$6,)</f>
        <v/>
      </c>
      <c r="B77" s="27" t="str">
        <f t="shared" si="1"/>
        <v/>
      </c>
      <c r="C77" s="14" t="str">
        <f>IF($A77&lt;&gt;"",MINIFS(Merchant!$A:$A,Merchant!$B:$B,$G$2),)</f>
        <v/>
      </c>
      <c r="D77" s="14" t="str">
        <f t="shared" si="2"/>
        <v/>
      </c>
      <c r="E77" s="14" t="str">
        <f t="shared" si="3"/>
        <v/>
      </c>
      <c r="F77" s="7" t="str">
        <f>IF($A77&lt;&gt;"",MAXIFS(Token!$B:$B,Token!$A:$A,$D77),)</f>
        <v/>
      </c>
    </row>
    <row r="78">
      <c r="A78" s="39" t="str">
        <f>IF(AND($L78*1&gt;=$G$3,$L78*1&lt;=$G$4,$I78*$J78&gt;0,OR($I78&lt;&gt;$I79,$L78-$L79&gt;25),$I78/POW(10,$J78)*MAXIFS(Token!$B:$B,Token!$A:$A,$K78)&gt;0.01),$L78/86400+DATE(1970,1,1)+$G$6,)</f>
        <v/>
      </c>
      <c r="B78" s="27" t="str">
        <f t="shared" si="1"/>
        <v/>
      </c>
      <c r="C78" s="14" t="str">
        <f>IF($A78&lt;&gt;"",MINIFS(Merchant!$A:$A,Merchant!$B:$B,$G$2),)</f>
        <v/>
      </c>
      <c r="D78" s="14" t="str">
        <f t="shared" si="2"/>
        <v/>
      </c>
      <c r="E78" s="14" t="str">
        <f t="shared" si="3"/>
        <v/>
      </c>
      <c r="F78" s="7" t="str">
        <f>IF($A78&lt;&gt;"",MAXIFS(Token!$B:$B,Token!$A:$A,$D78),)</f>
        <v/>
      </c>
    </row>
    <row r="79">
      <c r="A79" s="39" t="str">
        <f>IF(AND($L79*1&gt;=$G$3,$L79*1&lt;=$G$4,$I79*$J79&gt;0,OR($I79&lt;&gt;$I80,$L79-$L80&gt;25),$I79/POW(10,$J79)*MAXIFS(Token!$B:$B,Token!$A:$A,$K79)&gt;0.01),$L79/86400+DATE(1970,1,1)+$G$6,)</f>
        <v/>
      </c>
      <c r="B79" s="27" t="str">
        <f t="shared" si="1"/>
        <v/>
      </c>
      <c r="C79" s="14" t="str">
        <f>IF($A79&lt;&gt;"",MINIFS(Merchant!$A:$A,Merchant!$B:$B,$G$2),)</f>
        <v/>
      </c>
      <c r="D79" s="14" t="str">
        <f t="shared" si="2"/>
        <v/>
      </c>
      <c r="E79" s="14" t="str">
        <f t="shared" si="3"/>
        <v/>
      </c>
      <c r="F79" s="7" t="str">
        <f>IF($A79&lt;&gt;"",MAXIFS(Token!$B:$B,Token!$A:$A,$D79),)</f>
        <v/>
      </c>
    </row>
    <row r="80">
      <c r="A80" s="39" t="str">
        <f>IF(AND($L80*1&gt;=$G$3,$L80*1&lt;=$G$4,$I80*$J80&gt;0,OR($I80&lt;&gt;$I81,$L80-$L81&gt;25),$I80/POW(10,$J80)*MAXIFS(Token!$B:$B,Token!$A:$A,$K80)&gt;0.01),$L80/86400+DATE(1970,1,1)+$G$6,)</f>
        <v/>
      </c>
      <c r="B80" s="27" t="str">
        <f t="shared" si="1"/>
        <v/>
      </c>
      <c r="C80" s="14" t="str">
        <f>IF($A80&lt;&gt;"",MINIFS(Merchant!$A:$A,Merchant!$B:$B,$G$2),)</f>
        <v/>
      </c>
      <c r="D80" s="14" t="str">
        <f t="shared" si="2"/>
        <v/>
      </c>
      <c r="E80" s="14" t="str">
        <f t="shared" si="3"/>
        <v/>
      </c>
      <c r="F80" s="7" t="str">
        <f>IF($A80&lt;&gt;"",MAXIFS(Token!$B:$B,Token!$A:$A,$D80),)</f>
        <v/>
      </c>
    </row>
    <row r="81">
      <c r="A81" s="39" t="str">
        <f>IF(AND($L81*1&gt;=$G$3,$L81*1&lt;=$G$4,$I81*$J81&gt;0,OR($I81&lt;&gt;$I82,$L81-$L82&gt;25),$I81/POW(10,$J81)*MAXIFS(Token!$B:$B,Token!$A:$A,$K81)&gt;0.01),$L81/86400+DATE(1970,1,1)+$G$6,)</f>
        <v/>
      </c>
      <c r="B81" s="27" t="str">
        <f t="shared" si="1"/>
        <v/>
      </c>
      <c r="C81" s="14" t="str">
        <f>IF($A81&lt;&gt;"",MINIFS(Merchant!$A:$A,Merchant!$B:$B,$G$2),)</f>
        <v/>
      </c>
      <c r="D81" s="14" t="str">
        <f t="shared" si="2"/>
        <v/>
      </c>
      <c r="E81" s="14" t="str">
        <f t="shared" si="3"/>
        <v/>
      </c>
      <c r="F81" s="7" t="str">
        <f>IF($A81&lt;&gt;"",MAXIFS(Token!$B:$B,Token!$A:$A,$D81),)</f>
        <v/>
      </c>
    </row>
    <row r="82">
      <c r="A82" s="39" t="str">
        <f>IF(AND($L82*1&gt;=$G$3,$L82*1&lt;=$G$4,$I82*$J82&gt;0,OR($I82&lt;&gt;$I83,$L82-$L83&gt;25),$I82/POW(10,$J82)*MAXIFS(Token!$B:$B,Token!$A:$A,$K82)&gt;0.01),$L82/86400+DATE(1970,1,1)+$G$6,)</f>
        <v/>
      </c>
      <c r="B82" s="27" t="str">
        <f t="shared" si="1"/>
        <v/>
      </c>
      <c r="C82" s="14" t="str">
        <f>IF($A82&lt;&gt;"",MINIFS(Merchant!$A:$A,Merchant!$B:$B,$G$2),)</f>
        <v/>
      </c>
      <c r="D82" s="14" t="str">
        <f t="shared" si="2"/>
        <v/>
      </c>
      <c r="E82" s="14" t="str">
        <f t="shared" si="3"/>
        <v/>
      </c>
      <c r="F82" s="7" t="str">
        <f>IF($A82&lt;&gt;"",MAXIFS(Token!$B:$B,Token!$A:$A,$D82),)</f>
        <v/>
      </c>
    </row>
    <row r="83">
      <c r="A83" s="39" t="str">
        <f>IF(AND($L83*1&gt;=$G$3,$L83*1&lt;=$G$4,$I83*$J83&gt;0,OR($I83&lt;&gt;$I84,$L83-$L84&gt;25),$I83/POW(10,$J83)*MAXIFS(Token!$B:$B,Token!$A:$A,$K83)&gt;0.01),$L83/86400+DATE(1970,1,1)+$G$6,)</f>
        <v/>
      </c>
      <c r="B83" s="27" t="str">
        <f t="shared" si="1"/>
        <v/>
      </c>
      <c r="C83" s="14" t="str">
        <f>IF($A83&lt;&gt;"",MINIFS(Merchant!$A:$A,Merchant!$B:$B,$G$2),)</f>
        <v/>
      </c>
      <c r="D83" s="14" t="str">
        <f t="shared" si="2"/>
        <v/>
      </c>
      <c r="E83" s="14" t="str">
        <f t="shared" si="3"/>
        <v/>
      </c>
      <c r="F83" s="7" t="str">
        <f>IF($A83&lt;&gt;"",MAXIFS(Token!$B:$B,Token!$A:$A,$D83),)</f>
        <v/>
      </c>
    </row>
    <row r="84">
      <c r="A84" s="39" t="str">
        <f>IF(AND($L84*1&gt;=$G$3,$L84*1&lt;=$G$4,$I84*$J84&gt;0,OR($I84&lt;&gt;$I85,$L84-$L85&gt;25),$I84/POW(10,$J84)*MAXIFS(Token!$B:$B,Token!$A:$A,$K84)&gt;0.01),$L84/86400+DATE(1970,1,1)+$G$6,)</f>
        <v/>
      </c>
      <c r="B84" s="27" t="str">
        <f t="shared" si="1"/>
        <v/>
      </c>
      <c r="C84" s="14" t="str">
        <f>IF($A84&lt;&gt;"",MINIFS(Merchant!$A:$A,Merchant!$B:$B,$G$2),)</f>
        <v/>
      </c>
      <c r="D84" s="14" t="str">
        <f t="shared" si="2"/>
        <v/>
      </c>
      <c r="E84" s="14" t="str">
        <f t="shared" si="3"/>
        <v/>
      </c>
      <c r="F84" s="7" t="str">
        <f>IF($A84&lt;&gt;"",MAXIFS(Token!$B:$B,Token!$A:$A,$D84),)</f>
        <v/>
      </c>
    </row>
    <row r="85">
      <c r="A85" s="39" t="str">
        <f>IF(AND($L85*1&gt;=$G$3,$L85*1&lt;=$G$4,$I85*$J85&gt;0,OR($I85&lt;&gt;$I86,$L85-$L86&gt;25),$I85/POW(10,$J85)*MAXIFS(Token!$B:$B,Token!$A:$A,$K85)&gt;0.01),$L85/86400+DATE(1970,1,1)+$G$6,)</f>
        <v/>
      </c>
      <c r="B85" s="27" t="str">
        <f t="shared" si="1"/>
        <v/>
      </c>
      <c r="C85" s="14" t="str">
        <f>IF($A85&lt;&gt;"",MINIFS(Merchant!$A:$A,Merchant!$B:$B,$G$2),)</f>
        <v/>
      </c>
      <c r="D85" s="14" t="str">
        <f t="shared" si="2"/>
        <v/>
      </c>
      <c r="E85" s="14" t="str">
        <f t="shared" si="3"/>
        <v/>
      </c>
      <c r="F85" s="7" t="str">
        <f>IF($A85&lt;&gt;"",MAXIFS(Token!$B:$B,Token!$A:$A,$D85),)</f>
        <v/>
      </c>
    </row>
    <row r="86">
      <c r="A86" s="39" t="str">
        <f>IF(AND($L86*1&gt;=$G$3,$L86*1&lt;=$G$4,$I86*$J86&gt;0,OR($I86&lt;&gt;$I87,$L86-$L87&gt;25),$I86/POW(10,$J86)*MAXIFS(Token!$B:$B,Token!$A:$A,$K86)&gt;0.01),$L86/86400+DATE(1970,1,1)+$G$6,)</f>
        <v/>
      </c>
      <c r="B86" s="27" t="str">
        <f t="shared" si="1"/>
        <v/>
      </c>
      <c r="C86" s="14" t="str">
        <f>IF($A86&lt;&gt;"",MINIFS(Merchant!$A:$A,Merchant!$B:$B,$G$2),)</f>
        <v/>
      </c>
      <c r="D86" s="14" t="str">
        <f t="shared" si="2"/>
        <v/>
      </c>
      <c r="E86" s="14" t="str">
        <f t="shared" si="3"/>
        <v/>
      </c>
      <c r="F86" s="7" t="str">
        <f>IF($A86&lt;&gt;"",MAXIFS(Token!$B:$B,Token!$A:$A,$D86),)</f>
        <v/>
      </c>
    </row>
    <row r="87">
      <c r="A87" s="39" t="str">
        <f>IF(AND($L87*1&gt;=$G$3,$L87*1&lt;=$G$4,$I87*$J87&gt;0,OR($I87&lt;&gt;$I88,$L87-$L88&gt;25),$I87/POW(10,$J87)*MAXIFS(Token!$B:$B,Token!$A:$A,$K87)&gt;0.01),$L87/86400+DATE(1970,1,1)+$G$6,)</f>
        <v/>
      </c>
      <c r="B87" s="27" t="str">
        <f t="shared" si="1"/>
        <v/>
      </c>
      <c r="C87" s="14" t="str">
        <f>IF($A87&lt;&gt;"",MINIFS(Merchant!$A:$A,Merchant!$B:$B,$G$2),)</f>
        <v/>
      </c>
      <c r="D87" s="14" t="str">
        <f t="shared" si="2"/>
        <v/>
      </c>
      <c r="E87" s="14" t="str">
        <f t="shared" si="3"/>
        <v/>
      </c>
      <c r="F87" s="7" t="str">
        <f>IF($A87&lt;&gt;"",MAXIFS(Token!$B:$B,Token!$A:$A,$D87),)</f>
        <v/>
      </c>
    </row>
    <row r="88">
      <c r="A88" s="39" t="str">
        <f>IF(AND($L88*1&gt;=$G$3,$L88*1&lt;=$G$4,$I88*$J88&gt;0,OR($I88&lt;&gt;$I89,$L88-$L89&gt;25),$I88/POW(10,$J88)*MAXIFS(Token!$B:$B,Token!$A:$A,$K88)&gt;0.01),$L88/86400+DATE(1970,1,1)+$G$6,)</f>
        <v/>
      </c>
      <c r="B88" s="27" t="str">
        <f t="shared" si="1"/>
        <v/>
      </c>
      <c r="C88" s="14" t="str">
        <f>IF($A88&lt;&gt;"",MINIFS(Merchant!$A:$A,Merchant!$B:$B,$G$2),)</f>
        <v/>
      </c>
      <c r="D88" s="14" t="str">
        <f t="shared" si="2"/>
        <v/>
      </c>
      <c r="E88" s="14" t="str">
        <f t="shared" si="3"/>
        <v/>
      </c>
      <c r="F88" s="7" t="str">
        <f>IF($A88&lt;&gt;"",MAXIFS(Token!$B:$B,Token!$A:$A,$D88),)</f>
        <v/>
      </c>
    </row>
    <row r="89">
      <c r="A89" s="39" t="str">
        <f>IF(AND($L89*1&gt;=$G$3,$L89*1&lt;=$G$4,$I89*$J89&gt;0,OR($I89&lt;&gt;$I90,$L89-$L90&gt;25),$I89/POW(10,$J89)*MAXIFS(Token!$B:$B,Token!$A:$A,$K89)&gt;0.01),$L89/86400+DATE(1970,1,1)+$G$6,)</f>
        <v/>
      </c>
      <c r="B89" s="27" t="str">
        <f t="shared" si="1"/>
        <v/>
      </c>
      <c r="C89" s="14" t="str">
        <f>IF($A89&lt;&gt;"",MINIFS(Merchant!$A:$A,Merchant!$B:$B,$G$2),)</f>
        <v/>
      </c>
      <c r="D89" s="14" t="str">
        <f t="shared" si="2"/>
        <v/>
      </c>
      <c r="E89" s="14" t="str">
        <f t="shared" si="3"/>
        <v/>
      </c>
      <c r="F89" s="7" t="str">
        <f>IF($A89&lt;&gt;"",MAXIFS(Token!$B:$B,Token!$A:$A,$D89),)</f>
        <v/>
      </c>
    </row>
    <row r="90">
      <c r="A90" s="39" t="str">
        <f>IF(AND($L90*1&gt;=$G$3,$L90*1&lt;=$G$4,$I90*$J90&gt;0,OR($I90&lt;&gt;$I91,$L90-$L91&gt;25),$I90/POW(10,$J90)*MAXIFS(Token!$B:$B,Token!$A:$A,$K90)&gt;0.01),$L90/86400+DATE(1970,1,1)+$G$6,)</f>
        <v/>
      </c>
      <c r="B90" s="27" t="str">
        <f t="shared" si="1"/>
        <v/>
      </c>
      <c r="C90" s="14" t="str">
        <f>IF($A90&lt;&gt;"",MINIFS(Merchant!$A:$A,Merchant!$B:$B,$G$2),)</f>
        <v/>
      </c>
      <c r="D90" s="14" t="str">
        <f t="shared" si="2"/>
        <v/>
      </c>
      <c r="E90" s="14" t="str">
        <f t="shared" si="3"/>
        <v/>
      </c>
      <c r="F90" s="7" t="str">
        <f>IF($A90&lt;&gt;"",MAXIFS(Token!$B:$B,Token!$A:$A,$D90),)</f>
        <v/>
      </c>
    </row>
    <row r="91">
      <c r="A91" s="39" t="str">
        <f>IF(AND($L91*1&gt;=$G$3,$L91*1&lt;=$G$4,$I91*$J91&gt;0,OR($I91&lt;&gt;$I92,$L91-$L92&gt;25),$I91/POW(10,$J91)*MAXIFS(Token!$B:$B,Token!$A:$A,$K91)&gt;0.01),$L91/86400+DATE(1970,1,1)+$G$6,)</f>
        <v/>
      </c>
      <c r="B91" s="27" t="str">
        <f t="shared" si="1"/>
        <v/>
      </c>
      <c r="C91" s="14" t="str">
        <f>IF($A91&lt;&gt;"",MINIFS(Merchant!$A:$A,Merchant!$B:$B,$G$2),)</f>
        <v/>
      </c>
      <c r="D91" s="14" t="str">
        <f t="shared" si="2"/>
        <v/>
      </c>
      <c r="E91" s="14" t="str">
        <f t="shared" si="3"/>
        <v/>
      </c>
      <c r="F91" s="7" t="str">
        <f>IF($A91&lt;&gt;"",MAXIFS(Token!$B:$B,Token!$A:$A,$D91),)</f>
        <v/>
      </c>
    </row>
    <row r="92">
      <c r="A92" s="39" t="str">
        <f>IF(AND($L92*1&gt;=$G$3,$L92*1&lt;=$G$4,$I92*$J92&gt;0,OR($I92&lt;&gt;$I93,$L92-$L93&gt;25),$I92/POW(10,$J92)*MAXIFS(Token!$B:$B,Token!$A:$A,$K92)&gt;0.01),$L92/86400+DATE(1970,1,1)+$G$6,)</f>
        <v/>
      </c>
      <c r="B92" s="27" t="str">
        <f t="shared" si="1"/>
        <v/>
      </c>
      <c r="C92" s="14" t="str">
        <f>IF($A92&lt;&gt;"",MINIFS(Merchant!$A:$A,Merchant!$B:$B,$G$2),)</f>
        <v/>
      </c>
      <c r="D92" s="14" t="str">
        <f t="shared" si="2"/>
        <v/>
      </c>
      <c r="E92" s="14" t="str">
        <f t="shared" si="3"/>
        <v/>
      </c>
      <c r="F92" s="7" t="str">
        <f>IF($A92&lt;&gt;"",MAXIFS(Token!$B:$B,Token!$A:$A,$D92),)</f>
        <v/>
      </c>
    </row>
    <row r="93">
      <c r="A93" s="39" t="str">
        <f>IF(AND($L93*1&gt;=$G$3,$L93*1&lt;=$G$4,$I93*$J93&gt;0,OR($I93&lt;&gt;$I94,$L93-$L94&gt;25),$I93/POW(10,$J93)*MAXIFS(Token!$B:$B,Token!$A:$A,$K93)&gt;0.01),$L93/86400+DATE(1970,1,1)+$G$6,)</f>
        <v/>
      </c>
      <c r="B93" s="27" t="str">
        <f t="shared" si="1"/>
        <v/>
      </c>
      <c r="C93" s="14" t="str">
        <f>IF($A93&lt;&gt;"",MINIFS(Merchant!$A:$A,Merchant!$B:$B,$G$2),)</f>
        <v/>
      </c>
      <c r="D93" s="14" t="str">
        <f t="shared" si="2"/>
        <v/>
      </c>
      <c r="E93" s="14" t="str">
        <f t="shared" si="3"/>
        <v/>
      </c>
      <c r="F93" s="7" t="str">
        <f>IF($A93&lt;&gt;"",MAXIFS(Token!$B:$B,Token!$A:$A,$D93),)</f>
        <v/>
      </c>
    </row>
    <row r="94">
      <c r="A94" s="39" t="str">
        <f>IF(AND($L94*1&gt;=$G$3,$L94*1&lt;=$G$4,$I94*$J94&gt;0,OR($I94&lt;&gt;$I95,$L94-$L95&gt;25),$I94/POW(10,$J94)*MAXIFS(Token!$B:$B,Token!$A:$A,$K94)&gt;0.01),$L94/86400+DATE(1970,1,1)+$G$6,)</f>
        <v/>
      </c>
      <c r="B94" s="27" t="str">
        <f t="shared" si="1"/>
        <v/>
      </c>
      <c r="C94" s="14" t="str">
        <f>IF($A94&lt;&gt;"",MINIFS(Merchant!$A:$A,Merchant!$B:$B,$G$2),)</f>
        <v/>
      </c>
      <c r="D94" s="14" t="str">
        <f t="shared" si="2"/>
        <v/>
      </c>
      <c r="E94" s="14" t="str">
        <f t="shared" si="3"/>
        <v/>
      </c>
      <c r="F94" s="7" t="str">
        <f>IF($A94&lt;&gt;"",MAXIFS(Token!$B:$B,Token!$A:$A,$D94),)</f>
        <v/>
      </c>
    </row>
    <row r="95">
      <c r="A95" s="39" t="str">
        <f>IF(AND($L95*1&gt;=$G$3,$L95*1&lt;=$G$4,$I95*$J95&gt;0,OR($I95&lt;&gt;$I96,$L95-$L96&gt;25),$I95/POW(10,$J95)*MAXIFS(Token!$B:$B,Token!$A:$A,$K95)&gt;0.01),$L95/86400+DATE(1970,1,1)+$G$6,)</f>
        <v/>
      </c>
      <c r="B95" s="27" t="str">
        <f t="shared" si="1"/>
        <v/>
      </c>
      <c r="C95" s="14" t="str">
        <f>IF($A95&lt;&gt;"",MINIFS(Merchant!$A:$A,Merchant!$B:$B,$G$2),)</f>
        <v/>
      </c>
      <c r="D95" s="14" t="str">
        <f t="shared" si="2"/>
        <v/>
      </c>
      <c r="E95" s="14" t="str">
        <f t="shared" si="3"/>
        <v/>
      </c>
      <c r="F95" s="7" t="str">
        <f>IF($A95&lt;&gt;"",MAXIFS(Token!$B:$B,Token!$A:$A,$D95),)</f>
        <v/>
      </c>
    </row>
    <row r="96">
      <c r="A96" s="39" t="str">
        <f>IF(AND($L96*1&gt;=$G$3,$L96*1&lt;=$G$4,$I96*$J96&gt;0,OR($I96&lt;&gt;$I97,$L96-$L97&gt;25),$I96/POW(10,$J96)*MAXIFS(Token!$B:$B,Token!$A:$A,$K96)&gt;0.01),$L96/86400+DATE(1970,1,1)+$G$6,)</f>
        <v/>
      </c>
      <c r="B96" s="27" t="str">
        <f t="shared" si="1"/>
        <v/>
      </c>
      <c r="C96" s="14" t="str">
        <f>IF($A96&lt;&gt;"",MINIFS(Merchant!$A:$A,Merchant!$B:$B,$G$2),)</f>
        <v/>
      </c>
      <c r="D96" s="14" t="str">
        <f t="shared" si="2"/>
        <v/>
      </c>
      <c r="E96" s="14" t="str">
        <f t="shared" si="3"/>
        <v/>
      </c>
      <c r="F96" s="7" t="str">
        <f>IF($A96&lt;&gt;"",MAXIFS(Token!$B:$B,Token!$A:$A,$D96),)</f>
        <v/>
      </c>
    </row>
    <row r="97">
      <c r="A97" s="39" t="str">
        <f>IF(AND($L97*1&gt;=$G$3,$L97*1&lt;=$G$4,$I97*$J97&gt;0,OR($I97&lt;&gt;$I98,$L97-$L98&gt;25),$I97/POW(10,$J97)*MAXIFS(Token!$B:$B,Token!$A:$A,$K97)&gt;0.01),$L97/86400+DATE(1970,1,1)+$G$6,)</f>
        <v/>
      </c>
      <c r="B97" s="27" t="str">
        <f t="shared" si="1"/>
        <v/>
      </c>
      <c r="C97" s="14" t="str">
        <f>IF($A97&lt;&gt;"",MINIFS(Merchant!$A:$A,Merchant!$B:$B,$G$2),)</f>
        <v/>
      </c>
      <c r="D97" s="14" t="str">
        <f t="shared" si="2"/>
        <v/>
      </c>
      <c r="E97" s="14" t="str">
        <f t="shared" si="3"/>
        <v/>
      </c>
      <c r="F97" s="7" t="str">
        <f>IF($A97&lt;&gt;"",MAXIFS(Token!$B:$B,Token!$A:$A,$D97),)</f>
        <v/>
      </c>
    </row>
    <row r="98">
      <c r="A98" s="39" t="str">
        <f>IF(AND($L98*1&gt;=$G$3,$L98*1&lt;=$G$4,$I98*$J98&gt;0,OR($I98&lt;&gt;$I99,$L98-$L99&gt;25),$I98/POW(10,$J98)*MAXIFS(Token!$B:$B,Token!$A:$A,$K98)&gt;0.01),$L98/86400+DATE(1970,1,1)+$G$6,)</f>
        <v/>
      </c>
      <c r="B98" s="27" t="str">
        <f t="shared" si="1"/>
        <v/>
      </c>
      <c r="C98" s="14" t="str">
        <f>IF($A98&lt;&gt;"",MINIFS(Merchant!$A:$A,Merchant!$B:$B,$G$2),)</f>
        <v/>
      </c>
      <c r="D98" s="14" t="str">
        <f t="shared" si="2"/>
        <v/>
      </c>
      <c r="E98" s="14" t="str">
        <f t="shared" si="3"/>
        <v/>
      </c>
      <c r="F98" s="7" t="str">
        <f>IF($A98&lt;&gt;"",MAXIFS(Token!$B:$B,Token!$A:$A,$D98),)</f>
        <v/>
      </c>
    </row>
    <row r="99">
      <c r="A99" s="39" t="str">
        <f>IF(AND($L99*1&gt;=$G$3,$L99*1&lt;=$G$4,$I99*$J99&gt;0,OR($I99&lt;&gt;$I100,$L99-$L100&gt;25),$I99/POW(10,$J99)*MAXIFS(Token!$B:$B,Token!$A:$A,$K99)&gt;0.01),$L99/86400+DATE(1970,1,1)+$G$6,)</f>
        <v/>
      </c>
      <c r="B99" s="27" t="str">
        <f t="shared" si="1"/>
        <v/>
      </c>
      <c r="C99" s="14" t="str">
        <f>IF($A99&lt;&gt;"",MINIFS(Merchant!$A:$A,Merchant!$B:$B,$G$2),)</f>
        <v/>
      </c>
      <c r="D99" s="14" t="str">
        <f t="shared" si="2"/>
        <v/>
      </c>
      <c r="E99" s="14" t="str">
        <f t="shared" si="3"/>
        <v/>
      </c>
      <c r="F99" s="7" t="str">
        <f>IF($A99&lt;&gt;"",MAXIFS(Token!$B:$B,Token!$A:$A,$D99),)</f>
        <v/>
      </c>
    </row>
    <row r="100">
      <c r="A100" s="39" t="str">
        <f>IF(AND($L100*1&gt;=$G$3,$L100*1&lt;=$G$4,$I100*$J100&gt;0,OR($I100&lt;&gt;$I101,$L100-$L101&gt;25),$I100/POW(10,$J100)*MAXIFS(Token!$B:$B,Token!$A:$A,$K100)&gt;0.01),$L100/86400+DATE(1970,1,1)+$G$6,)</f>
        <v/>
      </c>
      <c r="B100" s="27" t="str">
        <f t="shared" si="1"/>
        <v/>
      </c>
      <c r="C100" s="14" t="str">
        <f>IF($A100&lt;&gt;"",MINIFS(Merchant!$A:$A,Merchant!$B:$B,$G$2),)</f>
        <v/>
      </c>
      <c r="D100" s="14" t="str">
        <f t="shared" si="2"/>
        <v/>
      </c>
      <c r="E100" s="14" t="str">
        <f t="shared" si="3"/>
        <v/>
      </c>
      <c r="F100" s="7" t="str">
        <f>IF($A100&lt;&gt;"",MAXIFS(Token!$B:$B,Token!$A:$A,$D100),)</f>
        <v/>
      </c>
    </row>
    <row r="101">
      <c r="A101" s="39" t="str">
        <f>IF(AND($L101*1&gt;=$G$3,$L101*1&lt;=$G$4,$I101*$J101&gt;0,OR($I101&lt;&gt;$I102,$L101-$L102&gt;25),$I101/POW(10,$J101)*MAXIFS(Token!$B:$B,Token!$A:$A,$K101)&gt;0.01),$L101/86400+DATE(1970,1,1)+$G$6,)</f>
        <v/>
      </c>
      <c r="B101" s="27" t="str">
        <f t="shared" si="1"/>
        <v/>
      </c>
      <c r="C101" s="14" t="str">
        <f>IF($A101&lt;&gt;"",MINIFS(Merchant!$A:$A,Merchant!$B:$B,$G$2),)</f>
        <v/>
      </c>
      <c r="D101" s="14" t="str">
        <f t="shared" si="2"/>
        <v/>
      </c>
      <c r="E101" s="14" t="str">
        <f t="shared" si="3"/>
        <v/>
      </c>
      <c r="F101" s="7" t="str">
        <f>IF($A101&lt;&gt;"",MAXIFS(Token!$B:$B,Token!$A:$A,$D101),)</f>
        <v/>
      </c>
    </row>
    <row r="102">
      <c r="A102" s="39" t="str">
        <f>IF(AND($L102*1&gt;=$G$3,$L102*1&lt;=$G$4,$I102*$J102&gt;0,OR($I102&lt;&gt;$I103,$L102-$L103&gt;25),$I102/POW(10,$J102)*MAXIFS(Token!$B:$B,Token!$A:$A,$K102)&gt;0.01),$L102/86400+DATE(1970,1,1)+$G$6,)</f>
        <v/>
      </c>
      <c r="B102" s="27" t="str">
        <f t="shared" si="1"/>
        <v/>
      </c>
      <c r="C102" s="14" t="str">
        <f>IF($A102&lt;&gt;"",MINIFS(Merchant!$A:$A,Merchant!$B:$B,$G$2),)</f>
        <v/>
      </c>
      <c r="D102" s="14" t="str">
        <f t="shared" si="2"/>
        <v/>
      </c>
      <c r="E102" s="14" t="str">
        <f t="shared" si="3"/>
        <v/>
      </c>
      <c r="F102" s="7" t="str">
        <f>IF($A102&lt;&gt;"",MAXIFS(Token!$B:$B,Token!$A:$A,$D102),)</f>
        <v/>
      </c>
    </row>
    <row r="103">
      <c r="A103" s="39" t="str">
        <f>IF(AND($L103*1&gt;=$G$3,$L103*1&lt;=$G$4,$I103*$J103&gt;0,OR($I103&lt;&gt;$I104,$L103-$L104&gt;25),$I103/POW(10,$J103)*MAXIFS(Token!$B:$B,Token!$A:$A,$K103)&gt;0.01),$L103/86400+DATE(1970,1,1)+$G$6,)</f>
        <v/>
      </c>
      <c r="B103" s="27" t="str">
        <f t="shared" si="1"/>
        <v/>
      </c>
      <c r="C103" s="14" t="str">
        <f>IF($A103&lt;&gt;"",MINIFS(Merchant!$A:$A,Merchant!$B:$B,$G$2),)</f>
        <v/>
      </c>
      <c r="D103" s="14" t="str">
        <f t="shared" si="2"/>
        <v/>
      </c>
      <c r="E103" s="14" t="str">
        <f t="shared" si="3"/>
        <v/>
      </c>
      <c r="F103" s="7" t="str">
        <f>IF($A103&lt;&gt;"",MAXIFS(Token!$B:$B,Token!$A:$A,$D103),)</f>
        <v/>
      </c>
    </row>
    <row r="104">
      <c r="A104" s="39" t="str">
        <f>IF(AND($L104*1&gt;=$G$3,$L104*1&lt;=$G$4,$I104*$J104&gt;0,OR($I104&lt;&gt;$I105,$L104-$L105&gt;25),$I104/POW(10,$J104)*MAXIFS(Token!$B:$B,Token!$A:$A,$K104)&gt;0.01),$L104/86400+DATE(1970,1,1)+$G$6,)</f>
        <v/>
      </c>
      <c r="B104" s="27" t="str">
        <f t="shared" si="1"/>
        <v/>
      </c>
      <c r="C104" s="14" t="str">
        <f>IF($A104&lt;&gt;"",MINIFS(Merchant!$A:$A,Merchant!$B:$B,$G$2),)</f>
        <v/>
      </c>
      <c r="D104" s="14" t="str">
        <f t="shared" si="2"/>
        <v/>
      </c>
      <c r="E104" s="14" t="str">
        <f t="shared" si="3"/>
        <v/>
      </c>
      <c r="F104" s="7" t="str">
        <f>IF($A104&lt;&gt;"",MAXIFS(Token!$B:$B,Token!$A:$A,$D104),)</f>
        <v/>
      </c>
    </row>
    <row r="105">
      <c r="A105" s="39" t="str">
        <f>IF(AND($L105*1&gt;=$G$3,$L105*1&lt;=$G$4,$I105*$J105&gt;0,OR($I105&lt;&gt;$I106,$L105-$L106&gt;25),$I105/POW(10,$J105)*MAXIFS(Token!$B:$B,Token!$A:$A,$K105)&gt;0.01),$L105/86400+DATE(1970,1,1)+$G$6,)</f>
        <v/>
      </c>
      <c r="B105" s="27" t="str">
        <f t="shared" si="1"/>
        <v/>
      </c>
      <c r="C105" s="14" t="str">
        <f>IF($A105&lt;&gt;"",MINIFS(Merchant!$A:$A,Merchant!$B:$B,$G$2),)</f>
        <v/>
      </c>
      <c r="D105" s="14" t="str">
        <f t="shared" si="2"/>
        <v/>
      </c>
      <c r="E105" s="14" t="str">
        <f t="shared" si="3"/>
        <v/>
      </c>
      <c r="F105" s="7" t="str">
        <f>IF($A105&lt;&gt;"",MAXIFS(Token!$B:$B,Token!$A:$A,$D105),)</f>
        <v/>
      </c>
    </row>
    <row r="106">
      <c r="A106" s="39" t="str">
        <f>IF(AND($L106*1&gt;=$G$3,$L106*1&lt;=$G$4,$I106*$J106&gt;0,OR($I106&lt;&gt;$I107,$L106-$L107&gt;25),$I106/POW(10,$J106)*MAXIFS(Token!$B:$B,Token!$A:$A,$K106)&gt;0.01),$L106/86400+DATE(1970,1,1)+$G$6,)</f>
        <v/>
      </c>
      <c r="B106" s="27" t="str">
        <f t="shared" si="1"/>
        <v/>
      </c>
      <c r="C106" s="14" t="str">
        <f>IF($A106&lt;&gt;"",MINIFS(Merchant!$A:$A,Merchant!$B:$B,$G$2),)</f>
        <v/>
      </c>
      <c r="D106" s="14" t="str">
        <f t="shared" si="2"/>
        <v/>
      </c>
      <c r="E106" s="14" t="str">
        <f t="shared" si="3"/>
        <v/>
      </c>
      <c r="F106" s="7" t="str">
        <f>IF($A106&lt;&gt;"",MAXIFS(Token!$B:$B,Token!$A:$A,$D106),)</f>
        <v/>
      </c>
    </row>
    <row r="107">
      <c r="A107" s="39" t="str">
        <f>IF(AND($L107*1&gt;=$G$3,$L107*1&lt;=$G$4,$I107*$J107&gt;0,OR($I107&lt;&gt;$I108,$L107-$L108&gt;25),$I107/POW(10,$J107)*MAXIFS(Token!$B:$B,Token!$A:$A,$K107)&gt;0.01),$L107/86400+DATE(1970,1,1)+$G$6,)</f>
        <v/>
      </c>
      <c r="B107" s="27" t="str">
        <f t="shared" si="1"/>
        <v/>
      </c>
      <c r="C107" s="14" t="str">
        <f>IF($A107&lt;&gt;"",MINIFS(Merchant!$A:$A,Merchant!$B:$B,$G$2),)</f>
        <v/>
      </c>
      <c r="D107" s="14" t="str">
        <f t="shared" si="2"/>
        <v/>
      </c>
      <c r="E107" s="14" t="str">
        <f t="shared" si="3"/>
        <v/>
      </c>
      <c r="F107" s="7" t="str">
        <f>IF($A107&lt;&gt;"",MAXIFS(Token!$B:$B,Token!$A:$A,$D107),)</f>
        <v/>
      </c>
    </row>
    <row r="108">
      <c r="A108" s="39" t="str">
        <f>IF(AND($L108*1&gt;=$G$3,$L108*1&lt;=$G$4,$I108*$J108&gt;0,OR($I108&lt;&gt;$I109,$L108-$L109&gt;25),$I108/POW(10,$J108)*MAXIFS(Token!$B:$B,Token!$A:$A,$K108)&gt;0.01),$L108/86400+DATE(1970,1,1)+$G$6,)</f>
        <v/>
      </c>
      <c r="B108" s="27" t="str">
        <f t="shared" si="1"/>
        <v/>
      </c>
      <c r="C108" s="14" t="str">
        <f>IF($A108&lt;&gt;"",MINIFS(Merchant!$A:$A,Merchant!$B:$B,$G$2),)</f>
        <v/>
      </c>
      <c r="D108" s="14" t="str">
        <f t="shared" si="2"/>
        <v/>
      </c>
      <c r="E108" s="14" t="str">
        <f t="shared" si="3"/>
        <v/>
      </c>
      <c r="F108" s="7" t="str">
        <f>IF($A108&lt;&gt;"",MAXIFS(Token!$B:$B,Token!$A:$A,$D108),)</f>
        <v/>
      </c>
    </row>
    <row r="109">
      <c r="A109" s="39" t="str">
        <f>IF(AND($L109*1&gt;=$G$3,$L109*1&lt;=$G$4,$I109*$J109&gt;0,OR($I109&lt;&gt;$I110,$L109-$L110&gt;25),$I109/POW(10,$J109)*MAXIFS(Token!$B:$B,Token!$A:$A,$K109)&gt;0.01),$L109/86400+DATE(1970,1,1)+$G$6,)</f>
        <v/>
      </c>
      <c r="B109" s="27" t="str">
        <f t="shared" si="1"/>
        <v/>
      </c>
      <c r="C109" s="14" t="str">
        <f>IF($A109&lt;&gt;"",MINIFS(Merchant!$A:$A,Merchant!$B:$B,$G$2),)</f>
        <v/>
      </c>
      <c r="D109" s="14" t="str">
        <f t="shared" si="2"/>
        <v/>
      </c>
      <c r="E109" s="14" t="str">
        <f t="shared" si="3"/>
        <v/>
      </c>
      <c r="F109" s="7" t="str">
        <f>IF($A109&lt;&gt;"",MAXIFS(Token!$B:$B,Token!$A:$A,$D109),)</f>
        <v/>
      </c>
    </row>
    <row r="110">
      <c r="A110" s="39" t="str">
        <f>IF(AND($L110*1&gt;=$G$3,$L110*1&lt;=$G$4,$I110*$J110&gt;0,OR($I110&lt;&gt;$I111,$L110-$L111&gt;25),$I110/POW(10,$J110)*MAXIFS(Token!$B:$B,Token!$A:$A,$K110)&gt;0.01),$L110/86400+DATE(1970,1,1)+$G$6,)</f>
        <v/>
      </c>
      <c r="B110" s="27" t="str">
        <f t="shared" si="1"/>
        <v/>
      </c>
      <c r="C110" s="14" t="str">
        <f>IF($A110&lt;&gt;"",MINIFS(Merchant!$A:$A,Merchant!$B:$B,$G$2),)</f>
        <v/>
      </c>
      <c r="D110" s="14" t="str">
        <f t="shared" si="2"/>
        <v/>
      </c>
      <c r="E110" s="14" t="str">
        <f t="shared" si="3"/>
        <v/>
      </c>
      <c r="F110" s="7" t="str">
        <f>IF($A110&lt;&gt;"",MAXIFS(Token!$B:$B,Token!$A:$A,$D110),)</f>
        <v/>
      </c>
    </row>
    <row r="111">
      <c r="A111" s="39" t="str">
        <f>IF(AND($L111*1&gt;=$G$3,$L111*1&lt;=$G$4,$I111*$J111&gt;0,OR($I111&lt;&gt;$I112,$L111-$L112&gt;25),$I111/POW(10,$J111)*MAXIFS(Token!$B:$B,Token!$A:$A,$K111)&gt;0.01),$L111/86400+DATE(1970,1,1)+$G$6,)</f>
        <v/>
      </c>
      <c r="B111" s="27" t="str">
        <f t="shared" si="1"/>
        <v/>
      </c>
      <c r="C111" s="14" t="str">
        <f>IF($A111&lt;&gt;"",MINIFS(Merchant!$A:$A,Merchant!$B:$B,$G$2),)</f>
        <v/>
      </c>
      <c r="D111" s="14" t="str">
        <f t="shared" si="2"/>
        <v/>
      </c>
      <c r="E111" s="14" t="str">
        <f t="shared" si="3"/>
        <v/>
      </c>
      <c r="F111" s="7" t="str">
        <f>IF($A111&lt;&gt;"",MAXIFS(Token!$B:$B,Token!$A:$A,$D111),)</f>
        <v/>
      </c>
    </row>
    <row r="112">
      <c r="A112" s="39" t="str">
        <f>IF(AND($L112*1&gt;=$G$3,$L112*1&lt;=$G$4,$I112*$J112&gt;0,OR($I112&lt;&gt;$I113,$L112-$L113&gt;25),$I112/POW(10,$J112)*MAXIFS(Token!$B:$B,Token!$A:$A,$K112)&gt;0.01),$L112/86400+DATE(1970,1,1)+$G$6,)</f>
        <v/>
      </c>
      <c r="B112" s="27" t="str">
        <f t="shared" si="1"/>
        <v/>
      </c>
      <c r="C112" s="14" t="str">
        <f>IF($A112&lt;&gt;"",MINIFS(Merchant!$A:$A,Merchant!$B:$B,$G$2),)</f>
        <v/>
      </c>
      <c r="D112" s="14" t="str">
        <f t="shared" si="2"/>
        <v/>
      </c>
      <c r="E112" s="14" t="str">
        <f t="shared" si="3"/>
        <v/>
      </c>
      <c r="F112" s="7" t="str">
        <f>IF($A112&lt;&gt;"",MAXIFS(Token!$B:$B,Token!$A:$A,$D112),)</f>
        <v/>
      </c>
    </row>
    <row r="113">
      <c r="A113" s="39" t="str">
        <f>IF(AND($L113*1&gt;=$G$3,$L113*1&lt;=$G$4,$I113*$J113&gt;0,OR($I113&lt;&gt;$I114,$L113-$L114&gt;25),$I113/POW(10,$J113)*MAXIFS(Token!$B:$B,Token!$A:$A,$K113)&gt;0.01),$L113/86400+DATE(1970,1,1)+$G$6,)</f>
        <v/>
      </c>
      <c r="B113" s="27" t="str">
        <f t="shared" si="1"/>
        <v/>
      </c>
      <c r="C113" s="14" t="str">
        <f>IF($A113&lt;&gt;"",MINIFS(Merchant!$A:$A,Merchant!$B:$B,$G$2),)</f>
        <v/>
      </c>
      <c r="D113" s="14" t="str">
        <f t="shared" si="2"/>
        <v/>
      </c>
      <c r="E113" s="14" t="str">
        <f t="shared" si="3"/>
        <v/>
      </c>
      <c r="F113" s="7" t="str">
        <f>IF($A113&lt;&gt;"",MAXIFS(Token!$B:$B,Token!$A:$A,$D113),)</f>
        <v/>
      </c>
    </row>
    <row r="114">
      <c r="A114" s="39" t="str">
        <f>IF(AND($L114*1&gt;=$G$3,$L114*1&lt;=$G$4,$I114*$J114&gt;0,OR($I114&lt;&gt;$I115,$L114-$L115&gt;25),$I114/POW(10,$J114)*MAXIFS(Token!$B:$B,Token!$A:$A,$K114)&gt;0.01),$L114/86400+DATE(1970,1,1)+$G$6,)</f>
        <v/>
      </c>
      <c r="B114" s="27" t="str">
        <f t="shared" si="1"/>
        <v/>
      </c>
      <c r="C114" s="14" t="str">
        <f>IF($A114&lt;&gt;"",MINIFS(Merchant!$A:$A,Merchant!$B:$B,$G$2),)</f>
        <v/>
      </c>
      <c r="D114" s="14" t="str">
        <f t="shared" si="2"/>
        <v/>
      </c>
      <c r="E114" s="14" t="str">
        <f t="shared" si="3"/>
        <v/>
      </c>
      <c r="F114" s="7" t="str">
        <f>IF($A114&lt;&gt;"",MAXIFS(Token!$B:$B,Token!$A:$A,$D114),)</f>
        <v/>
      </c>
    </row>
    <row r="115">
      <c r="A115" s="39" t="str">
        <f>IF(AND($L115*1&gt;=$G$3,$L115*1&lt;=$G$4,$I115*$J115&gt;0,OR($I115&lt;&gt;$I116,$L115-$L116&gt;25),$I115/POW(10,$J115)*MAXIFS(Token!$B:$B,Token!$A:$A,$K115)&gt;0.01),$L115/86400+DATE(1970,1,1)+$G$6,)</f>
        <v/>
      </c>
      <c r="B115" s="27" t="str">
        <f t="shared" si="1"/>
        <v/>
      </c>
      <c r="C115" s="14" t="str">
        <f>IF($A115&lt;&gt;"",MINIFS(Merchant!$A:$A,Merchant!$B:$B,$G$2),)</f>
        <v/>
      </c>
      <c r="D115" s="14" t="str">
        <f t="shared" si="2"/>
        <v/>
      </c>
      <c r="E115" s="14" t="str">
        <f t="shared" si="3"/>
        <v/>
      </c>
      <c r="F115" s="7" t="str">
        <f>IF($A115&lt;&gt;"",MAXIFS(Token!$B:$B,Token!$A:$A,$D115),)</f>
        <v/>
      </c>
    </row>
    <row r="116">
      <c r="A116" s="39" t="str">
        <f>IF(AND($L116*1&gt;=$G$3,$L116*1&lt;=$G$4,$I116*$J116&gt;0,OR($I116&lt;&gt;$I117,$L116-$L117&gt;25),$I116/POW(10,$J116)*MAXIFS(Token!$B:$B,Token!$A:$A,$K116)&gt;0.01),$L116/86400+DATE(1970,1,1)+$G$6,)</f>
        <v/>
      </c>
      <c r="B116" s="27" t="str">
        <f t="shared" si="1"/>
        <v/>
      </c>
      <c r="C116" s="14" t="str">
        <f>IF($A116&lt;&gt;"",MINIFS(Merchant!$A:$A,Merchant!$B:$B,$G$2),)</f>
        <v/>
      </c>
      <c r="D116" s="14" t="str">
        <f t="shared" si="2"/>
        <v/>
      </c>
      <c r="E116" s="14" t="str">
        <f t="shared" si="3"/>
        <v/>
      </c>
      <c r="F116" s="7" t="str">
        <f>IF($A116&lt;&gt;"",MAXIFS(Token!$B:$B,Token!$A:$A,$D116),)</f>
        <v/>
      </c>
    </row>
    <row r="117">
      <c r="A117" s="39" t="str">
        <f>IF(AND($L117*1&gt;=$G$3,$L117*1&lt;=$G$4,$I117*$J117&gt;0,OR($I117&lt;&gt;$I118,$L117-$L118&gt;25),$I117/POW(10,$J117)*MAXIFS(Token!$B:$B,Token!$A:$A,$K117)&gt;0.01),$L117/86400+DATE(1970,1,1)+$G$6,)</f>
        <v/>
      </c>
      <c r="B117" s="27" t="str">
        <f t="shared" si="1"/>
        <v/>
      </c>
      <c r="C117" s="14" t="str">
        <f>IF($A117&lt;&gt;"",MINIFS(Merchant!$A:$A,Merchant!$B:$B,$G$2),)</f>
        <v/>
      </c>
      <c r="D117" s="14" t="str">
        <f t="shared" si="2"/>
        <v/>
      </c>
      <c r="E117" s="14" t="str">
        <f t="shared" si="3"/>
        <v/>
      </c>
      <c r="F117" s="7" t="str">
        <f>IF($A117&lt;&gt;"",MAXIFS(Token!$B:$B,Token!$A:$A,$D117),)</f>
        <v/>
      </c>
    </row>
    <row r="118">
      <c r="A118" s="39" t="str">
        <f>IF(AND($L118*1&gt;=$G$3,$L118*1&lt;=$G$4,$I118*$J118&gt;0,OR($I118&lt;&gt;$I119,$L118-$L119&gt;25),$I118/POW(10,$J118)*MAXIFS(Token!$B:$B,Token!$A:$A,$K118)&gt;0.01),$L118/86400+DATE(1970,1,1)+$G$6,)</f>
        <v/>
      </c>
      <c r="B118" s="27" t="str">
        <f t="shared" si="1"/>
        <v/>
      </c>
      <c r="C118" s="14" t="str">
        <f>IF($A118&lt;&gt;"",MINIFS(Merchant!$A:$A,Merchant!$B:$B,$G$2),)</f>
        <v/>
      </c>
      <c r="D118" s="14" t="str">
        <f t="shared" si="2"/>
        <v/>
      </c>
      <c r="E118" s="14" t="str">
        <f t="shared" si="3"/>
        <v/>
      </c>
      <c r="F118" s="7" t="str">
        <f>IF($A118&lt;&gt;"",MAXIFS(Token!$B:$B,Token!$A:$A,$D118),)</f>
        <v/>
      </c>
    </row>
    <row r="119">
      <c r="A119" s="39" t="str">
        <f>IF(AND($L119*1&gt;=$G$3,$L119*1&lt;=$G$4,$I119*$J119&gt;0,OR($I119&lt;&gt;$I120,$L119-$L120&gt;25),$I119/POW(10,$J119)*MAXIFS(Token!$B:$B,Token!$A:$A,$K119)&gt;0.01),$L119/86400+DATE(1970,1,1)+$G$6,)</f>
        <v/>
      </c>
      <c r="B119" s="27" t="str">
        <f t="shared" si="1"/>
        <v/>
      </c>
      <c r="C119" s="14" t="str">
        <f>IF($A119&lt;&gt;"",MINIFS(Merchant!$A:$A,Merchant!$B:$B,$G$2),)</f>
        <v/>
      </c>
      <c r="D119" s="14" t="str">
        <f t="shared" si="2"/>
        <v/>
      </c>
      <c r="E119" s="14" t="str">
        <f t="shared" si="3"/>
        <v/>
      </c>
      <c r="F119" s="7" t="str">
        <f>IF($A119&lt;&gt;"",MAXIFS(Token!$B:$B,Token!$A:$A,$D119),)</f>
        <v/>
      </c>
    </row>
    <row r="120">
      <c r="A120" s="39" t="str">
        <f>IF(AND($L120*1&gt;=$G$3,$L120*1&lt;=$G$4,$I120*$J120&gt;0,OR($I120&lt;&gt;$I121,$L120-$L121&gt;25),$I120/POW(10,$J120)*MAXIFS(Token!$B:$B,Token!$A:$A,$K120)&gt;0.01),$L120/86400+DATE(1970,1,1)+$G$6,)</f>
        <v/>
      </c>
      <c r="B120" s="27" t="str">
        <f t="shared" si="1"/>
        <v/>
      </c>
      <c r="C120" s="14" t="str">
        <f>IF($A120&lt;&gt;"",MINIFS(Merchant!$A:$A,Merchant!$B:$B,$G$2),)</f>
        <v/>
      </c>
      <c r="D120" s="14" t="str">
        <f t="shared" si="2"/>
        <v/>
      </c>
      <c r="E120" s="14" t="str">
        <f t="shared" si="3"/>
        <v/>
      </c>
      <c r="F120" s="7" t="str">
        <f>IF($A120&lt;&gt;"",MAXIFS(Token!$B:$B,Token!$A:$A,$D120),)</f>
        <v/>
      </c>
    </row>
    <row r="121">
      <c r="A121" s="39" t="str">
        <f>IF(AND($L121*1&gt;=$G$3,$L121*1&lt;=$G$4,$I121*$J121&gt;0,OR($I121&lt;&gt;$I122,$L121-$L122&gt;25),$I121/POW(10,$J121)*MAXIFS(Token!$B:$B,Token!$A:$A,$K121)&gt;0.01),$L121/86400+DATE(1970,1,1)+$G$6,)</f>
        <v/>
      </c>
      <c r="B121" s="27" t="str">
        <f t="shared" si="1"/>
        <v/>
      </c>
      <c r="C121" s="14" t="str">
        <f>IF($A121&lt;&gt;"",MINIFS(Merchant!$A:$A,Merchant!$B:$B,$G$2),)</f>
        <v/>
      </c>
      <c r="D121" s="14" t="str">
        <f t="shared" si="2"/>
        <v/>
      </c>
      <c r="E121" s="14" t="str">
        <f t="shared" si="3"/>
        <v/>
      </c>
      <c r="F121" s="7" t="str">
        <f>IF($A121&lt;&gt;"",MAXIFS(Token!$B:$B,Token!$A:$A,$D121),)</f>
        <v/>
      </c>
    </row>
    <row r="122">
      <c r="A122" s="39" t="str">
        <f>IF(AND($L122*1&gt;=$G$3,$L122*1&lt;=$G$4,$I122*$J122&gt;0,OR($I122&lt;&gt;$I123,$L122-$L123&gt;25),$I122/POW(10,$J122)*MAXIFS(Token!$B:$B,Token!$A:$A,$K122)&gt;0.01),$L122/86400+DATE(1970,1,1)+$G$6,)</f>
        <v/>
      </c>
      <c r="B122" s="27" t="str">
        <f t="shared" si="1"/>
        <v/>
      </c>
      <c r="C122" s="14" t="str">
        <f>IF($A122&lt;&gt;"",MINIFS(Merchant!$A:$A,Merchant!$B:$B,$G$2),)</f>
        <v/>
      </c>
      <c r="D122" s="14" t="str">
        <f t="shared" si="2"/>
        <v/>
      </c>
      <c r="E122" s="14" t="str">
        <f t="shared" si="3"/>
        <v/>
      </c>
      <c r="F122" s="7" t="str">
        <f>IF($A122&lt;&gt;"",MAXIFS(Token!$B:$B,Token!$A:$A,$D122),)</f>
        <v/>
      </c>
    </row>
    <row r="123">
      <c r="A123" s="39" t="str">
        <f>IF(AND($L123*1&gt;=$G$3,$L123*1&lt;=$G$4,$I123*$J123&gt;0,OR($I123&lt;&gt;$I124,$L123-$L124&gt;25),$I123/POW(10,$J123)*MAXIFS(Token!$B:$B,Token!$A:$A,$K123)&gt;0.01),$L123/86400+DATE(1970,1,1)+$G$6,)</f>
        <v/>
      </c>
      <c r="B123" s="27" t="str">
        <f t="shared" si="1"/>
        <v/>
      </c>
      <c r="C123" s="14" t="str">
        <f>IF($A123&lt;&gt;"",MINIFS(Merchant!$A:$A,Merchant!$B:$B,$G$2),)</f>
        <v/>
      </c>
      <c r="D123" s="14" t="str">
        <f t="shared" si="2"/>
        <v/>
      </c>
      <c r="E123" s="14" t="str">
        <f t="shared" si="3"/>
        <v/>
      </c>
      <c r="F123" s="7" t="str">
        <f>IF($A123&lt;&gt;"",MAXIFS(Token!$B:$B,Token!$A:$A,$D123),)</f>
        <v/>
      </c>
    </row>
    <row r="124">
      <c r="A124" s="39" t="str">
        <f>IF(AND($L124*1&gt;=$G$3,$L124*1&lt;=$G$4,$I124*$J124&gt;0,OR($I124&lt;&gt;$I125,$L124-$L125&gt;25),$I124/POW(10,$J124)*MAXIFS(Token!$B:$B,Token!$A:$A,$K124)&gt;0.01),$L124/86400+DATE(1970,1,1)+$G$6,)</f>
        <v/>
      </c>
      <c r="B124" s="27" t="str">
        <f t="shared" si="1"/>
        <v/>
      </c>
      <c r="C124" s="14" t="str">
        <f>IF($A124&lt;&gt;"",MINIFS(Merchant!$A:$A,Merchant!$B:$B,$G$2),)</f>
        <v/>
      </c>
      <c r="D124" s="14" t="str">
        <f t="shared" si="2"/>
        <v/>
      </c>
      <c r="E124" s="14" t="str">
        <f t="shared" si="3"/>
        <v/>
      </c>
      <c r="F124" s="7" t="str">
        <f>IF($A124&lt;&gt;"",MAXIFS(Token!$B:$B,Token!$A:$A,$D124),)</f>
        <v/>
      </c>
    </row>
    <row r="125">
      <c r="A125" s="39" t="str">
        <f>IF(AND($L125*1&gt;=$G$3,$L125*1&lt;=$G$4,$I125*$J125&gt;0,OR($I125&lt;&gt;$I126,$L125-$L126&gt;25),$I125/POW(10,$J125)*MAXIFS(Token!$B:$B,Token!$A:$A,$K125)&gt;0.01),$L125/86400+DATE(1970,1,1)+$G$6,)</f>
        <v/>
      </c>
      <c r="B125" s="27" t="str">
        <f t="shared" si="1"/>
        <v/>
      </c>
      <c r="C125" s="14" t="str">
        <f>IF($A125&lt;&gt;"",MINIFS(Merchant!$A:$A,Merchant!$B:$B,$G$2),)</f>
        <v/>
      </c>
      <c r="D125" s="14" t="str">
        <f t="shared" si="2"/>
        <v/>
      </c>
      <c r="E125" s="14" t="str">
        <f t="shared" si="3"/>
        <v/>
      </c>
      <c r="F125" s="7" t="str">
        <f>IF($A125&lt;&gt;"",MAXIFS(Token!$B:$B,Token!$A:$A,$D125),)</f>
        <v/>
      </c>
    </row>
    <row r="126">
      <c r="A126" s="39" t="str">
        <f>IF(AND($L126*1&gt;=$G$3,$L126*1&lt;=$G$4,$I126*$J126&gt;0,OR($I126&lt;&gt;$I127,$L126-$L127&gt;25),$I126/POW(10,$J126)*MAXIFS(Token!$B:$B,Token!$A:$A,$K126)&gt;0.01),$L126/86400+DATE(1970,1,1)+$G$6,)</f>
        <v/>
      </c>
      <c r="B126" s="27" t="str">
        <f t="shared" si="1"/>
        <v/>
      </c>
      <c r="C126" s="14" t="str">
        <f>IF($A126&lt;&gt;"",MINIFS(Merchant!$A:$A,Merchant!$B:$B,$G$2),)</f>
        <v/>
      </c>
      <c r="D126" s="14" t="str">
        <f t="shared" si="2"/>
        <v/>
      </c>
      <c r="E126" s="14" t="str">
        <f t="shared" si="3"/>
        <v/>
      </c>
      <c r="F126" s="7" t="str">
        <f>IF($A126&lt;&gt;"",MAXIFS(Token!$B:$B,Token!$A:$A,$D126),)</f>
        <v/>
      </c>
    </row>
    <row r="127">
      <c r="A127" s="39" t="str">
        <f>IF(AND($L127*1&gt;=$G$3,$L127*1&lt;=$G$4,$I127*$J127&gt;0,OR($I127&lt;&gt;$I128,$L127-$L128&gt;25),$I127/POW(10,$J127)*MAXIFS(Token!$B:$B,Token!$A:$A,$K127)&gt;0.01),$L127/86400+DATE(1970,1,1)+$G$6,)</f>
        <v/>
      </c>
      <c r="B127" s="27" t="str">
        <f t="shared" si="1"/>
        <v/>
      </c>
      <c r="C127" s="14" t="str">
        <f>IF($A127&lt;&gt;"",MINIFS(Merchant!$A:$A,Merchant!$B:$B,$G$2),)</f>
        <v/>
      </c>
      <c r="D127" s="14" t="str">
        <f t="shared" si="2"/>
        <v/>
      </c>
      <c r="E127" s="14" t="str">
        <f t="shared" si="3"/>
        <v/>
      </c>
      <c r="F127" s="7" t="str">
        <f>IF($A127&lt;&gt;"",MAXIFS(Token!$B:$B,Token!$A:$A,$D127),)</f>
        <v/>
      </c>
    </row>
    <row r="128">
      <c r="A128" s="39" t="str">
        <f>IF(AND($L128*1&gt;=$G$3,$L128*1&lt;=$G$4,$I128*$J128&gt;0,OR($I128&lt;&gt;$I129,$L128-$L129&gt;25),$I128/POW(10,$J128)*MAXIFS(Token!$B:$B,Token!$A:$A,$K128)&gt;0.01),$L128/86400+DATE(1970,1,1)+$G$6,)</f>
        <v/>
      </c>
      <c r="B128" s="27" t="str">
        <f t="shared" si="1"/>
        <v/>
      </c>
      <c r="C128" s="14" t="str">
        <f>IF($A128&lt;&gt;"",MINIFS(Merchant!$A:$A,Merchant!$B:$B,$G$2),)</f>
        <v/>
      </c>
      <c r="D128" s="14" t="str">
        <f t="shared" si="2"/>
        <v/>
      </c>
      <c r="E128" s="14" t="str">
        <f t="shared" si="3"/>
        <v/>
      </c>
      <c r="F128" s="7" t="str">
        <f>IF($A128&lt;&gt;"",MAXIFS(Token!$B:$B,Token!$A:$A,$D128),)</f>
        <v/>
      </c>
    </row>
    <row r="129">
      <c r="A129" s="39" t="str">
        <f>IF(AND($L129*1&gt;=$G$3,$L129*1&lt;=$G$4,$I129*$J129&gt;0,OR($I129&lt;&gt;$I130,$L129-$L130&gt;25),$I129/POW(10,$J129)*MAXIFS(Token!$B:$B,Token!$A:$A,$K129)&gt;0.01),$L129/86400+DATE(1970,1,1)+$G$6,)</f>
        <v/>
      </c>
      <c r="B129" s="27" t="str">
        <f t="shared" si="1"/>
        <v/>
      </c>
      <c r="C129" s="14" t="str">
        <f>IF($A129&lt;&gt;"",MINIFS(Merchant!$A:$A,Merchant!$B:$B,$G$2),)</f>
        <v/>
      </c>
      <c r="D129" s="14" t="str">
        <f t="shared" si="2"/>
        <v/>
      </c>
      <c r="E129" s="14" t="str">
        <f t="shared" si="3"/>
        <v/>
      </c>
      <c r="F129" s="7" t="str">
        <f>IF($A129&lt;&gt;"",MAXIFS(Token!$B:$B,Token!$A:$A,$D129),)</f>
        <v/>
      </c>
    </row>
    <row r="130">
      <c r="A130" s="39" t="str">
        <f>IF(AND($L130*1&gt;=$G$3,$L130*1&lt;=$G$4,$I130*$J130&gt;0,OR($I130&lt;&gt;$I131,$L130-$L131&gt;25),$I130/POW(10,$J130)*MAXIFS(Token!$B:$B,Token!$A:$A,$K130)&gt;0.01),$L130/86400+DATE(1970,1,1)+$G$6,)</f>
        <v/>
      </c>
      <c r="B130" s="27" t="str">
        <f t="shared" si="1"/>
        <v/>
      </c>
      <c r="C130" s="14" t="str">
        <f>IF($A130&lt;&gt;"",MINIFS(Merchant!$A:$A,Merchant!$B:$B,$G$2),)</f>
        <v/>
      </c>
      <c r="D130" s="14" t="str">
        <f t="shared" si="2"/>
        <v/>
      </c>
      <c r="E130" s="14" t="str">
        <f t="shared" si="3"/>
        <v/>
      </c>
      <c r="F130" s="7" t="str">
        <f>IF($A130&lt;&gt;"",MAXIFS(Token!$B:$B,Token!$A:$A,$D130),)</f>
        <v/>
      </c>
    </row>
    <row r="131">
      <c r="A131" s="39" t="str">
        <f>IF(AND($L131*1&gt;=$G$3,$L131*1&lt;=$G$4,$I131*$J131&gt;0,OR($I131&lt;&gt;$I132,$L131-$L132&gt;25),$I131/POW(10,$J131)*MAXIFS(Token!$B:$B,Token!$A:$A,$K131)&gt;0.01),$L131/86400+DATE(1970,1,1)+$G$6,)</f>
        <v/>
      </c>
      <c r="B131" s="27" t="str">
        <f t="shared" si="1"/>
        <v/>
      </c>
      <c r="C131" s="14" t="str">
        <f>IF($A131&lt;&gt;"",MINIFS(Merchant!$A:$A,Merchant!$B:$B,$G$2),)</f>
        <v/>
      </c>
      <c r="D131" s="14" t="str">
        <f t="shared" si="2"/>
        <v/>
      </c>
      <c r="E131" s="14" t="str">
        <f t="shared" si="3"/>
        <v/>
      </c>
      <c r="F131" s="7" t="str">
        <f>IF($A131&lt;&gt;"",MAXIFS(Token!$B:$B,Token!$A:$A,$D131),)</f>
        <v/>
      </c>
    </row>
    <row r="132">
      <c r="A132" s="39" t="str">
        <f>IF(AND($L132*1&gt;=$G$3,$L132*1&lt;=$G$4,$I132*$J132&gt;0,OR($I132&lt;&gt;$I133,$L132-$L133&gt;25),$I132/POW(10,$J132)*MAXIFS(Token!$B:$B,Token!$A:$A,$K132)&gt;0.01),$L132/86400+DATE(1970,1,1)+$G$6,)</f>
        <v/>
      </c>
      <c r="B132" s="27" t="str">
        <f t="shared" si="1"/>
        <v/>
      </c>
      <c r="C132" s="14" t="str">
        <f>IF($A132&lt;&gt;"",MINIFS(Merchant!$A:$A,Merchant!$B:$B,$G$2),)</f>
        <v/>
      </c>
      <c r="D132" s="14" t="str">
        <f t="shared" si="2"/>
        <v/>
      </c>
      <c r="E132" s="14" t="str">
        <f t="shared" si="3"/>
        <v/>
      </c>
      <c r="F132" s="7" t="str">
        <f>IF($A132&lt;&gt;"",MAXIFS(Token!$B:$B,Token!$A:$A,$D132),)</f>
        <v/>
      </c>
    </row>
    <row r="133">
      <c r="A133" s="39" t="str">
        <f>IF(AND($L133*1&gt;=$G$3,$L133*1&lt;=$G$4,$I133*$J133&gt;0,OR($I133&lt;&gt;$I134,$L133-$L134&gt;25),$I133/POW(10,$J133)*MAXIFS(Token!$B:$B,Token!$A:$A,$K133)&gt;0.01),$L133/86400+DATE(1970,1,1)+$G$6,)</f>
        <v/>
      </c>
      <c r="B133" s="27" t="str">
        <f t="shared" si="1"/>
        <v/>
      </c>
      <c r="C133" s="14" t="str">
        <f>IF($A133&lt;&gt;"",MINIFS(Merchant!$A:$A,Merchant!$B:$B,$G$2),)</f>
        <v/>
      </c>
      <c r="D133" s="14" t="str">
        <f t="shared" si="2"/>
        <v/>
      </c>
      <c r="E133" s="14" t="str">
        <f t="shared" si="3"/>
        <v/>
      </c>
      <c r="F133" s="7" t="str">
        <f>IF($A133&lt;&gt;"",MAXIFS(Token!$B:$B,Token!$A:$A,$D133),)</f>
        <v/>
      </c>
    </row>
    <row r="134">
      <c r="A134" s="39" t="str">
        <f>IF(AND($L134*1&gt;=$G$3,$L134*1&lt;=$G$4,$I134*$J134&gt;0,OR($I134&lt;&gt;$I135,$L134-$L135&gt;25),$I134/POW(10,$J134)*MAXIFS(Token!$B:$B,Token!$A:$A,$K134)&gt;0.01),$L134/86400+DATE(1970,1,1)+$G$6,)</f>
        <v/>
      </c>
      <c r="B134" s="27" t="str">
        <f t="shared" si="1"/>
        <v/>
      </c>
      <c r="C134" s="14" t="str">
        <f>IF($A134&lt;&gt;"",MINIFS(Merchant!$A:$A,Merchant!$B:$B,$G$2),)</f>
        <v/>
      </c>
      <c r="D134" s="14" t="str">
        <f t="shared" si="2"/>
        <v/>
      </c>
      <c r="E134" s="14" t="str">
        <f t="shared" si="3"/>
        <v/>
      </c>
      <c r="F134" s="7" t="str">
        <f>IF($A134&lt;&gt;"",MAXIFS(Token!$B:$B,Token!$A:$A,$D134),)</f>
        <v/>
      </c>
    </row>
    <row r="135">
      <c r="A135" s="39" t="str">
        <f>IF(AND($L135*1&gt;=$G$3,$L135*1&lt;=$G$4,$I135*$J135&gt;0,OR($I135&lt;&gt;$I136,$L135-$L136&gt;25),$I135/POW(10,$J135)*MAXIFS(Token!$B:$B,Token!$A:$A,$K135)&gt;0.01),$L135/86400+DATE(1970,1,1)+$G$6,)</f>
        <v/>
      </c>
      <c r="B135" s="27" t="str">
        <f t="shared" si="1"/>
        <v/>
      </c>
      <c r="C135" s="14" t="str">
        <f>IF($A135&lt;&gt;"",MINIFS(Merchant!$A:$A,Merchant!$B:$B,$G$2),)</f>
        <v/>
      </c>
      <c r="D135" s="14" t="str">
        <f t="shared" si="2"/>
        <v/>
      </c>
      <c r="E135" s="14" t="str">
        <f t="shared" si="3"/>
        <v/>
      </c>
      <c r="F135" s="7" t="str">
        <f>IF($A135&lt;&gt;"",MAXIFS(Token!$B:$B,Token!$A:$A,$D135),)</f>
        <v/>
      </c>
    </row>
    <row r="136">
      <c r="A136" s="39" t="str">
        <f>IF(AND($L136*1&gt;=$G$3,$L136*1&lt;=$G$4,$I136*$J136&gt;0,OR($I136&lt;&gt;$I137,$L136-$L137&gt;25),$I136/POW(10,$J136)*MAXIFS(Token!$B:$B,Token!$A:$A,$K136)&gt;0.01),$L136/86400+DATE(1970,1,1)+$G$6,)</f>
        <v/>
      </c>
      <c r="B136" s="27" t="str">
        <f t="shared" si="1"/>
        <v/>
      </c>
      <c r="C136" s="14" t="str">
        <f>IF($A136&lt;&gt;"",MINIFS(Merchant!$A:$A,Merchant!$B:$B,$G$2),)</f>
        <v/>
      </c>
      <c r="D136" s="14" t="str">
        <f t="shared" si="2"/>
        <v/>
      </c>
      <c r="E136" s="14" t="str">
        <f t="shared" si="3"/>
        <v/>
      </c>
      <c r="F136" s="7" t="str">
        <f>IF($A136&lt;&gt;"",MAXIFS(Token!$B:$B,Token!$A:$A,$D136),)</f>
        <v/>
      </c>
    </row>
    <row r="137">
      <c r="A137" s="39" t="str">
        <f>IF(AND($L137*1&gt;=$G$3,$L137*1&lt;=$G$4,$I137*$J137&gt;0,OR($I137&lt;&gt;$I138,$L137-$L138&gt;25),$I137/POW(10,$J137)*MAXIFS(Token!$B:$B,Token!$A:$A,$K137)&gt;0.01),$L137/86400+DATE(1970,1,1)+$G$6,)</f>
        <v/>
      </c>
      <c r="B137" s="27" t="str">
        <f t="shared" si="1"/>
        <v/>
      </c>
      <c r="C137" s="14" t="str">
        <f>IF($A137&lt;&gt;"",MINIFS(Merchant!$A:$A,Merchant!$B:$B,$G$2),)</f>
        <v/>
      </c>
      <c r="D137" s="14" t="str">
        <f t="shared" si="2"/>
        <v/>
      </c>
      <c r="E137" s="14" t="str">
        <f t="shared" si="3"/>
        <v/>
      </c>
      <c r="F137" s="7" t="str">
        <f>IF($A137&lt;&gt;"",MAXIFS(Token!$B:$B,Token!$A:$A,$D137),)</f>
        <v/>
      </c>
    </row>
    <row r="138">
      <c r="A138" s="39" t="str">
        <f>IF(AND($L138*1&gt;=$G$3,$L138*1&lt;=$G$4,$I138*$J138&gt;0,OR($I138&lt;&gt;$I139,$L138-$L139&gt;25),$I138/POW(10,$J138)*MAXIFS(Token!$B:$B,Token!$A:$A,$K138)&gt;0.01),$L138/86400+DATE(1970,1,1)+$G$6,)</f>
        <v/>
      </c>
      <c r="B138" s="27" t="str">
        <f t="shared" si="1"/>
        <v/>
      </c>
      <c r="C138" s="14" t="str">
        <f>IF($A138&lt;&gt;"",MINIFS(Merchant!$A:$A,Merchant!$B:$B,$G$2),)</f>
        <v/>
      </c>
      <c r="D138" s="14" t="str">
        <f t="shared" si="2"/>
        <v/>
      </c>
      <c r="E138" s="14" t="str">
        <f t="shared" si="3"/>
        <v/>
      </c>
      <c r="F138" s="7" t="str">
        <f>IF($A138&lt;&gt;"",MAXIFS(Token!$B:$B,Token!$A:$A,$D138),)</f>
        <v/>
      </c>
    </row>
    <row r="139">
      <c r="A139" s="39" t="str">
        <f>IF(AND($L139*1&gt;=$G$3,$L139*1&lt;=$G$4,$I139*$J139&gt;0,OR($I139&lt;&gt;$I140,$L139-$L140&gt;25),$I139/POW(10,$J139)*MAXIFS(Token!$B:$B,Token!$A:$A,$K139)&gt;0.01),$L139/86400+DATE(1970,1,1)+$G$6,)</f>
        <v/>
      </c>
      <c r="B139" s="27" t="str">
        <f t="shared" si="1"/>
        <v/>
      </c>
      <c r="C139" s="14" t="str">
        <f>IF($A139&lt;&gt;"",MINIFS(Merchant!$A:$A,Merchant!$B:$B,$G$2),)</f>
        <v/>
      </c>
      <c r="D139" s="14" t="str">
        <f t="shared" si="2"/>
        <v/>
      </c>
      <c r="E139" s="14" t="str">
        <f t="shared" si="3"/>
        <v/>
      </c>
      <c r="F139" s="7" t="str">
        <f>IF($A139&lt;&gt;"",MAXIFS(Token!$B:$B,Token!$A:$A,$D139),)</f>
        <v/>
      </c>
    </row>
    <row r="140">
      <c r="A140" s="39" t="str">
        <f>IF(AND($L140*1&gt;=$G$3,$L140*1&lt;=$G$4,$I140*$J140&gt;0,OR($I140&lt;&gt;$I141,$L140-$L141&gt;25),$I140/POW(10,$J140)*MAXIFS(Token!$B:$B,Token!$A:$A,$K140)&gt;0.01),$L140/86400+DATE(1970,1,1)+$G$6,)</f>
        <v/>
      </c>
      <c r="B140" s="27" t="str">
        <f t="shared" si="1"/>
        <v/>
      </c>
      <c r="C140" s="14" t="str">
        <f>IF($A140&lt;&gt;"",MINIFS(Merchant!$A:$A,Merchant!$B:$B,$G$2),)</f>
        <v/>
      </c>
      <c r="D140" s="14" t="str">
        <f t="shared" si="2"/>
        <v/>
      </c>
      <c r="E140" s="14" t="str">
        <f t="shared" si="3"/>
        <v/>
      </c>
      <c r="F140" s="7" t="str">
        <f>IF($A140&lt;&gt;"",MAXIFS(Token!$B:$B,Token!$A:$A,$D140),)</f>
        <v/>
      </c>
    </row>
    <row r="141">
      <c r="A141" s="39" t="str">
        <f>IF(AND($L141*1&gt;=$G$3,$L141*1&lt;=$G$4,$I141*$J141&gt;0,OR($I141&lt;&gt;$I142,$L141-$L142&gt;25),$I141/POW(10,$J141)*MAXIFS(Token!$B:$B,Token!$A:$A,$K141)&gt;0.01),$L141/86400+DATE(1970,1,1)+$G$6,)</f>
        <v/>
      </c>
      <c r="B141" s="27" t="str">
        <f t="shared" si="1"/>
        <v/>
      </c>
      <c r="C141" s="14" t="str">
        <f>IF($A141&lt;&gt;"",MINIFS(Merchant!$A:$A,Merchant!$B:$B,$G$2),)</f>
        <v/>
      </c>
      <c r="D141" s="14" t="str">
        <f t="shared" si="2"/>
        <v/>
      </c>
      <c r="E141" s="14" t="str">
        <f t="shared" si="3"/>
        <v/>
      </c>
      <c r="F141" s="7" t="str">
        <f>IF($A141&lt;&gt;"",MAXIFS(Token!$B:$B,Token!$A:$A,$D141),)</f>
        <v/>
      </c>
    </row>
    <row r="142">
      <c r="A142" s="39" t="str">
        <f>IF(AND($L142*1&gt;=$G$3,$L142*1&lt;=$G$4,$I142*$J142&gt;0,OR($I142&lt;&gt;$I143,$L142-$L143&gt;25),$I142/POW(10,$J142)*MAXIFS(Token!$B:$B,Token!$A:$A,$K142)&gt;0.01),$L142/86400+DATE(1970,1,1)+$G$6,)</f>
        <v/>
      </c>
      <c r="B142" s="27" t="str">
        <f t="shared" si="1"/>
        <v/>
      </c>
      <c r="C142" s="14" t="str">
        <f>IF($A142&lt;&gt;"",MINIFS(Merchant!$A:$A,Merchant!$B:$B,$G$2),)</f>
        <v/>
      </c>
      <c r="D142" s="14" t="str">
        <f t="shared" si="2"/>
        <v/>
      </c>
      <c r="E142" s="14" t="str">
        <f t="shared" si="3"/>
        <v/>
      </c>
      <c r="F142" s="7" t="str">
        <f>IF($A142&lt;&gt;"",MAXIFS(Token!$B:$B,Token!$A:$A,$D142),)</f>
        <v/>
      </c>
    </row>
    <row r="143">
      <c r="A143" s="39" t="str">
        <f>IF(AND($L143*1&gt;=$G$3,$L143*1&lt;=$G$4,$I143*$J143&gt;0,OR($I143&lt;&gt;$I144,$L143-$L144&gt;25),$I143/POW(10,$J143)*MAXIFS(Token!$B:$B,Token!$A:$A,$K143)&gt;0.01),$L143/86400+DATE(1970,1,1)+$G$6,)</f>
        <v/>
      </c>
      <c r="B143" s="27" t="str">
        <f t="shared" si="1"/>
        <v/>
      </c>
      <c r="C143" s="14" t="str">
        <f>IF($A143&lt;&gt;"",MINIFS(Merchant!$A:$A,Merchant!$B:$B,$G$2),)</f>
        <v/>
      </c>
      <c r="D143" s="14" t="str">
        <f t="shared" si="2"/>
        <v/>
      </c>
      <c r="E143" s="14" t="str">
        <f t="shared" si="3"/>
        <v/>
      </c>
      <c r="F143" s="7" t="str">
        <f>IF($A143&lt;&gt;"",MAXIFS(Token!$B:$B,Token!$A:$A,$D143),)</f>
        <v/>
      </c>
    </row>
    <row r="144">
      <c r="A144" s="39" t="str">
        <f>IF(AND($L144*1&gt;=$G$3,$L144*1&lt;=$G$4,$I144*$J144&gt;0,OR($I144&lt;&gt;$I145,$L144-$L145&gt;25),$I144/POW(10,$J144)*MAXIFS(Token!$B:$B,Token!$A:$A,$K144)&gt;0.01),$L144/86400+DATE(1970,1,1)+$G$6,)</f>
        <v/>
      </c>
      <c r="B144" s="27" t="str">
        <f t="shared" si="1"/>
        <v/>
      </c>
      <c r="C144" s="14" t="str">
        <f>IF($A144&lt;&gt;"",MINIFS(Merchant!$A:$A,Merchant!$B:$B,$G$2),)</f>
        <v/>
      </c>
      <c r="D144" s="14" t="str">
        <f t="shared" si="2"/>
        <v/>
      </c>
      <c r="E144" s="14" t="str">
        <f t="shared" si="3"/>
        <v/>
      </c>
      <c r="F144" s="7" t="str">
        <f>IF($A144&lt;&gt;"",MAXIFS(Token!$B:$B,Token!$A:$A,$D144),)</f>
        <v/>
      </c>
    </row>
    <row r="145">
      <c r="A145" s="39" t="str">
        <f>IF(AND($L145*1&gt;=$G$3,$L145*1&lt;=$G$4,$I145*$J145&gt;0,OR($I145&lt;&gt;$I146,$L145-$L146&gt;25),$I145/POW(10,$J145)*MAXIFS(Token!$B:$B,Token!$A:$A,$K145)&gt;0.01),$L145/86400+DATE(1970,1,1)+$G$6,)</f>
        <v/>
      </c>
      <c r="B145" s="27" t="str">
        <f t="shared" si="1"/>
        <v/>
      </c>
      <c r="C145" s="14" t="str">
        <f>IF($A145&lt;&gt;"",MINIFS(Merchant!$A:$A,Merchant!$B:$B,$G$2),)</f>
        <v/>
      </c>
      <c r="D145" s="14" t="str">
        <f t="shared" si="2"/>
        <v/>
      </c>
      <c r="E145" s="14" t="str">
        <f t="shared" si="3"/>
        <v/>
      </c>
      <c r="F145" s="7" t="str">
        <f>IF($A145&lt;&gt;"",MAXIFS(Token!$B:$B,Token!$A:$A,$D145),)</f>
        <v/>
      </c>
    </row>
    <row r="146">
      <c r="A146" s="39" t="str">
        <f>IF(AND($L146*1&gt;=$G$3,$L146*1&lt;=$G$4,$I146*$J146&gt;0,OR($I146&lt;&gt;$I147,$L146-$L147&gt;25),$I146/POW(10,$J146)*MAXIFS(Token!$B:$B,Token!$A:$A,$K146)&gt;0.01),$L146/86400+DATE(1970,1,1)+$G$6,)</f>
        <v/>
      </c>
      <c r="B146" s="27" t="str">
        <f t="shared" si="1"/>
        <v/>
      </c>
      <c r="C146" s="14" t="str">
        <f>IF($A146&lt;&gt;"",MINIFS(Merchant!$A:$A,Merchant!$B:$B,$G$2),)</f>
        <v/>
      </c>
      <c r="D146" s="14" t="str">
        <f t="shared" si="2"/>
        <v/>
      </c>
      <c r="E146" s="14" t="str">
        <f t="shared" si="3"/>
        <v/>
      </c>
      <c r="F146" s="7" t="str">
        <f>IF($A146&lt;&gt;"",MAXIFS(Token!$B:$B,Token!$A:$A,$D146),)</f>
        <v/>
      </c>
    </row>
    <row r="147">
      <c r="A147" s="39" t="str">
        <f>IF(AND($L147*1&gt;=$G$3,$L147*1&lt;=$G$4,$I147*$J147&gt;0,OR($I147&lt;&gt;$I148,$L147-$L148&gt;25),$I147/POW(10,$J147)*MAXIFS(Token!$B:$B,Token!$A:$A,$K147)&gt;0.01),$L147/86400+DATE(1970,1,1)+$G$6,)</f>
        <v/>
      </c>
      <c r="B147" s="27" t="str">
        <f t="shared" si="1"/>
        <v/>
      </c>
      <c r="C147" s="14" t="str">
        <f>IF($A147&lt;&gt;"",MINIFS(Merchant!$A:$A,Merchant!$B:$B,$G$2),)</f>
        <v/>
      </c>
      <c r="D147" s="14" t="str">
        <f t="shared" si="2"/>
        <v/>
      </c>
      <c r="E147" s="14" t="str">
        <f t="shared" si="3"/>
        <v/>
      </c>
      <c r="F147" s="7" t="str">
        <f>IF($A147&lt;&gt;"",MAXIFS(Token!$B:$B,Token!$A:$A,$D147),)</f>
        <v/>
      </c>
    </row>
    <row r="148">
      <c r="A148" s="39" t="str">
        <f>IF(AND($L148*1&gt;=$G$3,$L148*1&lt;=$G$4,$I148*$J148&gt;0,OR($I148&lt;&gt;$I149,$L148-$L149&gt;25),$I148/POW(10,$J148)*MAXIFS(Token!$B:$B,Token!$A:$A,$K148)&gt;0.01),$L148/86400+DATE(1970,1,1)+$G$6,)</f>
        <v/>
      </c>
      <c r="B148" s="27" t="str">
        <f t="shared" si="1"/>
        <v/>
      </c>
      <c r="C148" s="14" t="str">
        <f>IF($A148&lt;&gt;"",MINIFS(Merchant!$A:$A,Merchant!$B:$B,$G$2),)</f>
        <v/>
      </c>
      <c r="D148" s="14" t="str">
        <f t="shared" si="2"/>
        <v/>
      </c>
      <c r="E148" s="14" t="str">
        <f t="shared" si="3"/>
        <v/>
      </c>
      <c r="F148" s="7" t="str">
        <f>IF($A148&lt;&gt;"",MAXIFS(Token!$B:$B,Token!$A:$A,$D148),)</f>
        <v/>
      </c>
    </row>
    <row r="149">
      <c r="A149" s="39" t="str">
        <f>IF(AND($L149*1&gt;=$G$3,$L149*1&lt;=$G$4,$I149*$J149&gt;0,OR($I149&lt;&gt;$I150,$L149-$L150&gt;25),$I149/POW(10,$J149)*MAXIFS(Token!$B:$B,Token!$A:$A,$K149)&gt;0.01),$L149/86400+DATE(1970,1,1)+$G$6,)</f>
        <v/>
      </c>
      <c r="B149" s="27" t="str">
        <f t="shared" si="1"/>
        <v/>
      </c>
      <c r="C149" s="14" t="str">
        <f>IF($A149&lt;&gt;"",MINIFS(Merchant!$A:$A,Merchant!$B:$B,$G$2),)</f>
        <v/>
      </c>
      <c r="D149" s="14" t="str">
        <f t="shared" si="2"/>
        <v/>
      </c>
      <c r="E149" s="14" t="str">
        <f t="shared" si="3"/>
        <v/>
      </c>
      <c r="F149" s="7" t="str">
        <f>IF($A149&lt;&gt;"",MAXIFS(Token!$B:$B,Token!$A:$A,$D149),)</f>
        <v/>
      </c>
    </row>
    <row r="150">
      <c r="A150" s="39" t="str">
        <f>IF(AND($L150*1&gt;=$G$3,$L150*1&lt;=$G$4,$I150*$J150&gt;0,OR($I150&lt;&gt;$I151,$L150-$L151&gt;25),$I150/POW(10,$J150)*MAXIFS(Token!$B:$B,Token!$A:$A,$K150)&gt;0.01),$L150/86400+DATE(1970,1,1)+$G$6,)</f>
        <v/>
      </c>
      <c r="B150" s="27" t="str">
        <f t="shared" si="1"/>
        <v/>
      </c>
      <c r="C150" s="14" t="str">
        <f>IF($A150&lt;&gt;"",MINIFS(Merchant!$A:$A,Merchant!$B:$B,$G$2),)</f>
        <v/>
      </c>
      <c r="D150" s="14" t="str">
        <f t="shared" si="2"/>
        <v/>
      </c>
      <c r="E150" s="14" t="str">
        <f t="shared" si="3"/>
        <v/>
      </c>
      <c r="F150" s="7" t="str">
        <f>IF($A150&lt;&gt;"",MAXIFS(Token!$B:$B,Token!$A:$A,$D150),)</f>
        <v/>
      </c>
    </row>
    <row r="151">
      <c r="A151" s="39" t="str">
        <f>IF(AND($L151*1&gt;=$G$3,$L151*1&lt;=$G$4,$I151*$J151&gt;0,OR($I151&lt;&gt;$I152,$L151-$L152&gt;25),$I151/POW(10,$J151)*MAXIFS(Token!$B:$B,Token!$A:$A,$K151)&gt;0.01),$L151/86400+DATE(1970,1,1)+$G$6,)</f>
        <v/>
      </c>
      <c r="B151" s="27" t="str">
        <f t="shared" si="1"/>
        <v/>
      </c>
      <c r="C151" s="14" t="str">
        <f>IF($A151&lt;&gt;"",MINIFS(Merchant!$A:$A,Merchant!$B:$B,$G$2),)</f>
        <v/>
      </c>
      <c r="D151" s="14" t="str">
        <f t="shared" si="2"/>
        <v/>
      </c>
      <c r="E151" s="14" t="str">
        <f t="shared" si="3"/>
        <v/>
      </c>
      <c r="F151" s="7" t="str">
        <f>IF($A151&lt;&gt;"",MAXIFS(Token!$B:$B,Token!$A:$A,$D151),)</f>
        <v/>
      </c>
    </row>
    <row r="152">
      <c r="A152" s="39" t="str">
        <f>IF(AND($L152*1&gt;=$G$3,$L152*1&lt;=$G$4,$I152*$J152&gt;0,OR($I152&lt;&gt;$I153,$L152-$L153&gt;25),$I152/POW(10,$J152)*MAXIFS(Token!$B:$B,Token!$A:$A,$K152)&gt;0.01),$L152/86400+DATE(1970,1,1)+$G$6,)</f>
        <v/>
      </c>
      <c r="B152" s="27" t="str">
        <f t="shared" si="1"/>
        <v/>
      </c>
      <c r="C152" s="14" t="str">
        <f>IF($A152&lt;&gt;"",MINIFS(Merchant!$A:$A,Merchant!$B:$B,$G$2),)</f>
        <v/>
      </c>
      <c r="D152" s="14" t="str">
        <f t="shared" si="2"/>
        <v/>
      </c>
      <c r="E152" s="14" t="str">
        <f t="shared" si="3"/>
        <v/>
      </c>
      <c r="F152" s="7" t="str">
        <f>IF($A152&lt;&gt;"",MAXIFS(Token!$B:$B,Token!$A:$A,$D152),)</f>
        <v/>
      </c>
    </row>
    <row r="153">
      <c r="A153" s="39" t="str">
        <f>IF(AND($L153*1&gt;=$G$3,$L153*1&lt;=$G$4,$I153*$J153&gt;0,OR($I153&lt;&gt;$I154,$L153-$L154&gt;25),$I153/POW(10,$J153)*MAXIFS(Token!$B:$B,Token!$A:$A,$K153)&gt;0.01),$L153/86400+DATE(1970,1,1)+$G$6,)</f>
        <v/>
      </c>
      <c r="B153" s="27" t="str">
        <f t="shared" si="1"/>
        <v/>
      </c>
      <c r="C153" s="14" t="str">
        <f>IF($A153&lt;&gt;"",MINIFS(Merchant!$A:$A,Merchant!$B:$B,$G$2),)</f>
        <v/>
      </c>
      <c r="D153" s="14" t="str">
        <f t="shared" si="2"/>
        <v/>
      </c>
      <c r="E153" s="14" t="str">
        <f t="shared" si="3"/>
        <v/>
      </c>
      <c r="F153" s="7" t="str">
        <f>IF($A153&lt;&gt;"",MAXIFS(Token!$B:$B,Token!$A:$A,$D153),)</f>
        <v/>
      </c>
    </row>
    <row r="154">
      <c r="A154" s="39" t="str">
        <f>IF(AND($L154*1&gt;=$G$3,$L154*1&lt;=$G$4,$I154*$J154&gt;0,OR($I154&lt;&gt;$I155,$L154-$L155&gt;25),$I154/POW(10,$J154)*MAXIFS(Token!$B:$B,Token!$A:$A,$K154)&gt;0.01),$L154/86400+DATE(1970,1,1)+$G$6,)</f>
        <v/>
      </c>
      <c r="B154" s="27" t="str">
        <f t="shared" si="1"/>
        <v/>
      </c>
      <c r="C154" s="14" t="str">
        <f>IF($A154&lt;&gt;"",MINIFS(Merchant!$A:$A,Merchant!$B:$B,$G$2),)</f>
        <v/>
      </c>
      <c r="D154" s="14" t="str">
        <f t="shared" si="2"/>
        <v/>
      </c>
      <c r="E154" s="14" t="str">
        <f t="shared" si="3"/>
        <v/>
      </c>
      <c r="F154" s="7" t="str">
        <f>IF($A154&lt;&gt;"",MAXIFS(Token!$B:$B,Token!$A:$A,$D154),)</f>
        <v/>
      </c>
    </row>
    <row r="155">
      <c r="A155" s="39" t="str">
        <f>IF(AND($L155*1&gt;=$G$3,$L155*1&lt;=$G$4,$I155*$J155&gt;0,OR($I155&lt;&gt;$I156,$L155-$L156&gt;25),$I155/POW(10,$J155)*MAXIFS(Token!$B:$B,Token!$A:$A,$K155)&gt;0.01),$L155/86400+DATE(1970,1,1)+$G$6,)</f>
        <v/>
      </c>
      <c r="B155" s="27" t="str">
        <f t="shared" si="1"/>
        <v/>
      </c>
      <c r="C155" s="14" t="str">
        <f>IF($A155&lt;&gt;"",MINIFS(Merchant!$A:$A,Merchant!$B:$B,$G$2),)</f>
        <v/>
      </c>
      <c r="D155" s="14" t="str">
        <f t="shared" si="2"/>
        <v/>
      </c>
      <c r="E155" s="14" t="str">
        <f t="shared" si="3"/>
        <v/>
      </c>
      <c r="F155" s="7" t="str">
        <f>IF($A155&lt;&gt;"",MAXIFS(Token!$B:$B,Token!$A:$A,$D155),)</f>
        <v/>
      </c>
    </row>
    <row r="156">
      <c r="A156" s="39" t="str">
        <f>IF(AND($L156*1&gt;=$G$3,$L156*1&lt;=$G$4,$I156*$J156&gt;0,OR($I156&lt;&gt;$I157,$L156-$L157&gt;25),$I156/POW(10,$J156)*MAXIFS(Token!$B:$B,Token!$A:$A,$K156)&gt;0.01),$L156/86400+DATE(1970,1,1)+$G$6,)</f>
        <v/>
      </c>
      <c r="B156" s="27" t="str">
        <f t="shared" si="1"/>
        <v/>
      </c>
      <c r="C156" s="14" t="str">
        <f>IF($A156&lt;&gt;"",MINIFS(Merchant!$A:$A,Merchant!$B:$B,$G$2),)</f>
        <v/>
      </c>
      <c r="D156" s="14" t="str">
        <f t="shared" si="2"/>
        <v/>
      </c>
      <c r="E156" s="14" t="str">
        <f t="shared" si="3"/>
        <v/>
      </c>
      <c r="F156" s="7" t="str">
        <f>IF($A156&lt;&gt;"",MAXIFS(Token!$B:$B,Token!$A:$A,$D156),)</f>
        <v/>
      </c>
    </row>
    <row r="157">
      <c r="A157" s="39" t="str">
        <f>IF(AND($L157*1&gt;=$G$3,$L157*1&lt;=$G$4,$I157*$J157&gt;0,OR($I157&lt;&gt;$I158,$L157-$L158&gt;25),$I157/POW(10,$J157)*MAXIFS(Token!$B:$B,Token!$A:$A,$K157)&gt;0.01),$L157/86400+DATE(1970,1,1)+$G$6,)</f>
        <v/>
      </c>
      <c r="B157" s="27" t="str">
        <f t="shared" si="1"/>
        <v/>
      </c>
      <c r="C157" s="14" t="str">
        <f>IF($A157&lt;&gt;"",MINIFS(Merchant!$A:$A,Merchant!$B:$B,$G$2),)</f>
        <v/>
      </c>
      <c r="D157" s="14" t="str">
        <f t="shared" si="2"/>
        <v/>
      </c>
      <c r="E157" s="14" t="str">
        <f t="shared" si="3"/>
        <v/>
      </c>
      <c r="F157" s="7" t="str">
        <f>IF($A157&lt;&gt;"",MAXIFS(Token!$B:$B,Token!$A:$A,$D157),)</f>
        <v/>
      </c>
    </row>
    <row r="158">
      <c r="A158" s="39" t="str">
        <f>IF(AND($L158*1&gt;=$G$3,$L158*1&lt;=$G$4,$I158*$J158&gt;0,OR($I158&lt;&gt;$I159,$L158-$L159&gt;25),$I158/POW(10,$J158)*MAXIFS(Token!$B:$B,Token!$A:$A,$K158)&gt;0.01),$L158/86400+DATE(1970,1,1)+$G$6,)</f>
        <v/>
      </c>
      <c r="B158" s="27" t="str">
        <f t="shared" si="1"/>
        <v/>
      </c>
      <c r="C158" s="14" t="str">
        <f>IF($A158&lt;&gt;"",MINIFS(Merchant!$A:$A,Merchant!$B:$B,$G$2),)</f>
        <v/>
      </c>
      <c r="D158" s="14" t="str">
        <f t="shared" si="2"/>
        <v/>
      </c>
      <c r="E158" s="14" t="str">
        <f t="shared" si="3"/>
        <v/>
      </c>
      <c r="F158" s="7" t="str">
        <f>IF($A158&lt;&gt;"",MAXIFS(Token!$B:$B,Token!$A:$A,$D158),)</f>
        <v/>
      </c>
    </row>
    <row r="159">
      <c r="A159" s="39" t="str">
        <f>IF(AND($L159*1&gt;=$G$3,$L159*1&lt;=$G$4,$I159*$J159&gt;0,OR($I159&lt;&gt;$I160,$L159-$L160&gt;25),$I159/POW(10,$J159)*MAXIFS(Token!$B:$B,Token!$A:$A,$K159)&gt;0.01),$L159/86400+DATE(1970,1,1)+$G$6,)</f>
        <v/>
      </c>
      <c r="B159" s="27" t="str">
        <f t="shared" si="1"/>
        <v/>
      </c>
      <c r="C159" s="14" t="str">
        <f>IF($A159&lt;&gt;"",MINIFS(Merchant!$A:$A,Merchant!$B:$B,$G$2),)</f>
        <v/>
      </c>
      <c r="D159" s="14" t="str">
        <f t="shared" si="2"/>
        <v/>
      </c>
      <c r="E159" s="14" t="str">
        <f t="shared" si="3"/>
        <v/>
      </c>
      <c r="F159" s="7" t="str">
        <f>IF($A159&lt;&gt;"",MAXIFS(Token!$B:$B,Token!$A:$A,$D159),)</f>
        <v/>
      </c>
    </row>
    <row r="160">
      <c r="A160" s="39" t="str">
        <f>IF(AND($L160*1&gt;=$G$3,$L160*1&lt;=$G$4,$I160*$J160&gt;0,OR($I160&lt;&gt;$I161,$L160-$L161&gt;25),$I160/POW(10,$J160)*MAXIFS(Token!$B:$B,Token!$A:$A,$K160)&gt;0.01),$L160/86400+DATE(1970,1,1)+$G$6,)</f>
        <v/>
      </c>
      <c r="B160" s="27" t="str">
        <f t="shared" si="1"/>
        <v/>
      </c>
      <c r="C160" s="14" t="str">
        <f>IF($A160&lt;&gt;"",MINIFS(Merchant!$A:$A,Merchant!$B:$B,$G$2),)</f>
        <v/>
      </c>
      <c r="D160" s="14" t="str">
        <f t="shared" si="2"/>
        <v/>
      </c>
      <c r="E160" s="14" t="str">
        <f t="shared" si="3"/>
        <v/>
      </c>
      <c r="F160" s="7" t="str">
        <f>IF($A160&lt;&gt;"",MAXIFS(Token!$B:$B,Token!$A:$A,$D160),)</f>
        <v/>
      </c>
    </row>
    <row r="161">
      <c r="A161" s="39" t="str">
        <f>IF(AND($L161*1&gt;=$G$3,$L161*1&lt;=$G$4,$I161*$J161&gt;0,OR($I161&lt;&gt;$I162,$L161-$L162&gt;25),$I161/POW(10,$J161)*MAXIFS(Token!$B:$B,Token!$A:$A,$K161)&gt;0.01),$L161/86400+DATE(1970,1,1)+$G$6,)</f>
        <v/>
      </c>
      <c r="B161" s="27" t="str">
        <f t="shared" si="1"/>
        <v/>
      </c>
      <c r="C161" s="14" t="str">
        <f>IF($A161&lt;&gt;"",MINIFS(Merchant!$A:$A,Merchant!$B:$B,$G$2),)</f>
        <v/>
      </c>
      <c r="D161" s="14" t="str">
        <f t="shared" si="2"/>
        <v/>
      </c>
      <c r="E161" s="14" t="str">
        <f t="shared" si="3"/>
        <v/>
      </c>
      <c r="F161" s="7" t="str">
        <f>IF($A161&lt;&gt;"",MAXIFS(Token!$B:$B,Token!$A:$A,$D161),)</f>
        <v/>
      </c>
    </row>
    <row r="162">
      <c r="A162" s="39" t="str">
        <f>IF(AND($L162*1&gt;=$G$3,$L162*1&lt;=$G$4,$I162*$J162&gt;0,OR($I162&lt;&gt;$I163,$L162-$L163&gt;25),$I162/POW(10,$J162)*MAXIFS(Token!$B:$B,Token!$A:$A,$K162)&gt;0.01),$L162/86400+DATE(1970,1,1)+$G$6,)</f>
        <v/>
      </c>
      <c r="B162" s="27" t="str">
        <f t="shared" si="1"/>
        <v/>
      </c>
      <c r="C162" s="14" t="str">
        <f>IF($A162&lt;&gt;"",MINIFS(Merchant!$A:$A,Merchant!$B:$B,$G$2),)</f>
        <v/>
      </c>
      <c r="D162" s="14" t="str">
        <f t="shared" si="2"/>
        <v/>
      </c>
      <c r="E162" s="14" t="str">
        <f t="shared" si="3"/>
        <v/>
      </c>
      <c r="F162" s="7" t="str">
        <f>IF($A162&lt;&gt;"",MAXIFS(Token!$B:$B,Token!$A:$A,$D162),)</f>
        <v/>
      </c>
    </row>
    <row r="163">
      <c r="A163" s="39" t="str">
        <f>IF(AND($L163*1&gt;=$G$3,$L163*1&lt;=$G$4,$I163*$J163&gt;0,OR($I163&lt;&gt;$I164,$L163-$L164&gt;25),$I163/POW(10,$J163)*MAXIFS(Token!$B:$B,Token!$A:$A,$K163)&gt;0.01),$L163/86400+DATE(1970,1,1)+$G$6,)</f>
        <v/>
      </c>
      <c r="B163" s="27" t="str">
        <f t="shared" si="1"/>
        <v/>
      </c>
      <c r="C163" s="14" t="str">
        <f>IF($A163&lt;&gt;"",MINIFS(Merchant!$A:$A,Merchant!$B:$B,$G$2),)</f>
        <v/>
      </c>
      <c r="D163" s="14" t="str">
        <f t="shared" si="2"/>
        <v/>
      </c>
      <c r="E163" s="14" t="str">
        <f t="shared" si="3"/>
        <v/>
      </c>
      <c r="F163" s="7" t="str">
        <f>IF($A163&lt;&gt;"",MAXIFS(Token!$B:$B,Token!$A:$A,$D163),)</f>
        <v/>
      </c>
    </row>
    <row r="164">
      <c r="A164" s="39" t="str">
        <f>IF(AND($L164*1&gt;=$G$3,$L164*1&lt;=$G$4,$I164*$J164&gt;0,OR($I164&lt;&gt;$I165,$L164-$L165&gt;25),$I164/POW(10,$J164)*MAXIFS(Token!$B:$B,Token!$A:$A,$K164)&gt;0.01),$L164/86400+DATE(1970,1,1)+$G$6,)</f>
        <v/>
      </c>
      <c r="B164" s="27" t="str">
        <f t="shared" si="1"/>
        <v/>
      </c>
      <c r="C164" s="14" t="str">
        <f>IF($A164&lt;&gt;"",MINIFS(Merchant!$A:$A,Merchant!$B:$B,$G$2),)</f>
        <v/>
      </c>
      <c r="D164" s="14" t="str">
        <f t="shared" si="2"/>
        <v/>
      </c>
      <c r="E164" s="14" t="str">
        <f t="shared" si="3"/>
        <v/>
      </c>
      <c r="F164" s="7" t="str">
        <f>IF($A164&lt;&gt;"",MAXIFS(Token!$B:$B,Token!$A:$A,$D164),)</f>
        <v/>
      </c>
    </row>
    <row r="165">
      <c r="A165" s="39" t="str">
        <f>IF(AND($L165*1&gt;=$G$3,$L165*1&lt;=$G$4,$I165*$J165&gt;0,OR($I165&lt;&gt;$I166,$L165-$L166&gt;25),$I165/POW(10,$J165)*MAXIFS(Token!$B:$B,Token!$A:$A,$K165)&gt;0.01),$L165/86400+DATE(1970,1,1)+$G$6,)</f>
        <v/>
      </c>
      <c r="B165" s="27" t="str">
        <f t="shared" si="1"/>
        <v/>
      </c>
      <c r="C165" s="14" t="str">
        <f>IF($A165&lt;&gt;"",MINIFS(Merchant!$A:$A,Merchant!$B:$B,$G$2),)</f>
        <v/>
      </c>
      <c r="D165" s="14" t="str">
        <f t="shared" si="2"/>
        <v/>
      </c>
      <c r="E165" s="14" t="str">
        <f t="shared" si="3"/>
        <v/>
      </c>
      <c r="F165" s="7" t="str">
        <f>IF($A165&lt;&gt;"",MAXIFS(Token!$B:$B,Token!$A:$A,$D165),)</f>
        <v/>
      </c>
    </row>
    <row r="166">
      <c r="A166" s="39" t="str">
        <f>IF(AND($L166*1&gt;=$G$3,$L166*1&lt;=$G$4,$I166*$J166&gt;0,OR($I166&lt;&gt;$I167,$L166-$L167&gt;25),$I166/POW(10,$J166)*MAXIFS(Token!$B:$B,Token!$A:$A,$K166)&gt;0.01),$L166/86400+DATE(1970,1,1)+$G$6,)</f>
        <v/>
      </c>
      <c r="B166" s="27" t="str">
        <f t="shared" si="1"/>
        <v/>
      </c>
      <c r="C166" s="14" t="str">
        <f>IF($A166&lt;&gt;"",MINIFS(Merchant!$A:$A,Merchant!$B:$B,$G$2),)</f>
        <v/>
      </c>
      <c r="D166" s="14" t="str">
        <f t="shared" si="2"/>
        <v/>
      </c>
      <c r="E166" s="14" t="str">
        <f t="shared" si="3"/>
        <v/>
      </c>
      <c r="F166" s="7" t="str">
        <f>IF($A166&lt;&gt;"",MAXIFS(Token!$B:$B,Token!$A:$A,$D166),)</f>
        <v/>
      </c>
    </row>
    <row r="167">
      <c r="A167" s="39" t="str">
        <f>IF(AND($L167*1&gt;=$G$3,$L167*1&lt;=$G$4,$I167*$J167&gt;0,OR($I167&lt;&gt;$I168,$L167-$L168&gt;25),$I167/POW(10,$J167)*MAXIFS(Token!$B:$B,Token!$A:$A,$K167)&gt;0.01),$L167/86400+DATE(1970,1,1)+$G$6,)</f>
        <v/>
      </c>
      <c r="B167" s="27" t="str">
        <f t="shared" si="1"/>
        <v/>
      </c>
      <c r="C167" s="14" t="str">
        <f>IF($A167&lt;&gt;"",MINIFS(Merchant!$A:$A,Merchant!$B:$B,$G$2),)</f>
        <v/>
      </c>
      <c r="D167" s="14" t="str">
        <f t="shared" si="2"/>
        <v/>
      </c>
      <c r="E167" s="14" t="str">
        <f t="shared" si="3"/>
        <v/>
      </c>
      <c r="F167" s="7" t="str">
        <f>IF($A167&lt;&gt;"",MAXIFS(Token!$B:$B,Token!$A:$A,$D167),)</f>
        <v/>
      </c>
    </row>
    <row r="168">
      <c r="A168" s="39" t="str">
        <f>IF(AND($L168*1&gt;=$G$3,$L168*1&lt;=$G$4,$I168*$J168&gt;0,OR($I168&lt;&gt;$I169,$L168-$L169&gt;25),$I168/POW(10,$J168)*MAXIFS(Token!$B:$B,Token!$A:$A,$K168)&gt;0.01),$L168/86400+DATE(1970,1,1)+$G$6,)</f>
        <v/>
      </c>
      <c r="B168" s="27" t="str">
        <f t="shared" si="1"/>
        <v/>
      </c>
      <c r="C168" s="14" t="str">
        <f>IF($A168&lt;&gt;"",MINIFS(Merchant!$A:$A,Merchant!$B:$B,$G$2),)</f>
        <v/>
      </c>
      <c r="D168" s="14" t="str">
        <f t="shared" si="2"/>
        <v/>
      </c>
      <c r="E168" s="14" t="str">
        <f t="shared" si="3"/>
        <v/>
      </c>
      <c r="F168" s="7" t="str">
        <f>IF($A168&lt;&gt;"",MAXIFS(Token!$B:$B,Token!$A:$A,$D168),)</f>
        <v/>
      </c>
    </row>
    <row r="169">
      <c r="A169" s="39" t="str">
        <f>IF(AND($L169*1&gt;=$G$3,$L169*1&lt;=$G$4,$I169*$J169&gt;0,OR($I169&lt;&gt;$I170,$L169-$L170&gt;25),$I169/POW(10,$J169)*MAXIFS(Token!$B:$B,Token!$A:$A,$K169)&gt;0.01),$L169/86400+DATE(1970,1,1)+$G$6,)</f>
        <v/>
      </c>
      <c r="B169" s="27" t="str">
        <f t="shared" si="1"/>
        <v/>
      </c>
      <c r="C169" s="14" t="str">
        <f>IF($A169&lt;&gt;"",MINIFS(Merchant!$A:$A,Merchant!$B:$B,$G$2),)</f>
        <v/>
      </c>
      <c r="D169" s="14" t="str">
        <f t="shared" si="2"/>
        <v/>
      </c>
      <c r="E169" s="14" t="str">
        <f t="shared" si="3"/>
        <v/>
      </c>
      <c r="F169" s="7" t="str">
        <f>IF($A169&lt;&gt;"",MAXIFS(Token!$B:$B,Token!$A:$A,$D169),)</f>
        <v/>
      </c>
    </row>
    <row r="170">
      <c r="A170" s="39" t="str">
        <f>IF(AND($L170*1&gt;=$G$3,$L170*1&lt;=$G$4,$I170*$J170&gt;0,OR($I170&lt;&gt;$I171,$L170-$L171&gt;25),$I170/POW(10,$J170)*MAXIFS(Token!$B:$B,Token!$A:$A,$K170)&gt;0.01),$L170/86400+DATE(1970,1,1)+$G$6,)</f>
        <v/>
      </c>
      <c r="B170" s="27" t="str">
        <f t="shared" si="1"/>
        <v/>
      </c>
      <c r="C170" s="14" t="str">
        <f>IF($A170&lt;&gt;"",MINIFS(Merchant!$A:$A,Merchant!$B:$B,$G$2),)</f>
        <v/>
      </c>
      <c r="D170" s="14" t="str">
        <f t="shared" si="2"/>
        <v/>
      </c>
      <c r="E170" s="14" t="str">
        <f t="shared" si="3"/>
        <v/>
      </c>
      <c r="F170" s="7" t="str">
        <f>IF($A170&lt;&gt;"",MAXIFS(Token!$B:$B,Token!$A:$A,$D170),)</f>
        <v/>
      </c>
    </row>
    <row r="171">
      <c r="A171" s="39" t="str">
        <f>IF(AND($L171*1&gt;=$G$3,$L171*1&lt;=$G$4,$I171*$J171&gt;0,OR($I171&lt;&gt;$I172,$L171-$L172&gt;25),$I171/POW(10,$J171)*MAXIFS(Token!$B:$B,Token!$A:$A,$K171)&gt;0.01),$L171/86400+DATE(1970,1,1)+$G$6,)</f>
        <v/>
      </c>
      <c r="B171" s="27" t="str">
        <f t="shared" si="1"/>
        <v/>
      </c>
      <c r="C171" s="14" t="str">
        <f>IF($A171&lt;&gt;"",MINIFS(Merchant!$A:$A,Merchant!$B:$B,$G$2),)</f>
        <v/>
      </c>
      <c r="D171" s="14" t="str">
        <f t="shared" si="2"/>
        <v/>
      </c>
      <c r="E171" s="14" t="str">
        <f t="shared" si="3"/>
        <v/>
      </c>
      <c r="F171" s="7" t="str">
        <f>IF($A171&lt;&gt;"",MAXIFS(Token!$B:$B,Token!$A:$A,$D171),)</f>
        <v/>
      </c>
    </row>
    <row r="172">
      <c r="A172" s="39" t="str">
        <f>IF(AND($L172*1&gt;=$G$3,$L172*1&lt;=$G$4,$I172*$J172&gt;0,OR($I172&lt;&gt;$I173,$L172-$L173&gt;25),$I172/POW(10,$J172)*MAXIFS(Token!$B:$B,Token!$A:$A,$K172)&gt;0.01),$L172/86400+DATE(1970,1,1)+$G$6,)</f>
        <v/>
      </c>
      <c r="B172" s="27" t="str">
        <f t="shared" si="1"/>
        <v/>
      </c>
      <c r="C172" s="14" t="str">
        <f>IF($A172&lt;&gt;"",MINIFS(Merchant!$A:$A,Merchant!$B:$B,$G$2),)</f>
        <v/>
      </c>
      <c r="D172" s="14" t="str">
        <f t="shared" si="2"/>
        <v/>
      </c>
      <c r="E172" s="14" t="str">
        <f t="shared" si="3"/>
        <v/>
      </c>
      <c r="F172" s="7" t="str">
        <f>IF($A172&lt;&gt;"",MAXIFS(Token!$B:$B,Token!$A:$A,$D172),)</f>
        <v/>
      </c>
    </row>
    <row r="173">
      <c r="A173" s="39" t="str">
        <f>IF(AND($L173*1&gt;=$G$3,$L173*1&lt;=$G$4,$I173*$J173&gt;0,OR($I173&lt;&gt;$I174,$L173-$L174&gt;25),$I173/POW(10,$J173)*MAXIFS(Token!$B:$B,Token!$A:$A,$K173)&gt;0.01),$L173/86400+DATE(1970,1,1)+$G$6,)</f>
        <v/>
      </c>
      <c r="B173" s="27" t="str">
        <f t="shared" si="1"/>
        <v/>
      </c>
      <c r="C173" s="14" t="str">
        <f>IF($A173&lt;&gt;"",MINIFS(Merchant!$A:$A,Merchant!$B:$B,$G$2),)</f>
        <v/>
      </c>
      <c r="D173" s="14" t="str">
        <f t="shared" si="2"/>
        <v/>
      </c>
      <c r="E173" s="14" t="str">
        <f t="shared" si="3"/>
        <v/>
      </c>
      <c r="F173" s="7" t="str">
        <f>IF($A173&lt;&gt;"",MAXIFS(Token!$B:$B,Token!$A:$A,$D173),)</f>
        <v/>
      </c>
    </row>
    <row r="174">
      <c r="A174" s="39" t="str">
        <f>IF(AND($L174*1&gt;=$G$3,$L174*1&lt;=$G$4,$I174*$J174&gt;0,OR($I174&lt;&gt;$I175,$L174-$L175&gt;25),$I174/POW(10,$J174)*MAXIFS(Token!$B:$B,Token!$A:$A,$K174)&gt;0.01),$L174/86400+DATE(1970,1,1)+$G$6,)</f>
        <v/>
      </c>
      <c r="B174" s="27" t="str">
        <f t="shared" si="1"/>
        <v/>
      </c>
      <c r="C174" s="14" t="str">
        <f>IF($A174&lt;&gt;"",MINIFS(Merchant!$A:$A,Merchant!$B:$B,$G$2),)</f>
        <v/>
      </c>
      <c r="D174" s="14" t="str">
        <f t="shared" si="2"/>
        <v/>
      </c>
      <c r="E174" s="14" t="str">
        <f t="shared" si="3"/>
        <v/>
      </c>
      <c r="F174" s="7" t="str">
        <f>IF($A174&lt;&gt;"",MAXIFS(Token!$B:$B,Token!$A:$A,$D174),)</f>
        <v/>
      </c>
    </row>
    <row r="175">
      <c r="A175" s="39" t="str">
        <f>IF(AND($L175*1&gt;=$G$3,$L175*1&lt;=$G$4,$I175*$J175&gt;0,OR($I175&lt;&gt;$I176,$L175-$L176&gt;25),$I175/POW(10,$J175)*MAXIFS(Token!$B:$B,Token!$A:$A,$K175)&gt;0.01),$L175/86400+DATE(1970,1,1)+$G$6,)</f>
        <v/>
      </c>
      <c r="B175" s="27" t="str">
        <f t="shared" si="1"/>
        <v/>
      </c>
      <c r="C175" s="14" t="str">
        <f>IF($A175&lt;&gt;"",MINIFS(Merchant!$A:$A,Merchant!$B:$B,$G$2),)</f>
        <v/>
      </c>
      <c r="D175" s="14" t="str">
        <f t="shared" si="2"/>
        <v/>
      </c>
      <c r="E175" s="14" t="str">
        <f t="shared" si="3"/>
        <v/>
      </c>
      <c r="F175" s="7" t="str">
        <f>IF($A175&lt;&gt;"",MAXIFS(Token!$B:$B,Token!$A:$A,$D175),)</f>
        <v/>
      </c>
    </row>
    <row r="176">
      <c r="A176" s="39" t="str">
        <f>IF(AND($L176*1&gt;=$G$3,$L176*1&lt;=$G$4,$I176*$J176&gt;0,OR($I176&lt;&gt;$I177,$L176-$L177&gt;25),$I176/POW(10,$J176)*MAXIFS(Token!$B:$B,Token!$A:$A,$K176)&gt;0.01),$L176/86400+DATE(1970,1,1)+$G$6,)</f>
        <v/>
      </c>
      <c r="B176" s="27" t="str">
        <f t="shared" si="1"/>
        <v/>
      </c>
      <c r="C176" s="14" t="str">
        <f>IF($A176&lt;&gt;"",MINIFS(Merchant!$A:$A,Merchant!$B:$B,$G$2),)</f>
        <v/>
      </c>
      <c r="D176" s="14" t="str">
        <f t="shared" si="2"/>
        <v/>
      </c>
      <c r="E176" s="14" t="str">
        <f t="shared" si="3"/>
        <v/>
      </c>
      <c r="F176" s="7" t="str">
        <f>IF($A176&lt;&gt;"",MAXIFS(Token!$B:$B,Token!$A:$A,$D176),)</f>
        <v/>
      </c>
    </row>
    <row r="177">
      <c r="A177" s="39" t="str">
        <f>IF(AND($L177*1&gt;=$G$3,$L177*1&lt;=$G$4,$I177*$J177&gt;0,OR($I177&lt;&gt;$I178,$L177-$L178&gt;25),$I177/POW(10,$J177)*MAXIFS(Token!$B:$B,Token!$A:$A,$K177)&gt;0.01),$L177/86400+DATE(1970,1,1)+$G$6,)</f>
        <v/>
      </c>
      <c r="B177" s="27" t="str">
        <f t="shared" si="1"/>
        <v/>
      </c>
      <c r="C177" s="14" t="str">
        <f>IF($A177&lt;&gt;"",MINIFS(Merchant!$A:$A,Merchant!$B:$B,$G$2),)</f>
        <v/>
      </c>
      <c r="D177" s="14" t="str">
        <f t="shared" si="2"/>
        <v/>
      </c>
      <c r="E177" s="14" t="str">
        <f t="shared" si="3"/>
        <v/>
      </c>
      <c r="F177" s="7" t="str">
        <f>IF($A177&lt;&gt;"",MAXIFS(Token!$B:$B,Token!$A:$A,$D177),)</f>
        <v/>
      </c>
    </row>
    <row r="178">
      <c r="A178" s="39" t="str">
        <f>IF(AND($L178*1&gt;=$G$3,$L178*1&lt;=$G$4,$I178*$J178&gt;0,OR($I178&lt;&gt;$I179,$L178-$L179&gt;25),$I178/POW(10,$J178)*MAXIFS(Token!$B:$B,Token!$A:$A,$K178)&gt;0.01),$L178/86400+DATE(1970,1,1)+$G$6,)</f>
        <v/>
      </c>
      <c r="B178" s="27" t="str">
        <f t="shared" si="1"/>
        <v/>
      </c>
      <c r="C178" s="14" t="str">
        <f>IF($A178&lt;&gt;"",MINIFS(Merchant!$A:$A,Merchant!$B:$B,$G$2),)</f>
        <v/>
      </c>
      <c r="D178" s="14" t="str">
        <f t="shared" si="2"/>
        <v/>
      </c>
      <c r="E178" s="14" t="str">
        <f t="shared" si="3"/>
        <v/>
      </c>
      <c r="F178" s="7" t="str">
        <f>IF($A178&lt;&gt;"",MAXIFS(Token!$B:$B,Token!$A:$A,$D178),)</f>
        <v/>
      </c>
    </row>
    <row r="179">
      <c r="A179" s="39" t="str">
        <f>IF(AND($L179*1&gt;=$G$3,$L179*1&lt;=$G$4,$I179*$J179&gt;0,OR($I179&lt;&gt;$I180,$L179-$L180&gt;25),$I179/POW(10,$J179)*MAXIFS(Token!$B:$B,Token!$A:$A,$K179)&gt;0.01),$L179/86400+DATE(1970,1,1)+$G$6,)</f>
        <v/>
      </c>
      <c r="B179" s="27" t="str">
        <f t="shared" si="1"/>
        <v/>
      </c>
      <c r="C179" s="14" t="str">
        <f>IF($A179&lt;&gt;"",MINIFS(Merchant!$A:$A,Merchant!$B:$B,$G$2),)</f>
        <v/>
      </c>
      <c r="D179" s="14" t="str">
        <f t="shared" si="2"/>
        <v/>
      </c>
      <c r="E179" s="14" t="str">
        <f t="shared" si="3"/>
        <v/>
      </c>
      <c r="F179" s="7" t="str">
        <f>IF($A179&lt;&gt;"",MAXIFS(Token!$B:$B,Token!$A:$A,$D179),)</f>
        <v/>
      </c>
    </row>
    <row r="180">
      <c r="A180" s="39" t="str">
        <f>IF(AND($L180*1&gt;=$G$3,$L180*1&lt;=$G$4,$I180*$J180&gt;0,OR($I180&lt;&gt;$I181,$L180-$L181&gt;25),$I180/POW(10,$J180)*MAXIFS(Token!$B:$B,Token!$A:$A,$K180)&gt;0.01),$L180/86400+DATE(1970,1,1)+$G$6,)</f>
        <v/>
      </c>
      <c r="B180" s="27" t="str">
        <f t="shared" si="1"/>
        <v/>
      </c>
      <c r="C180" s="14" t="str">
        <f>IF($A180&lt;&gt;"",MINIFS(Merchant!$A:$A,Merchant!$B:$B,$G$2),)</f>
        <v/>
      </c>
      <c r="D180" s="14" t="str">
        <f t="shared" si="2"/>
        <v/>
      </c>
      <c r="E180" s="14" t="str">
        <f t="shared" si="3"/>
        <v/>
      </c>
      <c r="F180" s="7" t="str">
        <f>IF($A180&lt;&gt;"",MAXIFS(Token!$B:$B,Token!$A:$A,$D180),)</f>
        <v/>
      </c>
    </row>
    <row r="181">
      <c r="A181" s="39" t="str">
        <f>IF(AND($L181*1&gt;=$G$3,$L181*1&lt;=$G$4,$I181*$J181&gt;0,OR($I181&lt;&gt;$I182,$L181-$L182&gt;25),$I181/POW(10,$J181)*MAXIFS(Token!$B:$B,Token!$A:$A,$K181)&gt;0.01),$L181/86400+DATE(1970,1,1)+$G$6,)</f>
        <v/>
      </c>
      <c r="B181" s="27" t="str">
        <f t="shared" si="1"/>
        <v/>
      </c>
      <c r="C181" s="14" t="str">
        <f>IF($A181&lt;&gt;"",MINIFS(Merchant!$A:$A,Merchant!$B:$B,$G$2),)</f>
        <v/>
      </c>
      <c r="D181" s="14" t="str">
        <f t="shared" si="2"/>
        <v/>
      </c>
      <c r="E181" s="14" t="str">
        <f t="shared" si="3"/>
        <v/>
      </c>
      <c r="F181" s="7" t="str">
        <f>IF($A181&lt;&gt;"",MAXIFS(Token!$B:$B,Token!$A:$A,$D181),)</f>
        <v/>
      </c>
    </row>
    <row r="182">
      <c r="A182" s="39" t="str">
        <f>IF(AND($L182*1&gt;=$G$3,$L182*1&lt;=$G$4,$I182*$J182&gt;0,OR($I182&lt;&gt;$I183,$L182-$L183&gt;25),$I182/POW(10,$J182)*MAXIFS(Token!$B:$B,Token!$A:$A,$K182)&gt;0.01),$L182/86400+DATE(1970,1,1)+$G$6,)</f>
        <v/>
      </c>
      <c r="B182" s="27" t="str">
        <f t="shared" si="1"/>
        <v/>
      </c>
      <c r="C182" s="14" t="str">
        <f>IF($A182&lt;&gt;"",MINIFS(Merchant!$A:$A,Merchant!$B:$B,$G$2),)</f>
        <v/>
      </c>
      <c r="D182" s="14" t="str">
        <f t="shared" si="2"/>
        <v/>
      </c>
      <c r="E182" s="14" t="str">
        <f t="shared" si="3"/>
        <v/>
      </c>
      <c r="F182" s="7" t="str">
        <f>IF($A182&lt;&gt;"",MAXIFS(Token!$B:$B,Token!$A:$A,$D182),)</f>
        <v/>
      </c>
    </row>
    <row r="183">
      <c r="A183" s="39" t="str">
        <f>IF(AND($L183*1&gt;=$G$3,$L183*1&lt;=$G$4,$I183*$J183&gt;0,OR($I183&lt;&gt;$I184,$L183-$L184&gt;25),$I183/POW(10,$J183)*MAXIFS(Token!$B:$B,Token!$A:$A,$K183)&gt;0.01),$L183/86400+DATE(1970,1,1)+$G$6,)</f>
        <v/>
      </c>
      <c r="B183" s="27" t="str">
        <f t="shared" si="1"/>
        <v/>
      </c>
      <c r="C183" s="14" t="str">
        <f>IF($A183&lt;&gt;"",MINIFS(Merchant!$A:$A,Merchant!$B:$B,$G$2),)</f>
        <v/>
      </c>
      <c r="D183" s="14" t="str">
        <f t="shared" si="2"/>
        <v/>
      </c>
      <c r="E183" s="14" t="str">
        <f t="shared" si="3"/>
        <v/>
      </c>
      <c r="F183" s="7" t="str">
        <f>IF($A183&lt;&gt;"",MAXIFS(Token!$B:$B,Token!$A:$A,$D183),)</f>
        <v/>
      </c>
    </row>
    <row r="184">
      <c r="A184" s="39" t="str">
        <f>IF(AND($L184*1&gt;=$G$3,$L184*1&lt;=$G$4,$I184*$J184&gt;0,OR($I184&lt;&gt;$I185,$L184-$L185&gt;25),$I184/POW(10,$J184)*MAXIFS(Token!$B:$B,Token!$A:$A,$K184)&gt;0.01),$L184/86400+DATE(1970,1,1)+$G$6,)</f>
        <v/>
      </c>
      <c r="B184" s="27" t="str">
        <f t="shared" si="1"/>
        <v/>
      </c>
      <c r="C184" s="14" t="str">
        <f>IF($A184&lt;&gt;"",MINIFS(Merchant!$A:$A,Merchant!$B:$B,$G$2),)</f>
        <v/>
      </c>
      <c r="D184" s="14" t="str">
        <f t="shared" si="2"/>
        <v/>
      </c>
      <c r="E184" s="14" t="str">
        <f t="shared" si="3"/>
        <v/>
      </c>
      <c r="F184" s="7" t="str">
        <f>IF($A184&lt;&gt;"",MAXIFS(Token!$B:$B,Token!$A:$A,$D184),)</f>
        <v/>
      </c>
    </row>
    <row r="185">
      <c r="A185" s="39" t="str">
        <f>IF(AND($L185*1&gt;=$G$3,$L185*1&lt;=$G$4,$I185*$J185&gt;0,OR($I185&lt;&gt;$I186,$L185-$L186&gt;25),$I185/POW(10,$J185)*MAXIFS(Token!$B:$B,Token!$A:$A,$K185)&gt;0.01),$L185/86400+DATE(1970,1,1)+$G$6,)</f>
        <v/>
      </c>
      <c r="B185" s="27" t="str">
        <f t="shared" si="1"/>
        <v/>
      </c>
      <c r="C185" s="14" t="str">
        <f>IF($A185&lt;&gt;"",MINIFS(Merchant!$A:$A,Merchant!$B:$B,$G$2),)</f>
        <v/>
      </c>
      <c r="D185" s="14" t="str">
        <f t="shared" si="2"/>
        <v/>
      </c>
      <c r="E185" s="14" t="str">
        <f t="shared" si="3"/>
        <v/>
      </c>
      <c r="F185" s="7" t="str">
        <f>IF($A185&lt;&gt;"",MAXIFS(Token!$B:$B,Token!$A:$A,$D185),)</f>
        <v/>
      </c>
    </row>
    <row r="186">
      <c r="A186" s="39" t="str">
        <f>IF(AND($L186*1&gt;=$G$3,$L186*1&lt;=$G$4,$I186*$J186&gt;0,OR($I186&lt;&gt;$I187,$L186-$L187&gt;25),$I186/POW(10,$J186)*MAXIFS(Token!$B:$B,Token!$A:$A,$K186)&gt;0.01),$L186/86400+DATE(1970,1,1)+$G$6,)</f>
        <v/>
      </c>
      <c r="B186" s="27" t="str">
        <f t="shared" si="1"/>
        <v/>
      </c>
      <c r="C186" s="14" t="str">
        <f>IF($A186&lt;&gt;"",MINIFS(Merchant!$A:$A,Merchant!$B:$B,$G$2),)</f>
        <v/>
      </c>
      <c r="D186" s="14" t="str">
        <f t="shared" si="2"/>
        <v/>
      </c>
      <c r="E186" s="14" t="str">
        <f t="shared" si="3"/>
        <v/>
      </c>
      <c r="F186" s="7" t="str">
        <f>IF($A186&lt;&gt;"",MAXIFS(Token!$B:$B,Token!$A:$A,$D186),)</f>
        <v/>
      </c>
    </row>
    <row r="187">
      <c r="A187" s="39" t="str">
        <f>IF(AND($L187*1&gt;=$G$3,$L187*1&lt;=$G$4,$I187*$J187&gt;0,OR($I187&lt;&gt;$I188,$L187-$L188&gt;25),$I187/POW(10,$J187)*MAXIFS(Token!$B:$B,Token!$A:$A,$K187)&gt;0.01),$L187/86400+DATE(1970,1,1)+$G$6,)</f>
        <v/>
      </c>
      <c r="B187" s="27" t="str">
        <f t="shared" si="1"/>
        <v/>
      </c>
      <c r="C187" s="14" t="str">
        <f>IF($A187&lt;&gt;"",MINIFS(Merchant!$A:$A,Merchant!$B:$B,$G$2),)</f>
        <v/>
      </c>
      <c r="D187" s="14" t="str">
        <f t="shared" si="2"/>
        <v/>
      </c>
      <c r="E187" s="14" t="str">
        <f t="shared" si="3"/>
        <v/>
      </c>
      <c r="F187" s="7" t="str">
        <f>IF($A187&lt;&gt;"",MAXIFS(Token!$B:$B,Token!$A:$A,$D187),)</f>
        <v/>
      </c>
    </row>
    <row r="188">
      <c r="A188" s="39" t="str">
        <f>IF(AND($L188*1&gt;=$G$3,$L188*1&lt;=$G$4,$I188*$J188&gt;0,OR($I188&lt;&gt;$I189,$L188-$L189&gt;25),$I188/POW(10,$J188)*MAXIFS(Token!$B:$B,Token!$A:$A,$K188)&gt;0.01),$L188/86400+DATE(1970,1,1)+$G$6,)</f>
        <v/>
      </c>
      <c r="B188" s="27" t="str">
        <f t="shared" si="1"/>
        <v/>
      </c>
      <c r="C188" s="14" t="str">
        <f>IF($A188&lt;&gt;"",MINIFS(Merchant!$A:$A,Merchant!$B:$B,$G$2),)</f>
        <v/>
      </c>
      <c r="D188" s="14" t="str">
        <f t="shared" si="2"/>
        <v/>
      </c>
      <c r="E188" s="14" t="str">
        <f t="shared" si="3"/>
        <v/>
      </c>
      <c r="F188" s="7" t="str">
        <f>IF($A188&lt;&gt;"",MAXIFS(Token!$B:$B,Token!$A:$A,$D188),)</f>
        <v/>
      </c>
    </row>
    <row r="189">
      <c r="A189" s="39" t="str">
        <f>IF(AND($L189*1&gt;=$G$3,$L189*1&lt;=$G$4,$I189*$J189&gt;0,OR($I189&lt;&gt;$I190,$L189-$L190&gt;25),$I189/POW(10,$J189)*MAXIFS(Token!$B:$B,Token!$A:$A,$K189)&gt;0.01),$L189/86400+DATE(1970,1,1)+$G$6,)</f>
        <v/>
      </c>
      <c r="B189" s="27" t="str">
        <f t="shared" si="1"/>
        <v/>
      </c>
      <c r="C189" s="14" t="str">
        <f>IF($A189&lt;&gt;"",MINIFS(Merchant!$A:$A,Merchant!$B:$B,$G$2),)</f>
        <v/>
      </c>
      <c r="D189" s="14" t="str">
        <f t="shared" si="2"/>
        <v/>
      </c>
      <c r="E189" s="14" t="str">
        <f t="shared" si="3"/>
        <v/>
      </c>
      <c r="F189" s="7" t="str">
        <f>IF($A189&lt;&gt;"",MAXIFS(Token!$B:$B,Token!$A:$A,$D189),)</f>
        <v/>
      </c>
    </row>
    <row r="190">
      <c r="A190" s="39" t="str">
        <f>IF(AND($L190*1&gt;=$G$3,$L190*1&lt;=$G$4,$I190*$J190&gt;0,OR($I190&lt;&gt;$I191,$L190-$L191&gt;25),$I190/POW(10,$J190)*MAXIFS(Token!$B:$B,Token!$A:$A,$K190)&gt;0.01),$L190/86400+DATE(1970,1,1)+$G$6,)</f>
        <v/>
      </c>
      <c r="B190" s="27" t="str">
        <f t="shared" si="1"/>
        <v/>
      </c>
      <c r="C190" s="14" t="str">
        <f>IF($A190&lt;&gt;"",MINIFS(Merchant!$A:$A,Merchant!$B:$B,$G$2),)</f>
        <v/>
      </c>
      <c r="D190" s="14" t="str">
        <f t="shared" si="2"/>
        <v/>
      </c>
      <c r="E190" s="14" t="str">
        <f t="shared" si="3"/>
        <v/>
      </c>
      <c r="F190" s="7" t="str">
        <f>IF($A190&lt;&gt;"",MAXIFS(Token!$B:$B,Token!$A:$A,$D190),)</f>
        <v/>
      </c>
    </row>
    <row r="191">
      <c r="A191" s="39" t="str">
        <f>IF(AND($L191*1&gt;=$G$3,$L191*1&lt;=$G$4,$I191*$J191&gt;0,OR($I191&lt;&gt;$I192,$L191-$L192&gt;25),$I191/POW(10,$J191)*MAXIFS(Token!$B:$B,Token!$A:$A,$K191)&gt;0.01),$L191/86400+DATE(1970,1,1)+$G$6,)</f>
        <v/>
      </c>
      <c r="B191" s="27" t="str">
        <f t="shared" si="1"/>
        <v/>
      </c>
      <c r="C191" s="14" t="str">
        <f>IF($A191&lt;&gt;"",MINIFS(Merchant!$A:$A,Merchant!$B:$B,$G$2),)</f>
        <v/>
      </c>
      <c r="D191" s="14" t="str">
        <f t="shared" si="2"/>
        <v/>
      </c>
      <c r="E191" s="14" t="str">
        <f t="shared" si="3"/>
        <v/>
      </c>
      <c r="F191" s="7" t="str">
        <f>IF($A191&lt;&gt;"",MAXIFS(Token!$B:$B,Token!$A:$A,$D191),)</f>
        <v/>
      </c>
    </row>
    <row r="192">
      <c r="A192" s="39" t="str">
        <f>IF(AND($L192*1&gt;=$G$3,$L192*1&lt;=$G$4,$I192*$J192&gt;0,OR($I192&lt;&gt;$I193,$L192-$L193&gt;25),$I192/POW(10,$J192)*MAXIFS(Token!$B:$B,Token!$A:$A,$K192)&gt;0.01),$L192/86400+DATE(1970,1,1)+$G$6,)</f>
        <v/>
      </c>
      <c r="B192" s="27" t="str">
        <f t="shared" si="1"/>
        <v/>
      </c>
      <c r="C192" s="14" t="str">
        <f>IF($A192&lt;&gt;"",MINIFS(Merchant!$A:$A,Merchant!$B:$B,$G$2),)</f>
        <v/>
      </c>
      <c r="D192" s="14" t="str">
        <f t="shared" si="2"/>
        <v/>
      </c>
      <c r="E192" s="14" t="str">
        <f t="shared" si="3"/>
        <v/>
      </c>
      <c r="F192" s="7" t="str">
        <f>IF($A192&lt;&gt;"",MAXIFS(Token!$B:$B,Token!$A:$A,$D192),)</f>
        <v/>
      </c>
    </row>
    <row r="193">
      <c r="A193" s="39" t="str">
        <f>IF(AND($L193*1&gt;=$G$3,$L193*1&lt;=$G$4,$I193*$J193&gt;0,OR($I193&lt;&gt;$I194,$L193-$L194&gt;25),$I193/POW(10,$J193)*MAXIFS(Token!$B:$B,Token!$A:$A,$K193)&gt;0.01),$L193/86400+DATE(1970,1,1)+$G$6,)</f>
        <v/>
      </c>
      <c r="B193" s="27" t="str">
        <f t="shared" si="1"/>
        <v/>
      </c>
      <c r="C193" s="14" t="str">
        <f>IF($A193&lt;&gt;"",MINIFS(Merchant!$A:$A,Merchant!$B:$B,$G$2),)</f>
        <v/>
      </c>
      <c r="D193" s="14" t="str">
        <f t="shared" si="2"/>
        <v/>
      </c>
      <c r="E193" s="14" t="str">
        <f t="shared" si="3"/>
        <v/>
      </c>
      <c r="F193" s="7" t="str">
        <f>IF($A193&lt;&gt;"",MAXIFS(Token!$B:$B,Token!$A:$A,$D193),)</f>
        <v/>
      </c>
    </row>
    <row r="194">
      <c r="A194" s="39" t="str">
        <f>IF(AND($L194*1&gt;=$G$3,$L194*1&lt;=$G$4,$I194*$J194&gt;0,OR($I194&lt;&gt;$I195,$L194-$L195&gt;25),$I194/POW(10,$J194)*MAXIFS(Token!$B:$B,Token!$A:$A,$K194)&gt;0.01),$L194/86400+DATE(1970,1,1)+$G$6,)</f>
        <v/>
      </c>
      <c r="B194" s="27" t="str">
        <f t="shared" si="1"/>
        <v/>
      </c>
      <c r="C194" s="14" t="str">
        <f>IF($A194&lt;&gt;"",MINIFS(Merchant!$A:$A,Merchant!$B:$B,$G$2),)</f>
        <v/>
      </c>
      <c r="D194" s="14" t="str">
        <f t="shared" si="2"/>
        <v/>
      </c>
      <c r="E194" s="14" t="str">
        <f t="shared" si="3"/>
        <v/>
      </c>
      <c r="F194" s="7" t="str">
        <f>IF($A194&lt;&gt;"",MAXIFS(Token!$B:$B,Token!$A:$A,$D194),)</f>
        <v/>
      </c>
    </row>
    <row r="195">
      <c r="A195" s="39" t="str">
        <f>IF(AND($L195*1&gt;=$G$3,$L195*1&lt;=$G$4,$I195*$J195&gt;0,OR($I195&lt;&gt;$I196,$L195-$L196&gt;25),$I195/POW(10,$J195)*MAXIFS(Token!$B:$B,Token!$A:$A,$K195)&gt;0.01),$L195/86400+DATE(1970,1,1)+$G$6,)</f>
        <v/>
      </c>
      <c r="B195" s="27" t="str">
        <f t="shared" si="1"/>
        <v/>
      </c>
      <c r="C195" s="14" t="str">
        <f>IF($A195&lt;&gt;"",MINIFS(Merchant!$A:$A,Merchant!$B:$B,$G$2),)</f>
        <v/>
      </c>
      <c r="D195" s="14" t="str">
        <f t="shared" si="2"/>
        <v/>
      </c>
      <c r="E195" s="14" t="str">
        <f t="shared" si="3"/>
        <v/>
      </c>
      <c r="F195" s="7" t="str">
        <f>IF($A195&lt;&gt;"",MAXIFS(Token!$B:$B,Token!$A:$A,$D195),)</f>
        <v/>
      </c>
    </row>
    <row r="196">
      <c r="A196" s="39" t="str">
        <f>IF(AND($L196*1&gt;=$G$3,$L196*1&lt;=$G$4,$I196*$J196&gt;0,OR($I196&lt;&gt;$I197,$L196-$L197&gt;25),$I196/POW(10,$J196)*MAXIFS(Token!$B:$B,Token!$A:$A,$K196)&gt;0.01),$L196/86400+DATE(1970,1,1)+$G$6,)</f>
        <v/>
      </c>
      <c r="B196" s="27" t="str">
        <f t="shared" si="1"/>
        <v/>
      </c>
      <c r="C196" s="14" t="str">
        <f>IF($A196&lt;&gt;"",MINIFS(Merchant!$A:$A,Merchant!$B:$B,$G$2),)</f>
        <v/>
      </c>
      <c r="D196" s="14" t="str">
        <f t="shared" si="2"/>
        <v/>
      </c>
      <c r="E196" s="14" t="str">
        <f t="shared" si="3"/>
        <v/>
      </c>
      <c r="F196" s="7" t="str">
        <f>IF($A196&lt;&gt;"",MAXIFS(Token!$B:$B,Token!$A:$A,$D196),)</f>
        <v/>
      </c>
    </row>
    <row r="197">
      <c r="A197" s="39" t="str">
        <f>IF(AND($L197*1&gt;=$G$3,$L197*1&lt;=$G$4,$I197*$J197&gt;0,OR($I197&lt;&gt;$I198,$L197-$L198&gt;25),$I197/POW(10,$J197)*MAXIFS(Token!$B:$B,Token!$A:$A,$K197)&gt;0.01),$L197/86400+DATE(1970,1,1)+$G$6,)</f>
        <v/>
      </c>
      <c r="B197" s="27" t="str">
        <f t="shared" si="1"/>
        <v/>
      </c>
      <c r="C197" s="14" t="str">
        <f>IF($A197&lt;&gt;"",MINIFS(Merchant!$A:$A,Merchant!$B:$B,$G$2),)</f>
        <v/>
      </c>
      <c r="D197" s="14" t="str">
        <f t="shared" si="2"/>
        <v/>
      </c>
      <c r="E197" s="14" t="str">
        <f t="shared" si="3"/>
        <v/>
      </c>
      <c r="F197" s="7" t="str">
        <f>IF($A197&lt;&gt;"",MAXIFS(Token!$B:$B,Token!$A:$A,$D197),)</f>
        <v/>
      </c>
    </row>
    <row r="198">
      <c r="A198" s="39" t="str">
        <f>IF(AND($L198*1&gt;=$G$3,$L198*1&lt;=$G$4,$I198*$J198&gt;0,OR($I198&lt;&gt;$I199,$L198-$L199&gt;25),$I198/POW(10,$J198)*MAXIFS(Token!$B:$B,Token!$A:$A,$K198)&gt;0.01),$L198/86400+DATE(1970,1,1)+$G$6,)</f>
        <v/>
      </c>
      <c r="B198" s="27" t="str">
        <f t="shared" si="1"/>
        <v/>
      </c>
      <c r="C198" s="14" t="str">
        <f>IF($A198&lt;&gt;"",MINIFS(Merchant!$A:$A,Merchant!$B:$B,$G$2),)</f>
        <v/>
      </c>
      <c r="D198" s="14" t="str">
        <f t="shared" si="2"/>
        <v/>
      </c>
      <c r="E198" s="14" t="str">
        <f t="shared" si="3"/>
        <v/>
      </c>
      <c r="F198" s="7" t="str">
        <f>IF($A198&lt;&gt;"",MAXIFS(Token!$B:$B,Token!$A:$A,$D198),)</f>
        <v/>
      </c>
    </row>
    <row r="199">
      <c r="A199" s="39" t="str">
        <f>IF(AND($L199*1&gt;=$G$3,$L199*1&lt;=$G$4,$I199*$J199&gt;0,OR($I199&lt;&gt;$I200,$L199-$L200&gt;25),$I199/POW(10,$J199)*MAXIFS(Token!$B:$B,Token!$A:$A,$K199)&gt;0.01),$L199/86400+DATE(1970,1,1)+$G$6,)</f>
        <v/>
      </c>
      <c r="B199" s="27" t="str">
        <f t="shared" si="1"/>
        <v/>
      </c>
      <c r="C199" s="14" t="str">
        <f>IF($A199&lt;&gt;"",MINIFS(Merchant!$A:$A,Merchant!$B:$B,$G$2),)</f>
        <v/>
      </c>
      <c r="D199" s="14" t="str">
        <f t="shared" si="2"/>
        <v/>
      </c>
      <c r="E199" s="14" t="str">
        <f t="shared" si="3"/>
        <v/>
      </c>
      <c r="F199" s="7" t="str">
        <f>IF($A199&lt;&gt;"",MAXIFS(Token!$B:$B,Token!$A:$A,$D199),)</f>
        <v/>
      </c>
    </row>
    <row r="200">
      <c r="A200" s="39" t="str">
        <f>IF(AND($L200*1&gt;=$G$3,$L200*1&lt;=$G$4,$I200*$J200&gt;0,OR($I200&lt;&gt;$I201,$L200-$L201&gt;25),$I200/POW(10,$J200)*MAXIFS(Token!$B:$B,Token!$A:$A,$K200)&gt;0.01),$L200/86400+DATE(1970,1,1)+$G$6,)</f>
        <v/>
      </c>
      <c r="B200" s="27" t="str">
        <f t="shared" si="1"/>
        <v/>
      </c>
      <c r="C200" s="14" t="str">
        <f>IF($A200&lt;&gt;"",MINIFS(Merchant!$A:$A,Merchant!$B:$B,$G$2),)</f>
        <v/>
      </c>
      <c r="D200" s="14" t="str">
        <f t="shared" si="2"/>
        <v/>
      </c>
      <c r="E200" s="14" t="str">
        <f t="shared" si="3"/>
        <v/>
      </c>
      <c r="F200" s="7" t="str">
        <f>IF($A200&lt;&gt;"",MAXIFS(Token!$B:$B,Token!$A:$A,$D200),)</f>
        <v/>
      </c>
    </row>
    <row r="201">
      <c r="A201" s="39" t="str">
        <f>IF(AND($L201*1&gt;=$G$3,$L201*1&lt;=$G$4,$I201*$J201&gt;0,OR($I201&lt;&gt;$I202,$L201-$L202&gt;25),$I201/POW(10,$J201)*MAXIFS(Token!$B:$B,Token!$A:$A,$K201)&gt;0.01),$L201/86400+DATE(1970,1,1)+$G$6,)</f>
        <v/>
      </c>
      <c r="B201" s="27" t="str">
        <f t="shared" si="1"/>
        <v/>
      </c>
      <c r="C201" s="14" t="str">
        <f>IF($A201&lt;&gt;"",MINIFS(Merchant!$A:$A,Merchant!$B:$B,$G$2),)</f>
        <v/>
      </c>
      <c r="D201" s="14" t="str">
        <f t="shared" si="2"/>
        <v/>
      </c>
      <c r="E201" s="14" t="str">
        <f t="shared" si="3"/>
        <v/>
      </c>
      <c r="F201" s="7" t="str">
        <f>IF($A201&lt;&gt;"",MAXIFS(Token!$B:$B,Token!$A:$A,$D201),)</f>
        <v/>
      </c>
    </row>
    <row r="202">
      <c r="A202" s="39" t="str">
        <f>IF(AND($L202*1&gt;=$G$3,$L202*1&lt;=$G$4,$I202*$J202&gt;0,OR($I202&lt;&gt;$I203,$L202-$L203&gt;25),$I202/POW(10,$J202)*MAXIFS(Token!$B:$B,Token!$A:$A,$K202)&gt;0.01),$L202/86400+DATE(1970,1,1)+$G$6,)</f>
        <v/>
      </c>
      <c r="B202" s="27" t="str">
        <f t="shared" si="1"/>
        <v/>
      </c>
      <c r="C202" s="14" t="str">
        <f>IF($A202&lt;&gt;"",MINIFS(Merchant!$A:$A,Merchant!$B:$B,$G$2),)</f>
        <v/>
      </c>
      <c r="D202" s="14" t="str">
        <f t="shared" si="2"/>
        <v/>
      </c>
      <c r="E202" s="14" t="str">
        <f t="shared" si="3"/>
        <v/>
      </c>
      <c r="F202" s="7" t="str">
        <f>IF($A202&lt;&gt;"",MAXIFS(Token!$B:$B,Token!$A:$A,$D202),)</f>
        <v/>
      </c>
    </row>
    <row r="203">
      <c r="A203" s="39" t="str">
        <f>IF(AND($L203*1&gt;=$G$3,$L203*1&lt;=$G$4,$I203*$J203&gt;0,OR($I203&lt;&gt;$I204,$L203-$L204&gt;25),$I203/POW(10,$J203)*MAXIFS(Token!$B:$B,Token!$A:$A,$K203)&gt;0.01),$L203/86400+DATE(1970,1,1)+$G$6,)</f>
        <v/>
      </c>
      <c r="B203" s="27" t="str">
        <f t="shared" si="1"/>
        <v/>
      </c>
      <c r="C203" s="14" t="str">
        <f>IF($A203&lt;&gt;"",MINIFS(Merchant!$A:$A,Merchant!$B:$B,$G$2),)</f>
        <v/>
      </c>
      <c r="D203" s="14" t="str">
        <f t="shared" si="2"/>
        <v/>
      </c>
      <c r="E203" s="14" t="str">
        <f t="shared" si="3"/>
        <v/>
      </c>
      <c r="F203" s="7" t="str">
        <f>IF($A203&lt;&gt;"",MAXIFS(Token!$B:$B,Token!$A:$A,$D203),)</f>
        <v/>
      </c>
    </row>
    <row r="204">
      <c r="A204" s="39" t="str">
        <f>IF(AND($L204*1&gt;=$G$3,$L204*1&lt;=$G$4,$I204*$J204&gt;0,OR($I204&lt;&gt;$I205,$L204-$L205&gt;25),$I204/POW(10,$J204)*MAXIFS(Token!$B:$B,Token!$A:$A,$K204)&gt;0.01),$L204/86400+DATE(1970,1,1)+$G$6,)</f>
        <v/>
      </c>
      <c r="B204" s="27" t="str">
        <f t="shared" si="1"/>
        <v/>
      </c>
      <c r="C204" s="14" t="str">
        <f>IF($A204&lt;&gt;"",MINIFS(Merchant!$A:$A,Merchant!$B:$B,$G$2),)</f>
        <v/>
      </c>
      <c r="D204" s="14" t="str">
        <f t="shared" si="2"/>
        <v/>
      </c>
      <c r="E204" s="14" t="str">
        <f t="shared" si="3"/>
        <v/>
      </c>
      <c r="F204" s="7" t="str">
        <f>IF($A204&lt;&gt;"",MAXIFS(Token!$B:$B,Token!$A:$A,$D204),)</f>
        <v/>
      </c>
    </row>
    <row r="205">
      <c r="A205" s="39" t="str">
        <f>IF(AND($L205*1&gt;=$G$3,$L205*1&lt;=$G$4,$I205*$J205&gt;0,OR($I205&lt;&gt;$I206,$L205-$L206&gt;25),$I205/POW(10,$J205)*MAXIFS(Token!$B:$B,Token!$A:$A,$K205)&gt;0.01),$L205/86400+DATE(1970,1,1)+$G$6,)</f>
        <v/>
      </c>
      <c r="B205" s="27" t="str">
        <f t="shared" si="1"/>
        <v/>
      </c>
      <c r="C205" s="14" t="str">
        <f>IF($A205&lt;&gt;"",MINIFS(Merchant!$A:$A,Merchant!$B:$B,$G$2),)</f>
        <v/>
      </c>
      <c r="D205" s="14" t="str">
        <f t="shared" si="2"/>
        <v/>
      </c>
      <c r="E205" s="14" t="str">
        <f t="shared" si="3"/>
        <v/>
      </c>
      <c r="F205" s="7" t="str">
        <f>IF($A205&lt;&gt;"",MAXIFS(Token!$B:$B,Token!$A:$A,$D205),)</f>
        <v/>
      </c>
    </row>
    <row r="206">
      <c r="A206" s="39" t="str">
        <f>IF(AND($L206*1&gt;=$G$3,$L206*1&lt;=$G$4,$I206*$J206&gt;0,OR($I206&lt;&gt;$I207,$L206-$L207&gt;25),$I206/POW(10,$J206)*MAXIFS(Token!$B:$B,Token!$A:$A,$K206)&gt;0.01),$L206/86400+DATE(1970,1,1)+$G$6,)</f>
        <v/>
      </c>
      <c r="B206" s="27" t="str">
        <f t="shared" si="1"/>
        <v/>
      </c>
      <c r="C206" s="14" t="str">
        <f>IF($A206&lt;&gt;"",MINIFS(Merchant!$A:$A,Merchant!$B:$B,$G$2),)</f>
        <v/>
      </c>
      <c r="D206" s="14" t="str">
        <f t="shared" si="2"/>
        <v/>
      </c>
      <c r="E206" s="14" t="str">
        <f t="shared" si="3"/>
        <v/>
      </c>
      <c r="F206" s="7" t="str">
        <f>IF($A206&lt;&gt;"",MAXIFS(Token!$B:$B,Token!$A:$A,$D206),)</f>
        <v/>
      </c>
    </row>
    <row r="207">
      <c r="A207" s="39" t="str">
        <f>IF(AND($L207*1&gt;=$G$3,$L207*1&lt;=$G$4,$I207*$J207&gt;0,OR($I207&lt;&gt;$I208,$L207-$L208&gt;25),$I207/POW(10,$J207)*MAXIFS(Token!$B:$B,Token!$A:$A,$K207)&gt;0.01),$L207/86400+DATE(1970,1,1)+$G$6,)</f>
        <v/>
      </c>
      <c r="B207" s="27" t="str">
        <f t="shared" si="1"/>
        <v/>
      </c>
      <c r="C207" s="14" t="str">
        <f>IF($A207&lt;&gt;"",MINIFS(Merchant!$A:$A,Merchant!$B:$B,$G$2),)</f>
        <v/>
      </c>
      <c r="D207" s="14" t="str">
        <f t="shared" si="2"/>
        <v/>
      </c>
      <c r="E207" s="14" t="str">
        <f t="shared" si="3"/>
        <v/>
      </c>
      <c r="F207" s="7" t="str">
        <f>IF($A207&lt;&gt;"",MAXIFS(Token!$B:$B,Token!$A:$A,$D207),)</f>
        <v/>
      </c>
    </row>
    <row r="208">
      <c r="A208" s="39" t="str">
        <f>IF(AND($L208*1&gt;=$G$3,$L208*1&lt;=$G$4,$I208*$J208&gt;0,OR($I208&lt;&gt;$I209,$L208-$L209&gt;25),$I208/POW(10,$J208)*MAXIFS(Token!$B:$B,Token!$A:$A,$K208)&gt;0.01),$L208/86400+DATE(1970,1,1)+$G$6,)</f>
        <v/>
      </c>
      <c r="B208" s="27" t="str">
        <f t="shared" si="1"/>
        <v/>
      </c>
      <c r="C208" s="14" t="str">
        <f>IF($A208&lt;&gt;"",MINIFS(Merchant!$A:$A,Merchant!$B:$B,$G$2),)</f>
        <v/>
      </c>
      <c r="D208" s="14" t="str">
        <f t="shared" si="2"/>
        <v/>
      </c>
      <c r="E208" s="14" t="str">
        <f t="shared" si="3"/>
        <v/>
      </c>
      <c r="F208" s="7" t="str">
        <f>IF($A208&lt;&gt;"",MAXIFS(Token!$B:$B,Token!$A:$A,$D208),)</f>
        <v/>
      </c>
    </row>
    <row r="209">
      <c r="A209" s="39" t="str">
        <f>IF(AND($L209*1&gt;=$G$3,$L209*1&lt;=$G$4,$I209*$J209&gt;0,OR($I209&lt;&gt;$I210,$L209-$L210&gt;25),$I209/POW(10,$J209)*MAXIFS(Token!$B:$B,Token!$A:$A,$K209)&gt;0.01),$L209/86400+DATE(1970,1,1)+$G$6,)</f>
        <v/>
      </c>
      <c r="B209" s="27" t="str">
        <f t="shared" si="1"/>
        <v/>
      </c>
      <c r="C209" s="14" t="str">
        <f>IF($A209&lt;&gt;"",MINIFS(Merchant!$A:$A,Merchant!$B:$B,$G$2),)</f>
        <v/>
      </c>
      <c r="D209" s="14" t="str">
        <f t="shared" si="2"/>
        <v/>
      </c>
      <c r="E209" s="14" t="str">
        <f t="shared" si="3"/>
        <v/>
      </c>
      <c r="F209" s="7" t="str">
        <f>IF($A209&lt;&gt;"",MAXIFS(Token!$B:$B,Token!$A:$A,$D209),)</f>
        <v/>
      </c>
    </row>
    <row r="210">
      <c r="A210" s="39" t="str">
        <f>IF(AND($L210*1&gt;=$G$3,$L210*1&lt;=$G$4,$I210*$J210&gt;0,OR($I210&lt;&gt;$I211,$L210-$L211&gt;25),$I210/POW(10,$J210)*MAXIFS(Token!$B:$B,Token!$A:$A,$K210)&gt;0.01),$L210/86400+DATE(1970,1,1)+$G$6,)</f>
        <v/>
      </c>
      <c r="B210" s="27" t="str">
        <f t="shared" si="1"/>
        <v/>
      </c>
      <c r="C210" s="14" t="str">
        <f>IF($A210&lt;&gt;"",MINIFS(Merchant!$A:$A,Merchant!$B:$B,$G$2),)</f>
        <v/>
      </c>
      <c r="D210" s="14" t="str">
        <f t="shared" si="2"/>
        <v/>
      </c>
      <c r="E210" s="14" t="str">
        <f t="shared" si="3"/>
        <v/>
      </c>
      <c r="F210" s="7" t="str">
        <f>IF($A210&lt;&gt;"",MAXIFS(Token!$B:$B,Token!$A:$A,$D210),)</f>
        <v/>
      </c>
    </row>
    <row r="211">
      <c r="A211" s="39" t="str">
        <f>IF(AND($L211*1&gt;=$G$3,$L211*1&lt;=$G$4,$I211*$J211&gt;0,OR($I211&lt;&gt;$I212,$L211-$L212&gt;25),$I211/POW(10,$J211)*MAXIFS(Token!$B:$B,Token!$A:$A,$K211)&gt;0.01),$L211/86400+DATE(1970,1,1)+$G$6,)</f>
        <v/>
      </c>
      <c r="B211" s="27" t="str">
        <f t="shared" si="1"/>
        <v/>
      </c>
      <c r="C211" s="14" t="str">
        <f>IF($A211&lt;&gt;"",MINIFS(Merchant!$A:$A,Merchant!$B:$B,$G$2),)</f>
        <v/>
      </c>
      <c r="D211" s="14" t="str">
        <f t="shared" si="2"/>
        <v/>
      </c>
      <c r="E211" s="14" t="str">
        <f t="shared" si="3"/>
        <v/>
      </c>
      <c r="F211" s="7" t="str">
        <f>IF($A211&lt;&gt;"",MAXIFS(Token!$B:$B,Token!$A:$A,$D211),)</f>
        <v/>
      </c>
    </row>
    <row r="212">
      <c r="A212" s="39" t="str">
        <f>IF(AND($L212*1&gt;=$G$3,$L212*1&lt;=$G$4,$I212*$J212&gt;0,OR($I212&lt;&gt;$I213,$L212-$L213&gt;25),$I212/POW(10,$J212)*MAXIFS(Token!$B:$B,Token!$A:$A,$K212)&gt;0.01),$L212/86400+DATE(1970,1,1)+$G$6,)</f>
        <v/>
      </c>
      <c r="B212" s="27" t="str">
        <f t="shared" si="1"/>
        <v/>
      </c>
      <c r="C212" s="14" t="str">
        <f>IF($A212&lt;&gt;"",MINIFS(Merchant!$A:$A,Merchant!$B:$B,$G$2),)</f>
        <v/>
      </c>
      <c r="D212" s="14" t="str">
        <f t="shared" si="2"/>
        <v/>
      </c>
      <c r="E212" s="14" t="str">
        <f t="shared" si="3"/>
        <v/>
      </c>
      <c r="F212" s="7" t="str">
        <f>IF($A212&lt;&gt;"",MAXIFS(Token!$B:$B,Token!$A:$A,$D212),)</f>
        <v/>
      </c>
    </row>
    <row r="213">
      <c r="A213" s="39" t="str">
        <f>IF(AND($L213*1&gt;=$G$3,$L213*1&lt;=$G$4,$I213*$J213&gt;0,OR($I213&lt;&gt;$I214,$L213-$L214&gt;25),$I213/POW(10,$J213)*MAXIFS(Token!$B:$B,Token!$A:$A,$K213)&gt;0.01),$L213/86400+DATE(1970,1,1)+$G$6,)</f>
        <v/>
      </c>
      <c r="B213" s="27" t="str">
        <f t="shared" si="1"/>
        <v/>
      </c>
      <c r="C213" s="14" t="str">
        <f>IF($A213&lt;&gt;"",MINIFS(Merchant!$A:$A,Merchant!$B:$B,$G$2),)</f>
        <v/>
      </c>
      <c r="D213" s="14" t="str">
        <f t="shared" si="2"/>
        <v/>
      </c>
      <c r="E213" s="14" t="str">
        <f t="shared" si="3"/>
        <v/>
      </c>
      <c r="F213" s="7" t="str">
        <f>IF($A213&lt;&gt;"",MAXIFS(Token!$B:$B,Token!$A:$A,$D213),)</f>
        <v/>
      </c>
    </row>
    <row r="214">
      <c r="A214" s="39" t="str">
        <f>IF(AND($L214*1&gt;=$G$3,$L214*1&lt;=$G$4,$I214*$J214&gt;0,OR($I214&lt;&gt;$I215,$L214-$L215&gt;25),$I214/POW(10,$J214)*MAXIFS(Token!$B:$B,Token!$A:$A,$K214)&gt;0.01),$L214/86400+DATE(1970,1,1)+$G$6,)</f>
        <v/>
      </c>
      <c r="B214" s="27" t="str">
        <f t="shared" si="1"/>
        <v/>
      </c>
      <c r="C214" s="14" t="str">
        <f>IF($A214&lt;&gt;"",MINIFS(Merchant!$A:$A,Merchant!$B:$B,$G$2),)</f>
        <v/>
      </c>
      <c r="D214" s="14" t="str">
        <f t="shared" si="2"/>
        <v/>
      </c>
      <c r="E214" s="14" t="str">
        <f t="shared" si="3"/>
        <v/>
      </c>
      <c r="F214" s="7" t="str">
        <f>IF($A214&lt;&gt;"",MAXIFS(Token!$B:$B,Token!$A:$A,$D214),)</f>
        <v/>
      </c>
    </row>
    <row r="215">
      <c r="A215" s="39" t="str">
        <f>IF(AND($L215*1&gt;=$G$3,$L215*1&lt;=$G$4,$I215*$J215&gt;0,OR($I215&lt;&gt;$I216,$L215-$L216&gt;25),$I215/POW(10,$J215)*MAXIFS(Token!$B:$B,Token!$A:$A,$K215)&gt;0.01),$L215/86400+DATE(1970,1,1)+$G$6,)</f>
        <v/>
      </c>
      <c r="B215" s="27" t="str">
        <f t="shared" si="1"/>
        <v/>
      </c>
      <c r="C215" s="14" t="str">
        <f>IF($A215&lt;&gt;"",MINIFS(Merchant!$A:$A,Merchant!$B:$B,$G$2),)</f>
        <v/>
      </c>
      <c r="D215" s="14" t="str">
        <f t="shared" si="2"/>
        <v/>
      </c>
      <c r="E215" s="14" t="str">
        <f t="shared" si="3"/>
        <v/>
      </c>
      <c r="F215" s="7" t="str">
        <f>IF($A215&lt;&gt;"",MAXIFS(Token!$B:$B,Token!$A:$A,$D215),)</f>
        <v/>
      </c>
    </row>
    <row r="216">
      <c r="A216" s="39" t="str">
        <f>IF(AND($L216*1&gt;=$G$3,$L216*1&lt;=$G$4,$I216*$J216&gt;0,OR($I216&lt;&gt;$I217,$L216-$L217&gt;25),$I216/POW(10,$J216)*MAXIFS(Token!$B:$B,Token!$A:$A,$K216)&gt;0.01),$L216/86400+DATE(1970,1,1)+$G$6,)</f>
        <v/>
      </c>
      <c r="B216" s="27" t="str">
        <f t="shared" si="1"/>
        <v/>
      </c>
      <c r="C216" s="14" t="str">
        <f>IF($A216&lt;&gt;"",MINIFS(Merchant!$A:$A,Merchant!$B:$B,$G$2),)</f>
        <v/>
      </c>
      <c r="D216" s="14" t="str">
        <f t="shared" si="2"/>
        <v/>
      </c>
      <c r="E216" s="14" t="str">
        <f t="shared" si="3"/>
        <v/>
      </c>
      <c r="F216" s="7" t="str">
        <f>IF($A216&lt;&gt;"",MAXIFS(Token!$B:$B,Token!$A:$A,$D216),)</f>
        <v/>
      </c>
    </row>
    <row r="217">
      <c r="A217" s="39" t="str">
        <f>IF(AND($L217*1&gt;=$G$3,$L217*1&lt;=$G$4,$I217*$J217&gt;0,OR($I217&lt;&gt;$I218,$L217-$L218&gt;25),$I217/POW(10,$J217)*MAXIFS(Token!$B:$B,Token!$A:$A,$K217)&gt;0.01),$L217/86400+DATE(1970,1,1)+$G$6,)</f>
        <v/>
      </c>
      <c r="B217" s="27" t="str">
        <f t="shared" si="1"/>
        <v/>
      </c>
      <c r="C217" s="14" t="str">
        <f>IF($A217&lt;&gt;"",MINIFS(Merchant!$A:$A,Merchant!$B:$B,$G$2),)</f>
        <v/>
      </c>
      <c r="D217" s="14" t="str">
        <f t="shared" si="2"/>
        <v/>
      </c>
      <c r="E217" s="14" t="str">
        <f t="shared" si="3"/>
        <v/>
      </c>
      <c r="F217" s="7" t="str">
        <f>IF($A217&lt;&gt;"",MAXIFS(Token!$B:$B,Token!$A:$A,$D217),)</f>
        <v/>
      </c>
    </row>
    <row r="218">
      <c r="A218" s="39" t="str">
        <f>IF(AND($L218*1&gt;=$G$3,$L218*1&lt;=$G$4,$I218*$J218&gt;0,OR($I218&lt;&gt;$I219,$L218-$L219&gt;25),$I218/POW(10,$J218)*MAXIFS(Token!$B:$B,Token!$A:$A,$K218)&gt;0.01),$L218/86400+DATE(1970,1,1)+$G$6,)</f>
        <v/>
      </c>
      <c r="B218" s="27" t="str">
        <f t="shared" si="1"/>
        <v/>
      </c>
      <c r="C218" s="14" t="str">
        <f>IF($A218&lt;&gt;"",MINIFS(Merchant!$A:$A,Merchant!$B:$B,$G$2),)</f>
        <v/>
      </c>
      <c r="D218" s="14" t="str">
        <f t="shared" si="2"/>
        <v/>
      </c>
      <c r="E218" s="14" t="str">
        <f t="shared" si="3"/>
        <v/>
      </c>
      <c r="F218" s="7" t="str">
        <f>IF($A218&lt;&gt;"",MAXIFS(Token!$B:$B,Token!$A:$A,$D218),)</f>
        <v/>
      </c>
    </row>
    <row r="219">
      <c r="A219" s="39" t="str">
        <f>IF(AND($L219*1&gt;=$G$3,$L219*1&lt;=$G$4,$I219*$J219&gt;0,OR($I219&lt;&gt;$I220,$L219-$L220&gt;25),$I219/POW(10,$J219)*MAXIFS(Token!$B:$B,Token!$A:$A,$K219)&gt;0.01),$L219/86400+DATE(1970,1,1)+$G$6,)</f>
        <v/>
      </c>
      <c r="B219" s="27" t="str">
        <f t="shared" si="1"/>
        <v/>
      </c>
      <c r="C219" s="14" t="str">
        <f>IF($A219&lt;&gt;"",MINIFS(Merchant!$A:$A,Merchant!$B:$B,$G$2),)</f>
        <v/>
      </c>
      <c r="D219" s="14" t="str">
        <f t="shared" si="2"/>
        <v/>
      </c>
      <c r="E219" s="14" t="str">
        <f t="shared" si="3"/>
        <v/>
      </c>
      <c r="F219" s="7" t="str">
        <f>IF($A219&lt;&gt;"",MAXIFS(Token!$B:$B,Token!$A:$A,$D219),)</f>
        <v/>
      </c>
    </row>
    <row r="220">
      <c r="A220" s="39" t="str">
        <f>IF(AND($L220*1&gt;=$G$3,$L220*1&lt;=$G$4,$I220*$J220&gt;0,OR($I220&lt;&gt;$I221,$L220-$L221&gt;25),$I220/POW(10,$J220)*MAXIFS(Token!$B:$B,Token!$A:$A,$K220)&gt;0.01),$L220/86400+DATE(1970,1,1)+$G$6,)</f>
        <v/>
      </c>
      <c r="B220" s="27" t="str">
        <f t="shared" si="1"/>
        <v/>
      </c>
      <c r="C220" s="14" t="str">
        <f>IF($A220&lt;&gt;"",MINIFS(Merchant!$A:$A,Merchant!$B:$B,$G$2),)</f>
        <v/>
      </c>
      <c r="D220" s="14" t="str">
        <f t="shared" si="2"/>
        <v/>
      </c>
      <c r="E220" s="14" t="str">
        <f t="shared" si="3"/>
        <v/>
      </c>
      <c r="F220" s="7" t="str">
        <f>IF($A220&lt;&gt;"",MAXIFS(Token!$B:$B,Token!$A:$A,$D220),)</f>
        <v/>
      </c>
    </row>
    <row r="221">
      <c r="A221" s="39" t="str">
        <f>IF(AND($L221*1&gt;=$G$3,$L221*1&lt;=$G$4,$I221*$J221&gt;0,OR($I221&lt;&gt;$I222,$L221-$L222&gt;25),$I221/POW(10,$J221)*MAXIFS(Token!$B:$B,Token!$A:$A,$K221)&gt;0.01),$L221/86400+DATE(1970,1,1)+$G$6,)</f>
        <v/>
      </c>
      <c r="B221" s="27" t="str">
        <f t="shared" si="1"/>
        <v/>
      </c>
      <c r="C221" s="14" t="str">
        <f>IF($A221&lt;&gt;"",MINIFS(Merchant!$A:$A,Merchant!$B:$B,$G$2),)</f>
        <v/>
      </c>
      <c r="D221" s="14" t="str">
        <f t="shared" si="2"/>
        <v/>
      </c>
      <c r="E221" s="14" t="str">
        <f t="shared" si="3"/>
        <v/>
      </c>
      <c r="F221" s="7" t="str">
        <f>IF($A221&lt;&gt;"",MAXIFS(Token!$B:$B,Token!$A:$A,$D221),)</f>
        <v/>
      </c>
    </row>
    <row r="222">
      <c r="A222" s="39" t="str">
        <f>IF(AND($L222*1&gt;=$G$3,$L222*1&lt;=$G$4,$I222*$J222&gt;0,OR($I222&lt;&gt;$I223,$L222-$L223&gt;25),$I222/POW(10,$J222)*MAXIFS(Token!$B:$B,Token!$A:$A,$K222)&gt;0.01),$L222/86400+DATE(1970,1,1)+$G$6,)</f>
        <v/>
      </c>
      <c r="B222" s="27" t="str">
        <f t="shared" si="1"/>
        <v/>
      </c>
      <c r="C222" s="14" t="str">
        <f>IF($A222&lt;&gt;"",MINIFS(Merchant!$A:$A,Merchant!$B:$B,$G$2),)</f>
        <v/>
      </c>
      <c r="D222" s="14" t="str">
        <f t="shared" si="2"/>
        <v/>
      </c>
      <c r="E222" s="14" t="str">
        <f t="shared" si="3"/>
        <v/>
      </c>
      <c r="F222" s="7" t="str">
        <f>IF($A222&lt;&gt;"",MAXIFS(Token!$B:$B,Token!$A:$A,$D222),)</f>
        <v/>
      </c>
    </row>
    <row r="223">
      <c r="A223" s="39" t="str">
        <f>IF(AND($L223*1&gt;=$G$3,$L223*1&lt;=$G$4,$I223*$J223&gt;0,OR($I223&lt;&gt;$I224,$L223-$L224&gt;25),$I223/POW(10,$J223)*MAXIFS(Token!$B:$B,Token!$A:$A,$K223)&gt;0.01),$L223/86400+DATE(1970,1,1)+$G$6,)</f>
        <v/>
      </c>
      <c r="B223" s="27" t="str">
        <f t="shared" si="1"/>
        <v/>
      </c>
      <c r="C223" s="14" t="str">
        <f>IF($A223&lt;&gt;"",MINIFS(Merchant!$A:$A,Merchant!$B:$B,$G$2),)</f>
        <v/>
      </c>
      <c r="D223" s="14" t="str">
        <f t="shared" si="2"/>
        <v/>
      </c>
      <c r="E223" s="14" t="str">
        <f t="shared" si="3"/>
        <v/>
      </c>
      <c r="F223" s="7" t="str">
        <f>IF($A223&lt;&gt;"",MAXIFS(Token!$B:$B,Token!$A:$A,$D223),)</f>
        <v/>
      </c>
    </row>
    <row r="224">
      <c r="A224" s="39" t="str">
        <f>IF(AND($L224*1&gt;=$G$3,$L224*1&lt;=$G$4,$I224*$J224&gt;0,OR($I224&lt;&gt;$I225,$L224-$L225&gt;25),$I224/POW(10,$J224)*MAXIFS(Token!$B:$B,Token!$A:$A,$K224)&gt;0.01),$L224/86400+DATE(1970,1,1)+$G$6,)</f>
        <v/>
      </c>
      <c r="B224" s="27" t="str">
        <f t="shared" si="1"/>
        <v/>
      </c>
      <c r="C224" s="14" t="str">
        <f>IF($A224&lt;&gt;"",MINIFS(Merchant!$A:$A,Merchant!$B:$B,$G$2),)</f>
        <v/>
      </c>
      <c r="D224" s="14" t="str">
        <f t="shared" si="2"/>
        <v/>
      </c>
      <c r="E224" s="14" t="str">
        <f t="shared" si="3"/>
        <v/>
      </c>
      <c r="F224" s="7" t="str">
        <f>IF($A224&lt;&gt;"",MAXIFS(Token!$B:$B,Token!$A:$A,$D224),)</f>
        <v/>
      </c>
    </row>
    <row r="225">
      <c r="A225" s="39" t="str">
        <f>IF(AND($L225*1&gt;=$G$3,$L225*1&lt;=$G$4,$I225*$J225&gt;0,OR($I225&lt;&gt;$I226,$L225-$L226&gt;25),$I225/POW(10,$J225)*MAXIFS(Token!$B:$B,Token!$A:$A,$K225)&gt;0.01),$L225/86400+DATE(1970,1,1)+$G$6,)</f>
        <v/>
      </c>
      <c r="B225" s="27" t="str">
        <f t="shared" si="1"/>
        <v/>
      </c>
      <c r="C225" s="14" t="str">
        <f>IF($A225&lt;&gt;"",MINIFS(Merchant!$A:$A,Merchant!$B:$B,$G$2),)</f>
        <v/>
      </c>
      <c r="D225" s="14" t="str">
        <f t="shared" si="2"/>
        <v/>
      </c>
      <c r="E225" s="14" t="str">
        <f t="shared" si="3"/>
        <v/>
      </c>
      <c r="F225" s="7" t="str">
        <f>IF($A225&lt;&gt;"",MAXIFS(Token!$B:$B,Token!$A:$A,$D225),)</f>
        <v/>
      </c>
    </row>
    <row r="226">
      <c r="A226" s="39" t="str">
        <f>IF(AND($L226*1&gt;=$G$3,$L226*1&lt;=$G$4,$I226*$J226&gt;0,OR($I226&lt;&gt;$I227,$L226-$L227&gt;25),$I226/POW(10,$J226)*MAXIFS(Token!$B:$B,Token!$A:$A,$K226)&gt;0.01),$L226/86400+DATE(1970,1,1)+$G$6,)</f>
        <v/>
      </c>
      <c r="B226" s="27" t="str">
        <f t="shared" si="1"/>
        <v/>
      </c>
      <c r="C226" s="14" t="str">
        <f>IF($A226&lt;&gt;"",MINIFS(Merchant!$A:$A,Merchant!$B:$B,$G$2),)</f>
        <v/>
      </c>
      <c r="D226" s="14" t="str">
        <f t="shared" si="2"/>
        <v/>
      </c>
      <c r="E226" s="14" t="str">
        <f t="shared" si="3"/>
        <v/>
      </c>
      <c r="F226" s="7" t="str">
        <f>IF($A226&lt;&gt;"",MAXIFS(Token!$B:$B,Token!$A:$A,$D226),)</f>
        <v/>
      </c>
    </row>
    <row r="227">
      <c r="A227" s="39" t="str">
        <f>IF(AND($L227*1&gt;=$G$3,$L227*1&lt;=$G$4,$I227*$J227&gt;0,OR($I227&lt;&gt;$I228,$L227-$L228&gt;25),$I227/POW(10,$J227)*MAXIFS(Token!$B:$B,Token!$A:$A,$K227)&gt;0.01),$L227/86400+DATE(1970,1,1)+$G$6,)</f>
        <v/>
      </c>
      <c r="B227" s="27" t="str">
        <f t="shared" si="1"/>
        <v/>
      </c>
      <c r="C227" s="14" t="str">
        <f>IF($A227&lt;&gt;"",MINIFS(Merchant!$A:$A,Merchant!$B:$B,$G$2),)</f>
        <v/>
      </c>
      <c r="D227" s="14" t="str">
        <f t="shared" si="2"/>
        <v/>
      </c>
      <c r="E227" s="14" t="str">
        <f t="shared" si="3"/>
        <v/>
      </c>
      <c r="F227" s="7" t="str">
        <f>IF($A227&lt;&gt;"",MAXIFS(Token!$B:$B,Token!$A:$A,$D227),)</f>
        <v/>
      </c>
    </row>
    <row r="228">
      <c r="A228" s="39" t="str">
        <f>IF(AND($L228*1&gt;=$G$3,$L228*1&lt;=$G$4,$I228*$J228&gt;0,OR($I228&lt;&gt;$I229,$L228-$L229&gt;25),$I228/POW(10,$J228)*MAXIFS(Token!$B:$B,Token!$A:$A,$K228)&gt;0.01),$L228/86400+DATE(1970,1,1)+$G$6,)</f>
        <v/>
      </c>
      <c r="B228" s="27" t="str">
        <f t="shared" si="1"/>
        <v/>
      </c>
      <c r="C228" s="14" t="str">
        <f>IF($A228&lt;&gt;"",MINIFS(Merchant!$A:$A,Merchant!$B:$B,$G$2),)</f>
        <v/>
      </c>
      <c r="D228" s="14" t="str">
        <f t="shared" si="2"/>
        <v/>
      </c>
      <c r="E228" s="14" t="str">
        <f t="shared" si="3"/>
        <v/>
      </c>
      <c r="F228" s="7" t="str">
        <f>IF($A228&lt;&gt;"",MAXIFS(Token!$B:$B,Token!$A:$A,$D228),)</f>
        <v/>
      </c>
    </row>
    <row r="229">
      <c r="A229" s="39" t="str">
        <f>IF(AND($L229*1&gt;=$G$3,$L229*1&lt;=$G$4,$I229*$J229&gt;0,OR($I229&lt;&gt;$I230,$L229-$L230&gt;25),$I229/POW(10,$J229)*MAXIFS(Token!$B:$B,Token!$A:$A,$K229)&gt;0.01),$L229/86400+DATE(1970,1,1)+$G$6,)</f>
        <v/>
      </c>
      <c r="B229" s="27" t="str">
        <f t="shared" si="1"/>
        <v/>
      </c>
      <c r="C229" s="14" t="str">
        <f>IF($A229&lt;&gt;"",MINIFS(Merchant!$A:$A,Merchant!$B:$B,$G$2),)</f>
        <v/>
      </c>
      <c r="D229" s="14" t="str">
        <f t="shared" si="2"/>
        <v/>
      </c>
      <c r="E229" s="14" t="str">
        <f t="shared" si="3"/>
        <v/>
      </c>
      <c r="F229" s="7" t="str">
        <f>IF($A229&lt;&gt;"",MAXIFS(Token!$B:$B,Token!$A:$A,$D229),)</f>
        <v/>
      </c>
    </row>
    <row r="230">
      <c r="A230" s="39" t="str">
        <f>IF(AND($L230*1&gt;=$G$3,$L230*1&lt;=$G$4,$I230*$J230&gt;0,OR($I230&lt;&gt;$I231,$L230-$L231&gt;25),$I230/POW(10,$J230)*MAXIFS(Token!$B:$B,Token!$A:$A,$K230)&gt;0.01),$L230/86400+DATE(1970,1,1)+$G$6,)</f>
        <v/>
      </c>
      <c r="B230" s="27" t="str">
        <f t="shared" si="1"/>
        <v/>
      </c>
      <c r="C230" s="14" t="str">
        <f>IF($A230&lt;&gt;"",MINIFS(Merchant!$A:$A,Merchant!$B:$B,$G$2),)</f>
        <v/>
      </c>
      <c r="D230" s="14" t="str">
        <f t="shared" si="2"/>
        <v/>
      </c>
      <c r="E230" s="14" t="str">
        <f t="shared" si="3"/>
        <v/>
      </c>
      <c r="F230" s="7" t="str">
        <f>IF($A230&lt;&gt;"",MAXIFS(Token!$B:$B,Token!$A:$A,$D230),)</f>
        <v/>
      </c>
    </row>
    <row r="231">
      <c r="A231" s="39" t="str">
        <f>IF(AND($L231*1&gt;=$G$3,$L231*1&lt;=$G$4,$I231*$J231&gt;0,OR($I231&lt;&gt;$I232,$L231-$L232&gt;25),$I231/POW(10,$J231)*MAXIFS(Token!$B:$B,Token!$A:$A,$K231)&gt;0.01),$L231/86400+DATE(1970,1,1)+$G$6,)</f>
        <v/>
      </c>
      <c r="B231" s="27" t="str">
        <f t="shared" si="1"/>
        <v/>
      </c>
      <c r="C231" s="14" t="str">
        <f>IF($A231&lt;&gt;"",MINIFS(Merchant!$A:$A,Merchant!$B:$B,$G$2),)</f>
        <v/>
      </c>
      <c r="D231" s="14" t="str">
        <f t="shared" si="2"/>
        <v/>
      </c>
      <c r="E231" s="14" t="str">
        <f t="shared" si="3"/>
        <v/>
      </c>
      <c r="F231" s="7" t="str">
        <f>IF($A231&lt;&gt;"",MAXIFS(Token!$B:$B,Token!$A:$A,$D231),)</f>
        <v/>
      </c>
    </row>
    <row r="232">
      <c r="A232" s="39" t="str">
        <f>IF(AND($L232*1&gt;=$G$3,$L232*1&lt;=$G$4,$I232*$J232&gt;0,OR($I232&lt;&gt;$I233,$L232-$L233&gt;25),$I232/POW(10,$J232)*MAXIFS(Token!$B:$B,Token!$A:$A,$K232)&gt;0.01),$L232/86400+DATE(1970,1,1)+$G$6,)</f>
        <v/>
      </c>
      <c r="B232" s="27" t="str">
        <f t="shared" si="1"/>
        <v/>
      </c>
      <c r="C232" s="14" t="str">
        <f>IF($A232&lt;&gt;"",MINIFS(Merchant!$A:$A,Merchant!$B:$B,$G$2),)</f>
        <v/>
      </c>
      <c r="D232" s="14" t="str">
        <f t="shared" si="2"/>
        <v/>
      </c>
      <c r="E232" s="14" t="str">
        <f t="shared" si="3"/>
        <v/>
      </c>
      <c r="F232" s="7" t="str">
        <f>IF($A232&lt;&gt;"",MAXIFS(Token!$B:$B,Token!$A:$A,$D232),)</f>
        <v/>
      </c>
    </row>
    <row r="233">
      <c r="A233" s="39" t="str">
        <f>IF(AND($L233*1&gt;=$G$3,$L233*1&lt;=$G$4,$I233*$J233&gt;0,OR($I233&lt;&gt;$I234,$L233-$L234&gt;25),$I233/POW(10,$J233)*MAXIFS(Token!$B:$B,Token!$A:$A,$K233)&gt;0.01),$L233/86400+DATE(1970,1,1)+$G$6,)</f>
        <v/>
      </c>
      <c r="B233" s="27" t="str">
        <f t="shared" si="1"/>
        <v/>
      </c>
      <c r="C233" s="14" t="str">
        <f>IF($A233&lt;&gt;"",MINIFS(Merchant!$A:$A,Merchant!$B:$B,$G$2),)</f>
        <v/>
      </c>
      <c r="D233" s="14" t="str">
        <f t="shared" si="2"/>
        <v/>
      </c>
      <c r="E233" s="14" t="str">
        <f t="shared" si="3"/>
        <v/>
      </c>
      <c r="F233" s="7" t="str">
        <f>IF($A233&lt;&gt;"",MAXIFS(Token!$B:$B,Token!$A:$A,$D233),)</f>
        <v/>
      </c>
    </row>
    <row r="234">
      <c r="A234" s="39" t="str">
        <f>IF(AND($L234*1&gt;=$G$3,$L234*1&lt;=$G$4,$I234*$J234&gt;0,OR($I234&lt;&gt;$I235,$L234-$L235&gt;25),$I234/POW(10,$J234)*MAXIFS(Token!$B:$B,Token!$A:$A,$K234)&gt;0.01),$L234/86400+DATE(1970,1,1)+$G$6,)</f>
        <v/>
      </c>
      <c r="B234" s="27" t="str">
        <f t="shared" si="1"/>
        <v/>
      </c>
      <c r="C234" s="14" t="str">
        <f>IF($A234&lt;&gt;"",MINIFS(Merchant!$A:$A,Merchant!$B:$B,$G$2),)</f>
        <v/>
      </c>
      <c r="D234" s="14" t="str">
        <f t="shared" si="2"/>
        <v/>
      </c>
      <c r="E234" s="14" t="str">
        <f t="shared" si="3"/>
        <v/>
      </c>
      <c r="F234" s="7" t="str">
        <f>IF($A234&lt;&gt;"",MAXIFS(Token!$B:$B,Token!$A:$A,$D234),)</f>
        <v/>
      </c>
    </row>
    <row r="235">
      <c r="A235" s="39" t="str">
        <f>IF(AND($L235*1&gt;=$G$3,$L235*1&lt;=$G$4,$I235*$J235&gt;0,OR($I235&lt;&gt;$I236,$L235-$L236&gt;25),$I235/POW(10,$J235)*MAXIFS(Token!$B:$B,Token!$A:$A,$K235)&gt;0.01),$L235/86400+DATE(1970,1,1)+$G$6,)</f>
        <v/>
      </c>
      <c r="B235" s="27" t="str">
        <f t="shared" si="1"/>
        <v/>
      </c>
      <c r="C235" s="14" t="str">
        <f>IF($A235&lt;&gt;"",MINIFS(Merchant!$A:$A,Merchant!$B:$B,$G$2),)</f>
        <v/>
      </c>
      <c r="D235" s="14" t="str">
        <f t="shared" si="2"/>
        <v/>
      </c>
      <c r="E235" s="14" t="str">
        <f t="shared" si="3"/>
        <v/>
      </c>
      <c r="F235" s="7" t="str">
        <f>IF($A235&lt;&gt;"",MAXIFS(Token!$B:$B,Token!$A:$A,$D235),)</f>
        <v/>
      </c>
    </row>
    <row r="236">
      <c r="A236" s="39" t="str">
        <f>IF(AND($L236*1&gt;=$G$3,$L236*1&lt;=$G$4,$I236*$J236&gt;0,OR($I236&lt;&gt;$I237,$L236-$L237&gt;25),$I236/POW(10,$J236)*MAXIFS(Token!$B:$B,Token!$A:$A,$K236)&gt;0.01),$L236/86400+DATE(1970,1,1)+$G$6,)</f>
        <v/>
      </c>
      <c r="B236" s="27" t="str">
        <f t="shared" si="1"/>
        <v/>
      </c>
      <c r="C236" s="14" t="str">
        <f>IF($A236&lt;&gt;"",MINIFS(Merchant!$A:$A,Merchant!$B:$B,$G$2),)</f>
        <v/>
      </c>
      <c r="D236" s="14" t="str">
        <f t="shared" si="2"/>
        <v/>
      </c>
      <c r="E236" s="14" t="str">
        <f t="shared" si="3"/>
        <v/>
      </c>
      <c r="F236" s="7" t="str">
        <f>IF($A236&lt;&gt;"",MAXIFS(Token!$B:$B,Token!$A:$A,$D236),)</f>
        <v/>
      </c>
    </row>
    <row r="237">
      <c r="A237" s="39" t="str">
        <f>IF(AND($L237*1&gt;=$G$3,$L237*1&lt;=$G$4,$I237*$J237&gt;0,OR($I237&lt;&gt;$I238,$L237-$L238&gt;25),$I237/POW(10,$J237)*MAXIFS(Token!$B:$B,Token!$A:$A,$K237)&gt;0.01),$L237/86400+DATE(1970,1,1)+$G$6,)</f>
        <v/>
      </c>
      <c r="B237" s="27" t="str">
        <f t="shared" si="1"/>
        <v/>
      </c>
      <c r="C237" s="14" t="str">
        <f>IF($A237&lt;&gt;"",MINIFS(Merchant!$A:$A,Merchant!$B:$B,$G$2),)</f>
        <v/>
      </c>
      <c r="D237" s="14" t="str">
        <f t="shared" si="2"/>
        <v/>
      </c>
      <c r="E237" s="14" t="str">
        <f t="shared" si="3"/>
        <v/>
      </c>
      <c r="F237" s="7" t="str">
        <f>IF($A237&lt;&gt;"",MAXIFS(Token!$B:$B,Token!$A:$A,$D237),)</f>
        <v/>
      </c>
    </row>
    <row r="238">
      <c r="A238" s="39" t="str">
        <f>IF(AND($L238*1&gt;=$G$3,$L238*1&lt;=$G$4,$I238*$J238&gt;0,OR($I238&lt;&gt;$I239,$L238-$L239&gt;25),$I238/POW(10,$J238)*MAXIFS(Token!$B:$B,Token!$A:$A,$K238)&gt;0.01),$L238/86400+DATE(1970,1,1)+$G$6,)</f>
        <v/>
      </c>
      <c r="B238" s="27" t="str">
        <f t="shared" si="1"/>
        <v/>
      </c>
      <c r="C238" s="14" t="str">
        <f>IF($A238&lt;&gt;"",MINIFS(Merchant!$A:$A,Merchant!$B:$B,$G$2),)</f>
        <v/>
      </c>
      <c r="D238" s="14" t="str">
        <f t="shared" si="2"/>
        <v/>
      </c>
      <c r="E238" s="14" t="str">
        <f t="shared" si="3"/>
        <v/>
      </c>
      <c r="F238" s="7" t="str">
        <f>IF($A238&lt;&gt;"",MAXIFS(Token!$B:$B,Token!$A:$A,$D238),)</f>
        <v/>
      </c>
    </row>
    <row r="239">
      <c r="A239" s="39" t="str">
        <f>IF(AND($L239*1&gt;=$G$3,$L239*1&lt;=$G$4,$I239*$J239&gt;0,OR($I239&lt;&gt;$I240,$L239-$L240&gt;25),$I239/POW(10,$J239)*MAXIFS(Token!$B:$B,Token!$A:$A,$K239)&gt;0.01),$L239/86400+DATE(1970,1,1)+$G$6,)</f>
        <v/>
      </c>
      <c r="B239" s="27" t="str">
        <f t="shared" si="1"/>
        <v/>
      </c>
      <c r="C239" s="14" t="str">
        <f>IF($A239&lt;&gt;"",MINIFS(Merchant!$A:$A,Merchant!$B:$B,$G$2),)</f>
        <v/>
      </c>
      <c r="D239" s="14" t="str">
        <f t="shared" si="2"/>
        <v/>
      </c>
      <c r="E239" s="14" t="str">
        <f t="shared" si="3"/>
        <v/>
      </c>
      <c r="F239" s="7" t="str">
        <f>IF($A239&lt;&gt;"",MAXIFS(Token!$B:$B,Token!$A:$A,$D239),)</f>
        <v/>
      </c>
    </row>
    <row r="240">
      <c r="A240" s="39" t="str">
        <f>IF(AND($L240*1&gt;=$G$3,$L240*1&lt;=$G$4,$I240*$J240&gt;0,OR($I240&lt;&gt;$I241,$L240-$L241&gt;25),$I240/POW(10,$J240)*MAXIFS(Token!$B:$B,Token!$A:$A,$K240)&gt;0.01),$L240/86400+DATE(1970,1,1)+$G$6,)</f>
        <v/>
      </c>
      <c r="B240" s="27" t="str">
        <f t="shared" si="1"/>
        <v/>
      </c>
      <c r="C240" s="14" t="str">
        <f>IF($A240&lt;&gt;"",MINIFS(Merchant!$A:$A,Merchant!$B:$B,$G$2),)</f>
        <v/>
      </c>
      <c r="D240" s="14" t="str">
        <f t="shared" si="2"/>
        <v/>
      </c>
      <c r="E240" s="14" t="str">
        <f t="shared" si="3"/>
        <v/>
      </c>
      <c r="F240" s="7" t="str">
        <f>IF($A240&lt;&gt;"",MAXIFS(Token!$B:$B,Token!$A:$A,$D240),)</f>
        <v/>
      </c>
    </row>
    <row r="241">
      <c r="A241" s="39" t="str">
        <f>IF(AND($L241*1&gt;=$G$3,$L241*1&lt;=$G$4,$I241*$J241&gt;0,OR($I241&lt;&gt;$I242,$L241-$L242&gt;25),$I241/POW(10,$J241)*MAXIFS(Token!$B:$B,Token!$A:$A,$K241)&gt;0.01),$L241/86400+DATE(1970,1,1)+$G$6,)</f>
        <v/>
      </c>
      <c r="B241" s="27" t="str">
        <f t="shared" si="1"/>
        <v/>
      </c>
      <c r="C241" s="14" t="str">
        <f>IF($A241&lt;&gt;"",MINIFS(Merchant!$A:$A,Merchant!$B:$B,$G$2),)</f>
        <v/>
      </c>
      <c r="D241" s="14" t="str">
        <f t="shared" si="2"/>
        <v/>
      </c>
      <c r="E241" s="14" t="str">
        <f t="shared" si="3"/>
        <v/>
      </c>
      <c r="F241" s="7" t="str">
        <f>IF($A241&lt;&gt;"",MAXIFS(Token!$B:$B,Token!$A:$A,$D241),)</f>
        <v/>
      </c>
    </row>
    <row r="242">
      <c r="A242" s="39" t="str">
        <f>IF(AND($L242*1&gt;=$G$3,$L242*1&lt;=$G$4,$I242*$J242&gt;0,OR($I242&lt;&gt;$I243,$L242-$L243&gt;25),$I242/POW(10,$J242)*MAXIFS(Token!$B:$B,Token!$A:$A,$K242)&gt;0.01),$L242/86400+DATE(1970,1,1)+$G$6,)</f>
        <v/>
      </c>
      <c r="B242" s="27" t="str">
        <f t="shared" si="1"/>
        <v/>
      </c>
      <c r="C242" s="14" t="str">
        <f>IF($A242&lt;&gt;"",MINIFS(Merchant!$A:$A,Merchant!$B:$B,$G$2),)</f>
        <v/>
      </c>
      <c r="D242" s="14" t="str">
        <f t="shared" si="2"/>
        <v/>
      </c>
      <c r="E242" s="14" t="str">
        <f t="shared" si="3"/>
        <v/>
      </c>
      <c r="F242" s="7" t="str">
        <f>IF($A242&lt;&gt;"",MAXIFS(Token!$B:$B,Token!$A:$A,$D242),)</f>
        <v/>
      </c>
    </row>
    <row r="243">
      <c r="A243" s="39" t="str">
        <f>IF(AND($L243*1&gt;=$G$3,$L243*1&lt;=$G$4,$I243*$J243&gt;0,OR($I243&lt;&gt;$I244,$L243-$L244&gt;25),$I243/POW(10,$J243)*MAXIFS(Token!$B:$B,Token!$A:$A,$K243)&gt;0.01),$L243/86400+DATE(1970,1,1)+$G$6,)</f>
        <v/>
      </c>
      <c r="B243" s="27" t="str">
        <f t="shared" si="1"/>
        <v/>
      </c>
      <c r="C243" s="14" t="str">
        <f>IF($A243&lt;&gt;"",MINIFS(Merchant!$A:$A,Merchant!$B:$B,$G$2),)</f>
        <v/>
      </c>
      <c r="D243" s="14" t="str">
        <f t="shared" si="2"/>
        <v/>
      </c>
      <c r="E243" s="14" t="str">
        <f t="shared" si="3"/>
        <v/>
      </c>
      <c r="F243" s="7" t="str">
        <f>IF($A243&lt;&gt;"",MAXIFS(Token!$B:$B,Token!$A:$A,$D243),)</f>
        <v/>
      </c>
    </row>
    <row r="244">
      <c r="A244" s="39" t="str">
        <f>IF(AND($L244*1&gt;=$G$3,$L244*1&lt;=$G$4,$I244*$J244&gt;0,OR($I244&lt;&gt;$I245,$L244-$L245&gt;25),$I244/POW(10,$J244)*MAXIFS(Token!$B:$B,Token!$A:$A,$K244)&gt;0.01),$L244/86400+DATE(1970,1,1)+$G$6,)</f>
        <v/>
      </c>
      <c r="B244" s="27" t="str">
        <f t="shared" si="1"/>
        <v/>
      </c>
      <c r="C244" s="14" t="str">
        <f>IF($A244&lt;&gt;"",MINIFS(Merchant!$A:$A,Merchant!$B:$B,$G$2),)</f>
        <v/>
      </c>
      <c r="D244" s="14" t="str">
        <f t="shared" si="2"/>
        <v/>
      </c>
      <c r="E244" s="14" t="str">
        <f t="shared" si="3"/>
        <v/>
      </c>
      <c r="F244" s="7" t="str">
        <f>IF($A244&lt;&gt;"",MAXIFS(Token!$B:$B,Token!$A:$A,$D244),)</f>
        <v/>
      </c>
    </row>
    <row r="245">
      <c r="A245" s="39" t="str">
        <f>IF(AND($L245*1&gt;=$G$3,$L245*1&lt;=$G$4,$I245*$J245&gt;0,OR($I245&lt;&gt;$I246,$L245-$L246&gt;25),$I245/POW(10,$J245)*MAXIFS(Token!$B:$B,Token!$A:$A,$K245)&gt;0.01),$L245/86400+DATE(1970,1,1)+$G$6,)</f>
        <v/>
      </c>
      <c r="B245" s="27" t="str">
        <f t="shared" si="1"/>
        <v/>
      </c>
      <c r="C245" s="14" t="str">
        <f>IF($A245&lt;&gt;"",MINIFS(Merchant!$A:$A,Merchant!$B:$B,$G$2),)</f>
        <v/>
      </c>
      <c r="D245" s="14" t="str">
        <f t="shared" si="2"/>
        <v/>
      </c>
      <c r="E245" s="14" t="str">
        <f t="shared" si="3"/>
        <v/>
      </c>
      <c r="F245" s="7" t="str">
        <f>IF($A245&lt;&gt;"",MAXIFS(Token!$B:$B,Token!$A:$A,$D245),)</f>
        <v/>
      </c>
    </row>
    <row r="246">
      <c r="A246" s="39" t="str">
        <f>IF(AND($L246*1&gt;=$G$3,$L246*1&lt;=$G$4,$I246*$J246&gt;0,OR($I246&lt;&gt;$I247,$L246-$L247&gt;25),$I246/POW(10,$J246)*MAXIFS(Token!$B:$B,Token!$A:$A,$K246)&gt;0.01),$L246/86400+DATE(1970,1,1)+$G$6,)</f>
        <v/>
      </c>
      <c r="B246" s="27" t="str">
        <f t="shared" si="1"/>
        <v/>
      </c>
      <c r="C246" s="14" t="str">
        <f>IF($A246&lt;&gt;"",MINIFS(Merchant!$A:$A,Merchant!$B:$B,$G$2),)</f>
        <v/>
      </c>
      <c r="D246" s="14" t="str">
        <f t="shared" si="2"/>
        <v/>
      </c>
      <c r="E246" s="14" t="str">
        <f t="shared" si="3"/>
        <v/>
      </c>
      <c r="F246" s="7" t="str">
        <f>IF($A246&lt;&gt;"",MAXIFS(Token!$B:$B,Token!$A:$A,$D246),)</f>
        <v/>
      </c>
    </row>
    <row r="247">
      <c r="A247" s="39" t="str">
        <f>IF(AND($L247*1&gt;=$G$3,$L247*1&lt;=$G$4,$I247*$J247&gt;0,OR($I247&lt;&gt;$I248,$L247-$L248&gt;25),$I247/POW(10,$J247)*MAXIFS(Token!$B:$B,Token!$A:$A,$K247)&gt;0.01),$L247/86400+DATE(1970,1,1)+$G$6,)</f>
        <v/>
      </c>
      <c r="B247" s="27" t="str">
        <f t="shared" si="1"/>
        <v/>
      </c>
      <c r="C247" s="14" t="str">
        <f>IF($A247&lt;&gt;"",MINIFS(Merchant!$A:$A,Merchant!$B:$B,$G$2),)</f>
        <v/>
      </c>
      <c r="D247" s="14" t="str">
        <f t="shared" si="2"/>
        <v/>
      </c>
      <c r="E247" s="14" t="str">
        <f t="shared" si="3"/>
        <v/>
      </c>
      <c r="F247" s="7" t="str">
        <f>IF($A247&lt;&gt;"",MAXIFS(Token!$B:$B,Token!$A:$A,$D247),)</f>
        <v/>
      </c>
    </row>
    <row r="248">
      <c r="A248" s="39" t="str">
        <f>IF(AND($L248*1&gt;=$G$3,$L248*1&lt;=$G$4,$I248*$J248&gt;0,OR($I248&lt;&gt;$I249,$L248-$L249&gt;25),$I248/POW(10,$J248)*MAXIFS(Token!$B:$B,Token!$A:$A,$K248)&gt;0.01),$L248/86400+DATE(1970,1,1)+$G$6,)</f>
        <v/>
      </c>
      <c r="B248" s="27" t="str">
        <f t="shared" si="1"/>
        <v/>
      </c>
      <c r="C248" s="14" t="str">
        <f>IF($A248&lt;&gt;"",MINIFS(Merchant!$A:$A,Merchant!$B:$B,$G$2),)</f>
        <v/>
      </c>
      <c r="D248" s="14" t="str">
        <f t="shared" si="2"/>
        <v/>
      </c>
      <c r="E248" s="14" t="str">
        <f t="shared" si="3"/>
        <v/>
      </c>
      <c r="F248" s="7" t="str">
        <f>IF($A248&lt;&gt;"",MAXIFS(Token!$B:$B,Token!$A:$A,$D248),)</f>
        <v/>
      </c>
    </row>
    <row r="249">
      <c r="A249" s="39" t="str">
        <f>IF(AND($L249*1&gt;=$G$3,$L249*1&lt;=$G$4,$I249*$J249&gt;0,OR($I249&lt;&gt;$I250,$L249-$L250&gt;25),$I249/POW(10,$J249)*MAXIFS(Token!$B:$B,Token!$A:$A,$K249)&gt;0.01),$L249/86400+DATE(1970,1,1)+$G$6,)</f>
        <v/>
      </c>
      <c r="B249" s="27" t="str">
        <f t="shared" si="1"/>
        <v/>
      </c>
      <c r="C249" s="14" t="str">
        <f>IF($A249&lt;&gt;"",MINIFS(Merchant!$A:$A,Merchant!$B:$B,$G$2),)</f>
        <v/>
      </c>
      <c r="D249" s="14" t="str">
        <f t="shared" si="2"/>
        <v/>
      </c>
      <c r="E249" s="14" t="str">
        <f t="shared" si="3"/>
        <v/>
      </c>
      <c r="F249" s="7" t="str">
        <f>IF($A249&lt;&gt;"",MAXIFS(Token!$B:$B,Token!$A:$A,$D249),)</f>
        <v/>
      </c>
    </row>
    <row r="250">
      <c r="A250" s="39" t="str">
        <f>IF(AND($L250*1&gt;=$G$3,$L250*1&lt;=$G$4,$I250*$J250&gt;0,OR($I250&lt;&gt;$I251,$L250-$L251&gt;25),$I250/POW(10,$J250)*MAXIFS(Token!$B:$B,Token!$A:$A,$K250)&gt;0.01),$L250/86400+DATE(1970,1,1)+$G$6,)</f>
        <v/>
      </c>
      <c r="B250" s="27" t="str">
        <f t="shared" si="1"/>
        <v/>
      </c>
      <c r="C250" s="14" t="str">
        <f>IF($A250&lt;&gt;"",MINIFS(Merchant!$A:$A,Merchant!$B:$B,$G$2),)</f>
        <v/>
      </c>
      <c r="D250" s="14" t="str">
        <f t="shared" si="2"/>
        <v/>
      </c>
      <c r="E250" s="14" t="str">
        <f t="shared" si="3"/>
        <v/>
      </c>
      <c r="F250" s="7" t="str">
        <f>IF($A250&lt;&gt;"",MAXIFS(Token!$B:$B,Token!$A:$A,$D250),)</f>
        <v/>
      </c>
    </row>
    <row r="251">
      <c r="A251" s="39" t="str">
        <f>IF(AND($L251*1&gt;=$G$3,$L251*1&lt;=$G$4,$I251*$J251&gt;0,OR($I251&lt;&gt;$I252,$L251-$L252&gt;25),$I251/POW(10,$J251)*MAXIFS(Token!$B:$B,Token!$A:$A,$K251)&gt;0.01),$L251/86400+DATE(1970,1,1)+$G$6,)</f>
        <v/>
      </c>
      <c r="B251" s="27" t="str">
        <f t="shared" si="1"/>
        <v/>
      </c>
      <c r="C251" s="14" t="str">
        <f>IF($A251&lt;&gt;"",MINIFS(Merchant!$A:$A,Merchant!$B:$B,$G$2),)</f>
        <v/>
      </c>
      <c r="D251" s="14" t="str">
        <f t="shared" si="2"/>
        <v/>
      </c>
      <c r="E251" s="14" t="str">
        <f t="shared" si="3"/>
        <v/>
      </c>
      <c r="F251" s="7" t="str">
        <f>IF($A251&lt;&gt;"",MAXIFS(Token!$B:$B,Token!$A:$A,$D251),)</f>
        <v/>
      </c>
    </row>
    <row r="252">
      <c r="A252" s="39" t="str">
        <f>IF(AND($L252*1&gt;=$G$3,$L252*1&lt;=$G$4,$I252*$J252&gt;0,OR($I252&lt;&gt;$I253,$L252-$L253&gt;25),$I252/POW(10,$J252)*MAXIFS(Token!$B:$B,Token!$A:$A,$K252)&gt;0.01),$L252/86400+DATE(1970,1,1)+$G$6,)</f>
        <v/>
      </c>
      <c r="B252" s="27" t="str">
        <f t="shared" si="1"/>
        <v/>
      </c>
      <c r="C252" s="14" t="str">
        <f>IF($A252&lt;&gt;"",MINIFS(Merchant!$A:$A,Merchant!$B:$B,$G$2),)</f>
        <v/>
      </c>
      <c r="D252" s="14" t="str">
        <f t="shared" si="2"/>
        <v/>
      </c>
      <c r="E252" s="14" t="str">
        <f t="shared" si="3"/>
        <v/>
      </c>
      <c r="F252" s="7" t="str">
        <f>IF($A252&lt;&gt;"",MAXIFS(Token!$B:$B,Token!$A:$A,$D252),)</f>
        <v/>
      </c>
    </row>
    <row r="253">
      <c r="A253" s="39" t="str">
        <f>IF(AND($L253*1&gt;=$G$3,$L253*1&lt;=$G$4,$I253*$J253&gt;0,OR($I253&lt;&gt;$I254,$L253-$L254&gt;25),$I253/POW(10,$J253)*MAXIFS(Token!$B:$B,Token!$A:$A,$K253)&gt;0.01),$L253/86400+DATE(1970,1,1)+$G$6,)</f>
        <v/>
      </c>
      <c r="B253" s="27" t="str">
        <f t="shared" si="1"/>
        <v/>
      </c>
      <c r="C253" s="14" t="str">
        <f>IF($A253&lt;&gt;"",MINIFS(Merchant!$A:$A,Merchant!$B:$B,$G$2),)</f>
        <v/>
      </c>
      <c r="D253" s="14" t="str">
        <f t="shared" si="2"/>
        <v/>
      </c>
      <c r="E253" s="14" t="str">
        <f t="shared" si="3"/>
        <v/>
      </c>
      <c r="F253" s="7" t="str">
        <f>IF($A253&lt;&gt;"",MAXIFS(Token!$B:$B,Token!$A:$A,$D253),)</f>
        <v/>
      </c>
    </row>
    <row r="254">
      <c r="A254" s="39" t="str">
        <f>IF(AND($L254*1&gt;=$G$3,$L254*1&lt;=$G$4,$I254*$J254&gt;0,OR($I254&lt;&gt;$I255,$L254-$L255&gt;25),$I254/POW(10,$J254)*MAXIFS(Token!$B:$B,Token!$A:$A,$K254)&gt;0.01),$L254/86400+DATE(1970,1,1)+$G$6,)</f>
        <v/>
      </c>
      <c r="B254" s="27" t="str">
        <f t="shared" si="1"/>
        <v/>
      </c>
      <c r="C254" s="14" t="str">
        <f>IF($A254&lt;&gt;"",MINIFS(Merchant!$A:$A,Merchant!$B:$B,$G$2),)</f>
        <v/>
      </c>
      <c r="D254" s="14" t="str">
        <f t="shared" si="2"/>
        <v/>
      </c>
      <c r="E254" s="14" t="str">
        <f t="shared" si="3"/>
        <v/>
      </c>
      <c r="F254" s="7" t="str">
        <f>IF($A254&lt;&gt;"",MAXIFS(Token!$B:$B,Token!$A:$A,$D254),)</f>
        <v/>
      </c>
    </row>
    <row r="255">
      <c r="A255" s="39" t="str">
        <f>IF(AND($L255*1&gt;=$G$3,$L255*1&lt;=$G$4,$I255*$J255&gt;0,OR($I255&lt;&gt;$I256,$L255-$L256&gt;25),$I255/POW(10,$J255)*MAXIFS(Token!$B:$B,Token!$A:$A,$K255)&gt;0.01),$L255/86400+DATE(1970,1,1)+$G$6,)</f>
        <v/>
      </c>
      <c r="B255" s="27" t="str">
        <f t="shared" si="1"/>
        <v/>
      </c>
      <c r="C255" s="14" t="str">
        <f>IF($A255&lt;&gt;"",MINIFS(Merchant!$A:$A,Merchant!$B:$B,$G$2),)</f>
        <v/>
      </c>
      <c r="D255" s="14" t="str">
        <f t="shared" si="2"/>
        <v/>
      </c>
      <c r="E255" s="14" t="str">
        <f t="shared" si="3"/>
        <v/>
      </c>
      <c r="F255" s="7" t="str">
        <f>IF($A255&lt;&gt;"",MAXIFS(Token!$B:$B,Token!$A:$A,$D255),)</f>
        <v/>
      </c>
    </row>
    <row r="256">
      <c r="A256" s="39" t="str">
        <f>IF(AND($L256*1&gt;=$G$3,$L256*1&lt;=$G$4,$I256*$J256&gt;0,OR($I256&lt;&gt;$I257,$L256-$L257&gt;25),$I256/POW(10,$J256)*MAXIFS(Token!$B:$B,Token!$A:$A,$K256)&gt;0.01),$L256/86400+DATE(1970,1,1)+$G$6,)</f>
        <v/>
      </c>
      <c r="B256" s="27" t="str">
        <f t="shared" si="1"/>
        <v/>
      </c>
      <c r="C256" s="14" t="str">
        <f>IF($A256&lt;&gt;"",MINIFS(Merchant!$A:$A,Merchant!$B:$B,$G$2),)</f>
        <v/>
      </c>
      <c r="D256" s="14" t="str">
        <f t="shared" si="2"/>
        <v/>
      </c>
      <c r="E256" s="14" t="str">
        <f t="shared" si="3"/>
        <v/>
      </c>
      <c r="F256" s="7" t="str">
        <f>IF($A256&lt;&gt;"",MAXIFS(Token!$B:$B,Token!$A:$A,$D256),)</f>
        <v/>
      </c>
    </row>
    <row r="257">
      <c r="A257" s="39" t="str">
        <f>IF(AND($L257*1&gt;=$G$3,$L257*1&lt;=$G$4,$I257*$J257&gt;0,OR($I257&lt;&gt;$I258,$L257-$L258&gt;25),$I257/POW(10,$J257)*MAXIFS(Token!$B:$B,Token!$A:$A,$K257)&gt;0.01),$L257/86400+DATE(1970,1,1)+$G$6,)</f>
        <v/>
      </c>
      <c r="B257" s="27" t="str">
        <f t="shared" si="1"/>
        <v/>
      </c>
      <c r="C257" s="14" t="str">
        <f>IF($A257&lt;&gt;"",MINIFS(Merchant!$A:$A,Merchant!$B:$B,$G$2),)</f>
        <v/>
      </c>
      <c r="D257" s="14" t="str">
        <f t="shared" si="2"/>
        <v/>
      </c>
      <c r="E257" s="14" t="str">
        <f t="shared" si="3"/>
        <v/>
      </c>
      <c r="F257" s="7" t="str">
        <f>IF($A257&lt;&gt;"",MAXIFS(Token!$B:$B,Token!$A:$A,$D257),)</f>
        <v/>
      </c>
    </row>
    <row r="258">
      <c r="A258" s="39" t="str">
        <f>IF(AND($L258*1&gt;=$G$3,$L258*1&lt;=$G$4,$I258*$J258&gt;0,OR($I258&lt;&gt;$I259,$L258-$L259&gt;25),$I258/POW(10,$J258)*MAXIFS(Token!$B:$B,Token!$A:$A,$K258)&gt;0.01),$L258/86400+DATE(1970,1,1)+$G$6,)</f>
        <v/>
      </c>
      <c r="B258" s="27" t="str">
        <f t="shared" si="1"/>
        <v/>
      </c>
      <c r="C258" s="14" t="str">
        <f>IF($A258&lt;&gt;"",MINIFS(Merchant!$A:$A,Merchant!$B:$B,$G$2),)</f>
        <v/>
      </c>
      <c r="D258" s="14" t="str">
        <f t="shared" si="2"/>
        <v/>
      </c>
      <c r="E258" s="14" t="str">
        <f t="shared" si="3"/>
        <v/>
      </c>
      <c r="F258" s="7" t="str">
        <f>IF($A258&lt;&gt;"",MAXIFS(Token!$B:$B,Token!$A:$A,$D258),)</f>
        <v/>
      </c>
    </row>
    <row r="259">
      <c r="A259" s="39" t="str">
        <f>IF(AND($L259*1&gt;=$G$3,$L259*1&lt;=$G$4,$I259*$J259&gt;0,OR($I259&lt;&gt;$I260,$L259-$L260&gt;25),$I259/POW(10,$J259)*MAXIFS(Token!$B:$B,Token!$A:$A,$K259)&gt;0.01),$L259/86400+DATE(1970,1,1)+$G$6,)</f>
        <v/>
      </c>
      <c r="B259" s="27" t="str">
        <f t="shared" si="1"/>
        <v/>
      </c>
      <c r="C259" s="14" t="str">
        <f>IF($A259&lt;&gt;"",MINIFS(Merchant!$A:$A,Merchant!$B:$B,$G$2),)</f>
        <v/>
      </c>
      <c r="D259" s="14" t="str">
        <f t="shared" si="2"/>
        <v/>
      </c>
      <c r="E259" s="14" t="str">
        <f t="shared" si="3"/>
        <v/>
      </c>
      <c r="F259" s="7" t="str">
        <f>IF($A259&lt;&gt;"",MAXIFS(Token!$B:$B,Token!$A:$A,$D259),)</f>
        <v/>
      </c>
    </row>
    <row r="260">
      <c r="A260" s="39" t="str">
        <f>IF(AND($L260*1&gt;=$G$3,$L260*1&lt;=$G$4,$I260*$J260&gt;0,OR($I260&lt;&gt;$I261,$L260-$L261&gt;25),$I260/POW(10,$J260)*MAXIFS(Token!$B:$B,Token!$A:$A,$K260)&gt;0.01),$L260/86400+DATE(1970,1,1)+$G$6,)</f>
        <v/>
      </c>
      <c r="B260" s="27" t="str">
        <f t="shared" si="1"/>
        <v/>
      </c>
      <c r="C260" s="14" t="str">
        <f>IF($A260&lt;&gt;"",MINIFS(Merchant!$A:$A,Merchant!$B:$B,$G$2),)</f>
        <v/>
      </c>
      <c r="D260" s="14" t="str">
        <f t="shared" si="2"/>
        <v/>
      </c>
      <c r="E260" s="14" t="str">
        <f t="shared" si="3"/>
        <v/>
      </c>
      <c r="F260" s="7" t="str">
        <f>IF($A260&lt;&gt;"",MAXIFS(Token!$B:$B,Token!$A:$A,$D260),)</f>
        <v/>
      </c>
    </row>
    <row r="261">
      <c r="A261" s="39" t="str">
        <f>IF(AND($L261*1&gt;=$G$3,$L261*1&lt;=$G$4,$I261*$J261&gt;0,OR($I261&lt;&gt;$I262,$L261-$L262&gt;25),$I261/POW(10,$J261)*MAXIFS(Token!$B:$B,Token!$A:$A,$K261)&gt;0.01),$L261/86400+DATE(1970,1,1)+$G$6,)</f>
        <v/>
      </c>
      <c r="B261" s="27" t="str">
        <f t="shared" si="1"/>
        <v/>
      </c>
      <c r="C261" s="14" t="str">
        <f>IF($A261&lt;&gt;"",MINIFS(Merchant!$A:$A,Merchant!$B:$B,$G$2),)</f>
        <v/>
      </c>
      <c r="D261" s="14" t="str">
        <f t="shared" si="2"/>
        <v/>
      </c>
      <c r="E261" s="14" t="str">
        <f t="shared" si="3"/>
        <v/>
      </c>
      <c r="F261" s="7" t="str">
        <f>IF($A261&lt;&gt;"",MAXIFS(Token!$B:$B,Token!$A:$A,$D261),)</f>
        <v/>
      </c>
    </row>
    <row r="262">
      <c r="A262" s="39" t="str">
        <f>IF(AND($L262*1&gt;=$G$3,$L262*1&lt;=$G$4,$I262*$J262&gt;0,OR($I262&lt;&gt;$I263,$L262-$L263&gt;25),$I262/POW(10,$J262)*MAXIFS(Token!$B:$B,Token!$A:$A,$K262)&gt;0.01),$L262/86400+DATE(1970,1,1)+$G$6,)</f>
        <v/>
      </c>
      <c r="B262" s="27" t="str">
        <f t="shared" si="1"/>
        <v/>
      </c>
      <c r="C262" s="14" t="str">
        <f>IF($A262&lt;&gt;"",MINIFS(Merchant!$A:$A,Merchant!$B:$B,$G$2),)</f>
        <v/>
      </c>
      <c r="D262" s="14" t="str">
        <f t="shared" si="2"/>
        <v/>
      </c>
      <c r="E262" s="14" t="str">
        <f t="shared" si="3"/>
        <v/>
      </c>
      <c r="F262" s="7" t="str">
        <f>IF($A262&lt;&gt;"",MAXIFS(Token!$B:$B,Token!$A:$A,$D262),)</f>
        <v/>
      </c>
    </row>
    <row r="263">
      <c r="A263" s="39" t="str">
        <f>IF(AND($L263*1&gt;=$G$3,$L263*1&lt;=$G$4,$I263*$J263&gt;0,OR($I263&lt;&gt;$I264,$L263-$L264&gt;25),$I263/POW(10,$J263)*MAXIFS(Token!$B:$B,Token!$A:$A,$K263)&gt;0.01),$L263/86400+DATE(1970,1,1)+$G$6,)</f>
        <v/>
      </c>
      <c r="B263" s="27" t="str">
        <f t="shared" si="1"/>
        <v/>
      </c>
      <c r="C263" s="14" t="str">
        <f>IF($A263&lt;&gt;"",MINIFS(Merchant!$A:$A,Merchant!$B:$B,$G$2),)</f>
        <v/>
      </c>
      <c r="D263" s="14" t="str">
        <f t="shared" si="2"/>
        <v/>
      </c>
      <c r="E263" s="14" t="str">
        <f t="shared" si="3"/>
        <v/>
      </c>
      <c r="F263" s="7" t="str">
        <f>IF($A263&lt;&gt;"",MAXIFS(Token!$B:$B,Token!$A:$A,$D263),)</f>
        <v/>
      </c>
    </row>
    <row r="264">
      <c r="A264" s="39" t="str">
        <f>IF(AND($L264*1&gt;=$G$3,$L264*1&lt;=$G$4,$I264*$J264&gt;0,OR($I264&lt;&gt;$I265,$L264-$L265&gt;25),$I264/POW(10,$J264)*MAXIFS(Token!$B:$B,Token!$A:$A,$K264)&gt;0.01),$L264/86400+DATE(1970,1,1)+$G$6,)</f>
        <v/>
      </c>
      <c r="B264" s="27" t="str">
        <f t="shared" si="1"/>
        <v/>
      </c>
      <c r="C264" s="14" t="str">
        <f>IF($A264&lt;&gt;"",MINIFS(Merchant!$A:$A,Merchant!$B:$B,$G$2),)</f>
        <v/>
      </c>
      <c r="D264" s="14" t="str">
        <f t="shared" si="2"/>
        <v/>
      </c>
      <c r="E264" s="14" t="str">
        <f t="shared" si="3"/>
        <v/>
      </c>
      <c r="F264" s="7" t="str">
        <f>IF($A264&lt;&gt;"",MAXIFS(Token!$B:$B,Token!$A:$A,$D264),)</f>
        <v/>
      </c>
    </row>
    <row r="265">
      <c r="A265" s="39" t="str">
        <f>IF(AND($L265*1&gt;=$G$3,$L265*1&lt;=$G$4,$I265*$J265&gt;0,OR($I265&lt;&gt;$I266,$L265-$L266&gt;25),$I265/POW(10,$J265)*MAXIFS(Token!$B:$B,Token!$A:$A,$K265)&gt;0.01),$L265/86400+DATE(1970,1,1)+$G$6,)</f>
        <v/>
      </c>
      <c r="B265" s="27" t="str">
        <f t="shared" si="1"/>
        <v/>
      </c>
      <c r="C265" s="14" t="str">
        <f>IF($A265&lt;&gt;"",MINIFS(Merchant!$A:$A,Merchant!$B:$B,$G$2),)</f>
        <v/>
      </c>
      <c r="D265" s="14" t="str">
        <f t="shared" si="2"/>
        <v/>
      </c>
      <c r="E265" s="14" t="str">
        <f t="shared" si="3"/>
        <v/>
      </c>
      <c r="F265" s="7" t="str">
        <f>IF($A265&lt;&gt;"",MAXIFS(Token!$B:$B,Token!$A:$A,$D265),)</f>
        <v/>
      </c>
    </row>
    <row r="266">
      <c r="A266" s="39" t="str">
        <f>IF(AND($L266*1&gt;=$G$3,$L266*1&lt;=$G$4,$I266*$J266&gt;0,OR($I266&lt;&gt;$I267,$L266-$L267&gt;25),$I266/POW(10,$J266)*MAXIFS(Token!$B:$B,Token!$A:$A,$K266)&gt;0.01),$L266/86400+DATE(1970,1,1)+$G$6,)</f>
        <v/>
      </c>
      <c r="B266" s="27" t="str">
        <f t="shared" si="1"/>
        <v/>
      </c>
      <c r="C266" s="14" t="str">
        <f>IF($A266&lt;&gt;"",MINIFS(Merchant!$A:$A,Merchant!$B:$B,$G$2),)</f>
        <v/>
      </c>
      <c r="D266" s="14" t="str">
        <f t="shared" si="2"/>
        <v/>
      </c>
      <c r="E266" s="14" t="str">
        <f t="shared" si="3"/>
        <v/>
      </c>
      <c r="F266" s="7" t="str">
        <f>IF($A266&lt;&gt;"",MAXIFS(Token!$B:$B,Token!$A:$A,$D266),)</f>
        <v/>
      </c>
    </row>
    <row r="267">
      <c r="A267" s="39" t="str">
        <f>IF(AND($L267*1&gt;=$G$3,$L267*1&lt;=$G$4,$I267*$J267&gt;0,OR($I267&lt;&gt;$I268,$L267-$L268&gt;25),$I267/POW(10,$J267)*MAXIFS(Token!$B:$B,Token!$A:$A,$K267)&gt;0.01),$L267/86400+DATE(1970,1,1)+$G$6,)</f>
        <v/>
      </c>
      <c r="B267" s="27" t="str">
        <f t="shared" si="1"/>
        <v/>
      </c>
      <c r="C267" s="14" t="str">
        <f>IF($A267&lt;&gt;"",MINIFS(Merchant!$A:$A,Merchant!$B:$B,$G$2),)</f>
        <v/>
      </c>
      <c r="D267" s="14" t="str">
        <f t="shared" si="2"/>
        <v/>
      </c>
      <c r="E267" s="14" t="str">
        <f t="shared" si="3"/>
        <v/>
      </c>
      <c r="F267" s="7" t="str">
        <f>IF($A267&lt;&gt;"",MAXIFS(Token!$B:$B,Token!$A:$A,$D267),)</f>
        <v/>
      </c>
    </row>
    <row r="268">
      <c r="A268" s="39" t="str">
        <f>IF(AND($L268*1&gt;=$G$3,$L268*1&lt;=$G$4,$I268*$J268&gt;0,OR($I268&lt;&gt;$I269,$L268-$L269&gt;25),$I268/POW(10,$J268)*MAXIFS(Token!$B:$B,Token!$A:$A,$K268)&gt;0.01),$L268/86400+DATE(1970,1,1)+$G$6,)</f>
        <v/>
      </c>
      <c r="B268" s="27" t="str">
        <f t="shared" si="1"/>
        <v/>
      </c>
      <c r="C268" s="14" t="str">
        <f>IF($A268&lt;&gt;"",MINIFS(Merchant!$A:$A,Merchant!$B:$B,$G$2),)</f>
        <v/>
      </c>
      <c r="D268" s="14" t="str">
        <f t="shared" si="2"/>
        <v/>
      </c>
      <c r="E268" s="14" t="str">
        <f t="shared" si="3"/>
        <v/>
      </c>
      <c r="F268" s="7" t="str">
        <f>IF($A268&lt;&gt;"",MAXIFS(Token!$B:$B,Token!$A:$A,$D268),)</f>
        <v/>
      </c>
    </row>
    <row r="269">
      <c r="A269" s="39" t="str">
        <f>IF(AND($L269*1&gt;=$G$3,$L269*1&lt;=$G$4,$I269*$J269&gt;0,OR($I269&lt;&gt;$I270,$L269-$L270&gt;25),$I269/POW(10,$J269)*MAXIFS(Token!$B:$B,Token!$A:$A,$K269)&gt;0.01),$L269/86400+DATE(1970,1,1)+$G$6,)</f>
        <v/>
      </c>
      <c r="B269" s="27" t="str">
        <f t="shared" si="1"/>
        <v/>
      </c>
      <c r="C269" s="14" t="str">
        <f>IF($A269&lt;&gt;"",MINIFS(Merchant!$A:$A,Merchant!$B:$B,$G$2),)</f>
        <v/>
      </c>
      <c r="D269" s="14" t="str">
        <f t="shared" si="2"/>
        <v/>
      </c>
      <c r="E269" s="14" t="str">
        <f t="shared" si="3"/>
        <v/>
      </c>
      <c r="F269" s="7" t="str">
        <f>IF($A269&lt;&gt;"",MAXIFS(Token!$B:$B,Token!$A:$A,$D269),)</f>
        <v/>
      </c>
    </row>
    <row r="270">
      <c r="A270" s="39" t="str">
        <f>IF(AND($L270*1&gt;=$G$3,$L270*1&lt;=$G$4,$I270*$J270&gt;0,OR($I270&lt;&gt;$I271,$L270-$L271&gt;25),$I270/POW(10,$J270)*MAXIFS(Token!$B:$B,Token!$A:$A,$K270)&gt;0.01),$L270/86400+DATE(1970,1,1)+$G$6,)</f>
        <v/>
      </c>
      <c r="B270" s="27" t="str">
        <f t="shared" si="1"/>
        <v/>
      </c>
      <c r="C270" s="14" t="str">
        <f>IF($A270&lt;&gt;"",MINIFS(Merchant!$A:$A,Merchant!$B:$B,$G$2),)</f>
        <v/>
      </c>
      <c r="D270" s="14" t="str">
        <f t="shared" si="2"/>
        <v/>
      </c>
      <c r="E270" s="14" t="str">
        <f t="shared" si="3"/>
        <v/>
      </c>
      <c r="F270" s="7" t="str">
        <f>IF($A270&lt;&gt;"",MAXIFS(Token!$B:$B,Token!$A:$A,$D270),)</f>
        <v/>
      </c>
    </row>
    <row r="271">
      <c r="A271" s="39" t="str">
        <f>IF(AND($L271*1&gt;=$G$3,$L271*1&lt;=$G$4,$I271*$J271&gt;0,OR($I271&lt;&gt;$I272,$L271-$L272&gt;25),$I271/POW(10,$J271)*MAXIFS(Token!$B:$B,Token!$A:$A,$K271)&gt;0.01),$L271/86400+DATE(1970,1,1)+$G$6,)</f>
        <v/>
      </c>
      <c r="B271" s="27" t="str">
        <f t="shared" si="1"/>
        <v/>
      </c>
      <c r="C271" s="14" t="str">
        <f>IF($A271&lt;&gt;"",MINIFS(Merchant!$A:$A,Merchant!$B:$B,$G$2),)</f>
        <v/>
      </c>
      <c r="D271" s="14" t="str">
        <f t="shared" si="2"/>
        <v/>
      </c>
      <c r="E271" s="14" t="str">
        <f t="shared" si="3"/>
        <v/>
      </c>
      <c r="F271" s="7" t="str">
        <f>IF($A271&lt;&gt;"",MAXIFS(Token!$B:$B,Token!$A:$A,$D271),)</f>
        <v/>
      </c>
    </row>
    <row r="272">
      <c r="A272" s="39" t="str">
        <f>IF(AND($L272*1&gt;=$G$3,$L272*1&lt;=$G$4,$I272*$J272&gt;0,OR($I272&lt;&gt;$I273,$L272-$L273&gt;25),$I272/POW(10,$J272)*MAXIFS(Token!$B:$B,Token!$A:$A,$K272)&gt;0.01),$L272/86400+DATE(1970,1,1)+$G$6,)</f>
        <v/>
      </c>
      <c r="B272" s="27" t="str">
        <f t="shared" si="1"/>
        <v/>
      </c>
      <c r="C272" s="14" t="str">
        <f>IF($A272&lt;&gt;"",MINIFS(Merchant!$A:$A,Merchant!$B:$B,$G$2),)</f>
        <v/>
      </c>
      <c r="D272" s="14" t="str">
        <f t="shared" si="2"/>
        <v/>
      </c>
      <c r="E272" s="14" t="str">
        <f t="shared" si="3"/>
        <v/>
      </c>
      <c r="F272" s="7" t="str">
        <f>IF($A272&lt;&gt;"",MAXIFS(Token!$B:$B,Token!$A:$A,$D272),)</f>
        <v/>
      </c>
    </row>
    <row r="273">
      <c r="A273" s="39" t="str">
        <f>IF(AND($L273*1&gt;=$G$3,$L273*1&lt;=$G$4,$I273*$J273&gt;0,OR($I273&lt;&gt;$I274,$L273-$L274&gt;25),$I273/POW(10,$J273)*MAXIFS(Token!$B:$B,Token!$A:$A,$K273)&gt;0.01),$L273/86400+DATE(1970,1,1)+$G$6,)</f>
        <v/>
      </c>
      <c r="B273" s="27" t="str">
        <f t="shared" si="1"/>
        <v/>
      </c>
      <c r="C273" s="14" t="str">
        <f>IF($A273&lt;&gt;"",MINIFS(Merchant!$A:$A,Merchant!$B:$B,$G$2),)</f>
        <v/>
      </c>
      <c r="D273" s="14" t="str">
        <f t="shared" si="2"/>
        <v/>
      </c>
      <c r="E273" s="14" t="str">
        <f t="shared" si="3"/>
        <v/>
      </c>
      <c r="F273" s="7" t="str">
        <f>IF($A273&lt;&gt;"",MAXIFS(Token!$B:$B,Token!$A:$A,$D273),)</f>
        <v/>
      </c>
    </row>
    <row r="274">
      <c r="A274" s="39" t="str">
        <f>IF(AND($L274*1&gt;=$G$3,$L274*1&lt;=$G$4,$I274*$J274&gt;0,OR($I274&lt;&gt;$I275,$L274-$L275&gt;25),$I274/POW(10,$J274)*MAXIFS(Token!$B:$B,Token!$A:$A,$K274)&gt;0.01),$L274/86400+DATE(1970,1,1)+$G$6,)</f>
        <v/>
      </c>
      <c r="B274" s="27" t="str">
        <f t="shared" si="1"/>
        <v/>
      </c>
      <c r="C274" s="14" t="str">
        <f>IF($A274&lt;&gt;"",MINIFS(Merchant!$A:$A,Merchant!$B:$B,$G$2),)</f>
        <v/>
      </c>
      <c r="D274" s="14" t="str">
        <f t="shared" si="2"/>
        <v/>
      </c>
      <c r="E274" s="14" t="str">
        <f t="shared" si="3"/>
        <v/>
      </c>
      <c r="F274" s="7" t="str">
        <f>IF($A274&lt;&gt;"",MAXIFS(Token!$B:$B,Token!$A:$A,$D274),)</f>
        <v/>
      </c>
    </row>
    <row r="275">
      <c r="A275" s="39" t="str">
        <f>IF(AND($L275*1&gt;=$G$3,$L275*1&lt;=$G$4,$I275*$J275&gt;0,OR($I275&lt;&gt;$I276,$L275-$L276&gt;25),$I275/POW(10,$J275)*MAXIFS(Token!$B:$B,Token!$A:$A,$K275)&gt;0.01),$L275/86400+DATE(1970,1,1)+$G$6,)</f>
        <v/>
      </c>
      <c r="B275" s="27" t="str">
        <f t="shared" si="1"/>
        <v/>
      </c>
      <c r="C275" s="14" t="str">
        <f>IF($A275&lt;&gt;"",MINIFS(Merchant!$A:$A,Merchant!$B:$B,$G$2),)</f>
        <v/>
      </c>
      <c r="D275" s="14" t="str">
        <f t="shared" si="2"/>
        <v/>
      </c>
      <c r="E275" s="14" t="str">
        <f t="shared" si="3"/>
        <v/>
      </c>
      <c r="F275" s="7" t="str">
        <f>IF($A275&lt;&gt;"",MAXIFS(Token!$B:$B,Token!$A:$A,$D275),)</f>
        <v/>
      </c>
    </row>
    <row r="276">
      <c r="A276" s="39" t="str">
        <f>IF(AND($L276*1&gt;=$G$3,$L276*1&lt;=$G$4,$I276*$J276&gt;0,OR($I276&lt;&gt;$I277,$L276-$L277&gt;25),$I276/POW(10,$J276)*MAXIFS(Token!$B:$B,Token!$A:$A,$K276)&gt;0.01),$L276/86400+DATE(1970,1,1)+$G$6,)</f>
        <v/>
      </c>
      <c r="B276" s="27" t="str">
        <f t="shared" si="1"/>
        <v/>
      </c>
      <c r="C276" s="14" t="str">
        <f>IF($A276&lt;&gt;"",MINIFS(Merchant!$A:$A,Merchant!$B:$B,$G$2),)</f>
        <v/>
      </c>
      <c r="D276" s="14" t="str">
        <f t="shared" si="2"/>
        <v/>
      </c>
      <c r="E276" s="14" t="str">
        <f t="shared" si="3"/>
        <v/>
      </c>
      <c r="F276" s="7" t="str">
        <f>IF($A276&lt;&gt;"",MAXIFS(Token!$B:$B,Token!$A:$A,$D276),)</f>
        <v/>
      </c>
    </row>
    <row r="277">
      <c r="A277" s="39" t="str">
        <f>IF(AND($L277*1&gt;=$G$3,$L277*1&lt;=$G$4,$I277*$J277&gt;0,OR($I277&lt;&gt;$I278,$L277-$L278&gt;25),$I277/POW(10,$J277)*MAXIFS(Token!$B:$B,Token!$A:$A,$K277)&gt;0.01),$L277/86400+DATE(1970,1,1)+$G$6,)</f>
        <v/>
      </c>
      <c r="B277" s="27" t="str">
        <f t="shared" si="1"/>
        <v/>
      </c>
      <c r="C277" s="14" t="str">
        <f>IF($A277&lt;&gt;"",MINIFS(Merchant!$A:$A,Merchant!$B:$B,$G$2),)</f>
        <v/>
      </c>
      <c r="D277" s="14" t="str">
        <f t="shared" si="2"/>
        <v/>
      </c>
      <c r="E277" s="14" t="str">
        <f t="shared" si="3"/>
        <v/>
      </c>
      <c r="F277" s="7" t="str">
        <f>IF($A277&lt;&gt;"",MAXIFS(Token!$B:$B,Token!$A:$A,$D277),)</f>
        <v/>
      </c>
    </row>
    <row r="278">
      <c r="A278" s="39" t="str">
        <f>IF(AND($L278*1&gt;=$G$3,$L278*1&lt;=$G$4,$I278*$J278&gt;0,OR($I278&lt;&gt;$I279,$L278-$L279&gt;25),$I278/POW(10,$J278)*MAXIFS(Token!$B:$B,Token!$A:$A,$K278)&gt;0.01),$L278/86400+DATE(1970,1,1)+$G$6,)</f>
        <v/>
      </c>
      <c r="B278" s="27" t="str">
        <f t="shared" si="1"/>
        <v/>
      </c>
      <c r="C278" s="14" t="str">
        <f>IF($A278&lt;&gt;"",MINIFS(Merchant!$A:$A,Merchant!$B:$B,$G$2),)</f>
        <v/>
      </c>
      <c r="D278" s="14" t="str">
        <f t="shared" si="2"/>
        <v/>
      </c>
      <c r="E278" s="14" t="str">
        <f t="shared" si="3"/>
        <v/>
      </c>
      <c r="F278" s="7" t="str">
        <f>IF($A278&lt;&gt;"",MAXIFS(Token!$B:$B,Token!$A:$A,$D278),)</f>
        <v/>
      </c>
    </row>
    <row r="279">
      <c r="A279" s="39" t="str">
        <f>IF(AND($L279*1&gt;=$G$3,$L279*1&lt;=$G$4,$I279*$J279&gt;0,OR($I279&lt;&gt;$I280,$L279-$L280&gt;25),$I279/POW(10,$J279)*MAXIFS(Token!$B:$B,Token!$A:$A,$K279)&gt;0.01),$L279/86400+DATE(1970,1,1)+$G$6,)</f>
        <v/>
      </c>
      <c r="B279" s="27" t="str">
        <f t="shared" si="1"/>
        <v/>
      </c>
      <c r="C279" s="14" t="str">
        <f>IF($A279&lt;&gt;"",MINIFS(Merchant!$A:$A,Merchant!$B:$B,$G$2),)</f>
        <v/>
      </c>
      <c r="D279" s="14" t="str">
        <f t="shared" si="2"/>
        <v/>
      </c>
      <c r="E279" s="14" t="str">
        <f t="shared" si="3"/>
        <v/>
      </c>
      <c r="F279" s="7" t="str">
        <f>IF($A279&lt;&gt;"",MAXIFS(Token!$B:$B,Token!$A:$A,$D279),)</f>
        <v/>
      </c>
    </row>
    <row r="280">
      <c r="A280" s="39" t="str">
        <f>IF(AND($L280*1&gt;=$G$3,$L280*1&lt;=$G$4,$I280*$J280&gt;0,OR($I280&lt;&gt;$I281,$L280-$L281&gt;25),$I280/POW(10,$J280)*MAXIFS(Token!$B:$B,Token!$A:$A,$K280)&gt;0.01),$L280/86400+DATE(1970,1,1)+$G$6,)</f>
        <v/>
      </c>
      <c r="B280" s="27" t="str">
        <f t="shared" si="1"/>
        <v/>
      </c>
      <c r="C280" s="14" t="str">
        <f>IF($A280&lt;&gt;"",MINIFS(Merchant!$A:$A,Merchant!$B:$B,$G$2),)</f>
        <v/>
      </c>
      <c r="D280" s="14" t="str">
        <f t="shared" si="2"/>
        <v/>
      </c>
      <c r="E280" s="14" t="str">
        <f t="shared" si="3"/>
        <v/>
      </c>
      <c r="F280" s="7" t="str">
        <f>IF($A280&lt;&gt;"",MAXIFS(Token!$B:$B,Token!$A:$A,$D280),)</f>
        <v/>
      </c>
    </row>
    <row r="281">
      <c r="A281" s="39" t="str">
        <f>IF(AND($L281*1&gt;=$G$3,$L281*1&lt;=$G$4,$I281*$J281&gt;0,OR($I281&lt;&gt;$I282,$L281-$L282&gt;25),$I281/POW(10,$J281)*MAXIFS(Token!$B:$B,Token!$A:$A,$K281)&gt;0.01),$L281/86400+DATE(1970,1,1)+$G$6,)</f>
        <v/>
      </c>
      <c r="B281" s="27" t="str">
        <f t="shared" si="1"/>
        <v/>
      </c>
      <c r="C281" s="14" t="str">
        <f>IF($A281&lt;&gt;"",MINIFS(Merchant!$A:$A,Merchant!$B:$B,$G$2),)</f>
        <v/>
      </c>
      <c r="D281" s="14" t="str">
        <f t="shared" si="2"/>
        <v/>
      </c>
      <c r="E281" s="14" t="str">
        <f t="shared" si="3"/>
        <v/>
      </c>
      <c r="F281" s="7" t="str">
        <f>IF($A281&lt;&gt;"",MAXIFS(Token!$B:$B,Token!$A:$A,$D281),)</f>
        <v/>
      </c>
    </row>
    <row r="282">
      <c r="A282" s="39" t="str">
        <f>IF(AND($L282*1&gt;=$G$3,$L282*1&lt;=$G$4,$I282*$J282&gt;0,OR($I282&lt;&gt;$I283,$L282-$L283&gt;25),$I282/POW(10,$J282)*MAXIFS(Token!$B:$B,Token!$A:$A,$K282)&gt;0.01),$L282/86400+DATE(1970,1,1)+$G$6,)</f>
        <v/>
      </c>
      <c r="B282" s="27" t="str">
        <f t="shared" si="1"/>
        <v/>
      </c>
      <c r="C282" s="14" t="str">
        <f>IF($A282&lt;&gt;"",MINIFS(Merchant!$A:$A,Merchant!$B:$B,$G$2),)</f>
        <v/>
      </c>
      <c r="D282" s="14" t="str">
        <f t="shared" si="2"/>
        <v/>
      </c>
      <c r="E282" s="14" t="str">
        <f t="shared" si="3"/>
        <v/>
      </c>
      <c r="F282" s="7" t="str">
        <f>IF($A282&lt;&gt;"",MAXIFS(Token!$B:$B,Token!$A:$A,$D282),)</f>
        <v/>
      </c>
    </row>
    <row r="283">
      <c r="A283" s="39" t="str">
        <f>IF(AND($L283*1&gt;=$G$3,$L283*1&lt;=$G$4,$I283*$J283&gt;0,OR($I283&lt;&gt;$I284,$L283-$L284&gt;25),$I283/POW(10,$J283)*MAXIFS(Token!$B:$B,Token!$A:$A,$K283)&gt;0.01),$L283/86400+DATE(1970,1,1)+$G$6,)</f>
        <v/>
      </c>
      <c r="B283" s="27" t="str">
        <f t="shared" si="1"/>
        <v/>
      </c>
      <c r="C283" s="14" t="str">
        <f>IF($A283&lt;&gt;"",MINIFS(Merchant!$A:$A,Merchant!$B:$B,$G$2),)</f>
        <v/>
      </c>
      <c r="D283" s="14" t="str">
        <f t="shared" si="2"/>
        <v/>
      </c>
      <c r="E283" s="14" t="str">
        <f t="shared" si="3"/>
        <v/>
      </c>
      <c r="F283" s="7" t="str">
        <f>IF($A283&lt;&gt;"",MAXIFS(Token!$B:$B,Token!$A:$A,$D283),)</f>
        <v/>
      </c>
    </row>
    <row r="284">
      <c r="A284" s="39" t="str">
        <f>IF(AND($L284*1&gt;=$G$3,$L284*1&lt;=$G$4,$I284*$J284&gt;0,OR($I284&lt;&gt;$I285,$L284-$L285&gt;25),$I284/POW(10,$J284)*MAXIFS(Token!$B:$B,Token!$A:$A,$K284)&gt;0.01),$L284/86400+DATE(1970,1,1)+$G$6,)</f>
        <v/>
      </c>
      <c r="B284" s="27" t="str">
        <f t="shared" si="1"/>
        <v/>
      </c>
      <c r="C284" s="14" t="str">
        <f>IF($A284&lt;&gt;"",MINIFS(Merchant!$A:$A,Merchant!$B:$B,$G$2),)</f>
        <v/>
      </c>
      <c r="D284" s="14" t="str">
        <f t="shared" si="2"/>
        <v/>
      </c>
      <c r="E284" s="14" t="str">
        <f t="shared" si="3"/>
        <v/>
      </c>
      <c r="F284" s="7" t="str">
        <f>IF($A284&lt;&gt;"",MAXIFS(Token!$B:$B,Token!$A:$A,$D284),)</f>
        <v/>
      </c>
    </row>
    <row r="285">
      <c r="A285" s="39" t="str">
        <f>IF(AND($L285*1&gt;=$G$3,$L285*1&lt;=$G$4,$I285*$J285&gt;0,OR($I285&lt;&gt;$I286,$L285-$L286&gt;25),$I285/POW(10,$J285)*MAXIFS(Token!$B:$B,Token!$A:$A,$K285)&gt;0.01),$L285/86400+DATE(1970,1,1)+$G$6,)</f>
        <v/>
      </c>
      <c r="B285" s="27" t="str">
        <f t="shared" si="1"/>
        <v/>
      </c>
      <c r="C285" s="14" t="str">
        <f>IF($A285&lt;&gt;"",MINIFS(Merchant!$A:$A,Merchant!$B:$B,$G$2),)</f>
        <v/>
      </c>
      <c r="D285" s="14" t="str">
        <f t="shared" si="2"/>
        <v/>
      </c>
      <c r="E285" s="14" t="str">
        <f t="shared" si="3"/>
        <v/>
      </c>
      <c r="F285" s="7" t="str">
        <f>IF($A285&lt;&gt;"",MAXIFS(Token!$B:$B,Token!$A:$A,$D285),)</f>
        <v/>
      </c>
    </row>
    <row r="286">
      <c r="A286" s="39" t="str">
        <f>IF(AND($L286*1&gt;=$G$3,$L286*1&lt;=$G$4,$I286*$J286&gt;0,OR($I286&lt;&gt;$I287,$L286-$L287&gt;25),$I286/POW(10,$J286)*MAXIFS(Token!$B:$B,Token!$A:$A,$K286)&gt;0.01),$L286/86400+DATE(1970,1,1)+$G$6,)</f>
        <v/>
      </c>
      <c r="B286" s="27" t="str">
        <f t="shared" si="1"/>
        <v/>
      </c>
      <c r="C286" s="14" t="str">
        <f>IF($A286&lt;&gt;"",MINIFS(Merchant!$A:$A,Merchant!$B:$B,$G$2),)</f>
        <v/>
      </c>
      <c r="D286" s="14" t="str">
        <f t="shared" si="2"/>
        <v/>
      </c>
      <c r="E286" s="14" t="str">
        <f t="shared" si="3"/>
        <v/>
      </c>
      <c r="F286" s="7" t="str">
        <f>IF($A286&lt;&gt;"",MAXIFS(Token!$B:$B,Token!$A:$A,$D286),)</f>
        <v/>
      </c>
    </row>
    <row r="287">
      <c r="A287" s="39" t="str">
        <f>IF(AND($L287*1&gt;=$G$3,$L287*1&lt;=$G$4,$I287*$J287&gt;0,OR($I287&lt;&gt;$I288,$L287-$L288&gt;25),$I287/POW(10,$J287)*MAXIFS(Token!$B:$B,Token!$A:$A,$K287)&gt;0.01),$L287/86400+DATE(1970,1,1)+$G$6,)</f>
        <v/>
      </c>
      <c r="B287" s="27" t="str">
        <f t="shared" si="1"/>
        <v/>
      </c>
      <c r="C287" s="14" t="str">
        <f>IF($A287&lt;&gt;"",MINIFS(Merchant!$A:$A,Merchant!$B:$B,$G$2),)</f>
        <v/>
      </c>
      <c r="D287" s="14" t="str">
        <f t="shared" si="2"/>
        <v/>
      </c>
      <c r="E287" s="14" t="str">
        <f t="shared" si="3"/>
        <v/>
      </c>
      <c r="F287" s="7" t="str">
        <f>IF($A287&lt;&gt;"",MAXIFS(Token!$B:$B,Token!$A:$A,$D287),)</f>
        <v/>
      </c>
    </row>
    <row r="288">
      <c r="A288" s="39" t="str">
        <f>IF(AND($L288*1&gt;=$G$3,$L288*1&lt;=$G$4,$I288*$J288&gt;0,OR($I288&lt;&gt;$I289,$L288-$L289&gt;25),$I288/POW(10,$J288)*MAXIFS(Token!$B:$B,Token!$A:$A,$K288)&gt;0.01),$L288/86400+DATE(1970,1,1)+$G$6,)</f>
        <v/>
      </c>
      <c r="B288" s="27" t="str">
        <f t="shared" si="1"/>
        <v/>
      </c>
      <c r="C288" s="14" t="str">
        <f>IF($A288&lt;&gt;"",MINIFS(Merchant!$A:$A,Merchant!$B:$B,$G$2),)</f>
        <v/>
      </c>
      <c r="D288" s="14" t="str">
        <f t="shared" si="2"/>
        <v/>
      </c>
      <c r="E288" s="14" t="str">
        <f t="shared" si="3"/>
        <v/>
      </c>
      <c r="F288" s="7" t="str">
        <f>IF($A288&lt;&gt;"",MAXIFS(Token!$B:$B,Token!$A:$A,$D288),)</f>
        <v/>
      </c>
    </row>
    <row r="289">
      <c r="A289" s="39" t="str">
        <f>IF(AND($L289*1&gt;=$G$3,$L289*1&lt;=$G$4,$I289*$J289&gt;0,OR($I289&lt;&gt;$I290,$L289-$L290&gt;25),$I289/POW(10,$J289)*MAXIFS(Token!$B:$B,Token!$A:$A,$K289)&gt;0.01),$L289/86400+DATE(1970,1,1)+$G$6,)</f>
        <v/>
      </c>
      <c r="B289" s="27" t="str">
        <f t="shared" si="1"/>
        <v/>
      </c>
      <c r="C289" s="14" t="str">
        <f>IF($A289&lt;&gt;"",MINIFS(Merchant!$A:$A,Merchant!$B:$B,$G$2),)</f>
        <v/>
      </c>
      <c r="D289" s="14" t="str">
        <f t="shared" si="2"/>
        <v/>
      </c>
      <c r="E289" s="14" t="str">
        <f t="shared" si="3"/>
        <v/>
      </c>
      <c r="F289" s="7" t="str">
        <f>IF($A289&lt;&gt;"",MAXIFS(Token!$B:$B,Token!$A:$A,$D289),)</f>
        <v/>
      </c>
    </row>
    <row r="290">
      <c r="A290" s="39" t="str">
        <f>IF(AND($L290*1&gt;=$G$3,$L290*1&lt;=$G$4,$I290*$J290&gt;0,OR($I290&lt;&gt;$I291,$L290-$L291&gt;25),$I290/POW(10,$J290)*MAXIFS(Token!$B:$B,Token!$A:$A,$K290)&gt;0.01),$L290/86400+DATE(1970,1,1)+$G$6,)</f>
        <v/>
      </c>
      <c r="B290" s="27" t="str">
        <f t="shared" si="1"/>
        <v/>
      </c>
      <c r="C290" s="14" t="str">
        <f>IF($A290&lt;&gt;"",MINIFS(Merchant!$A:$A,Merchant!$B:$B,$G$2),)</f>
        <v/>
      </c>
      <c r="D290" s="14" t="str">
        <f t="shared" si="2"/>
        <v/>
      </c>
      <c r="E290" s="14" t="str">
        <f t="shared" si="3"/>
        <v/>
      </c>
      <c r="F290" s="7" t="str">
        <f>IF($A290&lt;&gt;"",MAXIFS(Token!$B:$B,Token!$A:$A,$D290),)</f>
        <v/>
      </c>
    </row>
    <row r="291">
      <c r="A291" s="39" t="str">
        <f>IF(AND($L291*1&gt;=$G$3,$L291*1&lt;=$G$4,$I291*$J291&gt;0,OR($I291&lt;&gt;$I292,$L291-$L292&gt;25),$I291/POW(10,$J291)*MAXIFS(Token!$B:$B,Token!$A:$A,$K291)&gt;0.01),$L291/86400+DATE(1970,1,1)+$G$6,)</f>
        <v/>
      </c>
      <c r="B291" s="27" t="str">
        <f t="shared" si="1"/>
        <v/>
      </c>
      <c r="C291" s="14" t="str">
        <f>IF($A291&lt;&gt;"",MINIFS(Merchant!$A:$A,Merchant!$B:$B,$G$2),)</f>
        <v/>
      </c>
      <c r="D291" s="14" t="str">
        <f t="shared" si="2"/>
        <v/>
      </c>
      <c r="E291" s="14" t="str">
        <f t="shared" si="3"/>
        <v/>
      </c>
      <c r="F291" s="7" t="str">
        <f>IF($A291&lt;&gt;"",MAXIFS(Token!$B:$B,Token!$A:$A,$D291),)</f>
        <v/>
      </c>
    </row>
    <row r="292">
      <c r="A292" s="39" t="str">
        <f>IF(AND($L292*1&gt;=$G$3,$L292*1&lt;=$G$4,$I292*$J292&gt;0,OR($I292&lt;&gt;$I293,$L292-$L293&gt;25),$I292/POW(10,$J292)*MAXIFS(Token!$B:$B,Token!$A:$A,$K292)&gt;0.01),$L292/86400+DATE(1970,1,1)+$G$6,)</f>
        <v/>
      </c>
      <c r="B292" s="27" t="str">
        <f t="shared" si="1"/>
        <v/>
      </c>
      <c r="C292" s="14" t="str">
        <f>IF($A292&lt;&gt;"",MINIFS(Merchant!$A:$A,Merchant!$B:$B,$G$2),)</f>
        <v/>
      </c>
      <c r="D292" s="14" t="str">
        <f t="shared" si="2"/>
        <v/>
      </c>
      <c r="E292" s="14" t="str">
        <f t="shared" si="3"/>
        <v/>
      </c>
      <c r="F292" s="7" t="str">
        <f>IF($A292&lt;&gt;"",MAXIFS(Token!$B:$B,Token!$A:$A,$D292),)</f>
        <v/>
      </c>
    </row>
    <row r="293">
      <c r="A293" s="39" t="str">
        <f>IF(AND($L293*1&gt;=$G$3,$L293*1&lt;=$G$4,$I293*$J293&gt;0,OR($I293&lt;&gt;$I294,$L293-$L294&gt;25),$I293/POW(10,$J293)*MAXIFS(Token!$B:$B,Token!$A:$A,$K293)&gt;0.01),$L293/86400+DATE(1970,1,1)+$G$6,)</f>
        <v/>
      </c>
      <c r="B293" s="27" t="str">
        <f t="shared" si="1"/>
        <v/>
      </c>
      <c r="C293" s="14" t="str">
        <f>IF($A293&lt;&gt;"",MINIFS(Merchant!$A:$A,Merchant!$B:$B,$G$2),)</f>
        <v/>
      </c>
      <c r="D293" s="14" t="str">
        <f t="shared" si="2"/>
        <v/>
      </c>
      <c r="E293" s="14" t="str">
        <f t="shared" si="3"/>
        <v/>
      </c>
      <c r="F293" s="7" t="str">
        <f>IF($A293&lt;&gt;"",MAXIFS(Token!$B:$B,Token!$A:$A,$D293),)</f>
        <v/>
      </c>
    </row>
    <row r="294">
      <c r="A294" s="39" t="str">
        <f>IF(AND($L294*1&gt;=$G$3,$L294*1&lt;=$G$4,$I294*$J294&gt;0,OR($I294&lt;&gt;$I295,$L294-$L295&gt;25),$I294/POW(10,$J294)*MAXIFS(Token!$B:$B,Token!$A:$A,$K294)&gt;0.01),$L294/86400+DATE(1970,1,1)+$G$6,)</f>
        <v/>
      </c>
      <c r="B294" s="27" t="str">
        <f t="shared" si="1"/>
        <v/>
      </c>
      <c r="C294" s="14" t="str">
        <f>IF($A294&lt;&gt;"",MINIFS(Merchant!$A:$A,Merchant!$B:$B,$G$2),)</f>
        <v/>
      </c>
      <c r="D294" s="14" t="str">
        <f t="shared" si="2"/>
        <v/>
      </c>
      <c r="E294" s="14" t="str">
        <f t="shared" si="3"/>
        <v/>
      </c>
      <c r="F294" s="7" t="str">
        <f>IF($A294&lt;&gt;"",MAXIFS(Token!$B:$B,Token!$A:$A,$D294),)</f>
        <v/>
      </c>
    </row>
    <row r="295">
      <c r="A295" s="39" t="str">
        <f>IF(AND($L295*1&gt;=$G$3,$L295*1&lt;=$G$4,$I295*$J295&gt;0,OR($I295&lt;&gt;$I296,$L295-$L296&gt;25),$I295/POW(10,$J295)*MAXIFS(Token!$B:$B,Token!$A:$A,$K295)&gt;0.01),$L295/86400+DATE(1970,1,1)+$G$6,)</f>
        <v/>
      </c>
      <c r="B295" s="27" t="str">
        <f t="shared" si="1"/>
        <v/>
      </c>
      <c r="C295" s="14" t="str">
        <f>IF($A295&lt;&gt;"",MINIFS(Merchant!$A:$A,Merchant!$B:$B,$G$2),)</f>
        <v/>
      </c>
      <c r="D295" s="14" t="str">
        <f t="shared" si="2"/>
        <v/>
      </c>
      <c r="E295" s="14" t="str">
        <f t="shared" si="3"/>
        <v/>
      </c>
      <c r="F295" s="7" t="str">
        <f>IF($A295&lt;&gt;"",MAXIFS(Token!$B:$B,Token!$A:$A,$D295),)</f>
        <v/>
      </c>
    </row>
    <row r="296">
      <c r="A296" s="39" t="str">
        <f>IF(AND($L296*1&gt;=$G$3,$L296*1&lt;=$G$4,$I296*$J296&gt;0,OR($I296&lt;&gt;$I297,$L296-$L297&gt;25),$I296/POW(10,$J296)*MAXIFS(Token!$B:$B,Token!$A:$A,$K296)&gt;0.01),$L296/86400+DATE(1970,1,1)+$G$6,)</f>
        <v/>
      </c>
      <c r="B296" s="27" t="str">
        <f t="shared" si="1"/>
        <v/>
      </c>
      <c r="C296" s="14" t="str">
        <f>IF($A296&lt;&gt;"",MINIFS(Merchant!$A:$A,Merchant!$B:$B,$G$2),)</f>
        <v/>
      </c>
      <c r="D296" s="14" t="str">
        <f t="shared" si="2"/>
        <v/>
      </c>
      <c r="E296" s="14" t="str">
        <f t="shared" si="3"/>
        <v/>
      </c>
      <c r="F296" s="7" t="str">
        <f>IF($A296&lt;&gt;"",MAXIFS(Token!$B:$B,Token!$A:$A,$D296),)</f>
        <v/>
      </c>
    </row>
    <row r="297">
      <c r="A297" s="39" t="str">
        <f>IF(AND($L297*1&gt;=$G$3,$L297*1&lt;=$G$4,$I297*$J297&gt;0,OR($I297&lt;&gt;$I298,$L297-$L298&gt;25),$I297/POW(10,$J297)*MAXIFS(Token!$B:$B,Token!$A:$A,$K297)&gt;0.01),$L297/86400+DATE(1970,1,1)+$G$6,)</f>
        <v/>
      </c>
      <c r="B297" s="27" t="str">
        <f t="shared" si="1"/>
        <v/>
      </c>
      <c r="C297" s="14" t="str">
        <f>IF($A297&lt;&gt;"",MINIFS(Merchant!$A:$A,Merchant!$B:$B,$G$2),)</f>
        <v/>
      </c>
      <c r="D297" s="14" t="str">
        <f t="shared" si="2"/>
        <v/>
      </c>
      <c r="E297" s="14" t="str">
        <f t="shared" si="3"/>
        <v/>
      </c>
      <c r="F297" s="7" t="str">
        <f>IF($A297&lt;&gt;"",MAXIFS(Token!$B:$B,Token!$A:$A,$D297),)</f>
        <v/>
      </c>
    </row>
    <row r="298">
      <c r="A298" s="39" t="str">
        <f>IF(AND($L298*1&gt;=$G$3,$L298*1&lt;=$G$4,$I298*$J298&gt;0,OR($I298&lt;&gt;$I299,$L298-$L299&gt;25),$I298/POW(10,$J298)*MAXIFS(Token!$B:$B,Token!$A:$A,$K298)&gt;0.01),$L298/86400+DATE(1970,1,1)+$G$6,)</f>
        <v/>
      </c>
      <c r="B298" s="27" t="str">
        <f t="shared" si="1"/>
        <v/>
      </c>
      <c r="C298" s="14" t="str">
        <f>IF($A298&lt;&gt;"",MINIFS(Merchant!$A:$A,Merchant!$B:$B,$G$2),)</f>
        <v/>
      </c>
      <c r="D298" s="14" t="str">
        <f t="shared" si="2"/>
        <v/>
      </c>
      <c r="E298" s="14" t="str">
        <f t="shared" si="3"/>
        <v/>
      </c>
      <c r="F298" s="7" t="str">
        <f>IF($A298&lt;&gt;"",MAXIFS(Token!$B:$B,Token!$A:$A,$D298),)</f>
        <v/>
      </c>
    </row>
    <row r="299">
      <c r="A299" s="39" t="str">
        <f>IF(AND($L299*1&gt;=$G$3,$L299*1&lt;=$G$4,$I299*$J299&gt;0,OR($I299&lt;&gt;$I300,$L299-$L300&gt;25),$I299/POW(10,$J299)*MAXIFS(Token!$B:$B,Token!$A:$A,$K299)&gt;0.01),$L299/86400+DATE(1970,1,1)+$G$6,)</f>
        <v/>
      </c>
      <c r="B299" s="27" t="str">
        <f t="shared" si="1"/>
        <v/>
      </c>
      <c r="C299" s="14" t="str">
        <f>IF($A299&lt;&gt;"",MINIFS(Merchant!$A:$A,Merchant!$B:$B,$G$2),)</f>
        <v/>
      </c>
      <c r="D299" s="14" t="str">
        <f t="shared" si="2"/>
        <v/>
      </c>
      <c r="E299" s="14" t="str">
        <f t="shared" si="3"/>
        <v/>
      </c>
      <c r="F299" s="7" t="str">
        <f>IF($A299&lt;&gt;"",MAXIFS(Token!$B:$B,Token!$A:$A,$D299),)</f>
        <v/>
      </c>
    </row>
    <row r="300">
      <c r="A300" s="39" t="str">
        <f>IF(AND($L300*1&gt;=$G$3,$L300*1&lt;=$G$4,$I300*$J300&gt;0,OR($I300&lt;&gt;$I301,$L300-$L301&gt;25),$I300/POW(10,$J300)*MAXIFS(Token!$B:$B,Token!$A:$A,$K300)&gt;0.01),$L300/86400+DATE(1970,1,1)+$G$6,)</f>
        <v/>
      </c>
      <c r="B300" s="27" t="str">
        <f t="shared" si="1"/>
        <v/>
      </c>
      <c r="C300" s="14" t="str">
        <f>IF($A300&lt;&gt;"",MINIFS(Merchant!$A:$A,Merchant!$B:$B,$G$2),)</f>
        <v/>
      </c>
      <c r="D300" s="14" t="str">
        <f t="shared" si="2"/>
        <v/>
      </c>
      <c r="E300" s="14" t="str">
        <f t="shared" si="3"/>
        <v/>
      </c>
      <c r="F300" s="7" t="str">
        <f>IF($A300&lt;&gt;"",MAXIFS(Token!$B:$B,Token!$A:$A,$D300),)</f>
        <v/>
      </c>
    </row>
    <row r="301">
      <c r="A301" s="39" t="str">
        <f>IF(AND($L301*1&gt;=$G$3,$L301*1&lt;=$G$4,$I301*$J301&gt;0,OR($I301&lt;&gt;$I302,$L301-$L302&gt;25),$I301/POW(10,$J301)*MAXIFS(Token!$B:$B,Token!$A:$A,$K301)&gt;0.01),$L301/86400+DATE(1970,1,1)+$G$6,)</f>
        <v/>
      </c>
      <c r="B301" s="27" t="str">
        <f t="shared" si="1"/>
        <v/>
      </c>
      <c r="C301" s="14" t="str">
        <f>IF($A301&lt;&gt;"",MINIFS(Merchant!$A:$A,Merchant!$B:$B,$G$2),)</f>
        <v/>
      </c>
      <c r="D301" s="14" t="str">
        <f t="shared" si="2"/>
        <v/>
      </c>
      <c r="E301" s="14" t="str">
        <f t="shared" si="3"/>
        <v/>
      </c>
      <c r="F301" s="7" t="str">
        <f>IF($A301&lt;&gt;"",MAXIFS(Token!$B:$B,Token!$A:$A,$D301),)</f>
        <v/>
      </c>
    </row>
    <row r="302">
      <c r="A302" s="39" t="str">
        <f>IF(AND($L302*1&gt;=$G$3,$L302*1&lt;=$G$4,$I302*$J302&gt;0,OR($I302&lt;&gt;$I303,$L302-$L303&gt;25),$I302/POW(10,$J302)*MAXIFS(Token!$B:$B,Token!$A:$A,$K302)&gt;0.01),$L302/86400+DATE(1970,1,1)+$G$6,)</f>
        <v/>
      </c>
      <c r="B302" s="27" t="str">
        <f t="shared" si="1"/>
        <v/>
      </c>
      <c r="C302" s="14" t="str">
        <f>IF($A302&lt;&gt;"",MINIFS(Merchant!$A:$A,Merchant!$B:$B,$G$2),)</f>
        <v/>
      </c>
      <c r="D302" s="14" t="str">
        <f t="shared" si="2"/>
        <v/>
      </c>
      <c r="E302" s="14" t="str">
        <f t="shared" si="3"/>
        <v/>
      </c>
      <c r="F302" s="7" t="str">
        <f>IF($A302&lt;&gt;"",MAXIFS(Token!$B:$B,Token!$A:$A,$D302),)</f>
        <v/>
      </c>
    </row>
    <row r="303">
      <c r="A303" s="39" t="str">
        <f>IF(AND($L303*1&gt;=$G$3,$L303*1&lt;=$G$4,$I303*$J303&gt;0,OR($I303&lt;&gt;$I304,$L303-$L304&gt;25),$I303/POW(10,$J303)*MAXIFS(Token!$B:$B,Token!$A:$A,$K303)&gt;0.01),$L303/86400+DATE(1970,1,1)+$G$6,)</f>
        <v/>
      </c>
      <c r="B303" s="27" t="str">
        <f t="shared" si="1"/>
        <v/>
      </c>
      <c r="C303" s="14" t="str">
        <f>IF($A303&lt;&gt;"",MINIFS(Merchant!$A:$A,Merchant!$B:$B,$G$2),)</f>
        <v/>
      </c>
      <c r="D303" s="14" t="str">
        <f t="shared" si="2"/>
        <v/>
      </c>
      <c r="E303" s="14" t="str">
        <f t="shared" si="3"/>
        <v/>
      </c>
      <c r="F303" s="7" t="str">
        <f>IF($A303&lt;&gt;"",MAXIFS(Token!$B:$B,Token!$A:$A,$D303),)</f>
        <v/>
      </c>
    </row>
    <row r="304">
      <c r="A304" s="39" t="str">
        <f>IF(AND($L304*1&gt;=$G$3,$L304*1&lt;=$G$4,$I304*$J304&gt;0,OR($I304&lt;&gt;$I305,$L304-$L305&gt;25),$I304/POW(10,$J304)*MAXIFS(Token!$B:$B,Token!$A:$A,$K304)&gt;0.01),$L304/86400+DATE(1970,1,1)+$G$6,)</f>
        <v/>
      </c>
      <c r="B304" s="27" t="str">
        <f t="shared" si="1"/>
        <v/>
      </c>
      <c r="C304" s="14" t="str">
        <f>IF($A304&lt;&gt;"",MINIFS(Merchant!$A:$A,Merchant!$B:$B,$G$2),)</f>
        <v/>
      </c>
      <c r="D304" s="14" t="str">
        <f t="shared" si="2"/>
        <v/>
      </c>
      <c r="E304" s="14" t="str">
        <f t="shared" si="3"/>
        <v/>
      </c>
      <c r="F304" s="7" t="str">
        <f>IF($A304&lt;&gt;"",MAXIFS(Token!$B:$B,Token!$A:$A,$D304),)</f>
        <v/>
      </c>
    </row>
    <row r="305">
      <c r="A305" s="39" t="str">
        <f>IF(AND($L305*1&gt;=$G$3,$L305*1&lt;=$G$4,$I305*$J305&gt;0,OR($I305&lt;&gt;$I306,$L305-$L306&gt;25),$I305/POW(10,$J305)*MAXIFS(Token!$B:$B,Token!$A:$A,$K305)&gt;0.01),$L305/86400+DATE(1970,1,1)+$G$6,)</f>
        <v/>
      </c>
      <c r="B305" s="27" t="str">
        <f t="shared" si="1"/>
        <v/>
      </c>
      <c r="C305" s="14" t="str">
        <f>IF($A305&lt;&gt;"",MINIFS(Merchant!$A:$A,Merchant!$B:$B,$G$2),)</f>
        <v/>
      </c>
      <c r="D305" s="14" t="str">
        <f t="shared" si="2"/>
        <v/>
      </c>
      <c r="E305" s="14" t="str">
        <f t="shared" si="3"/>
        <v/>
      </c>
      <c r="F305" s="7" t="str">
        <f>IF($A305&lt;&gt;"",MAXIFS(Token!$B:$B,Token!$A:$A,$D305),)</f>
        <v/>
      </c>
    </row>
    <row r="306">
      <c r="A306" s="39" t="str">
        <f>IF(AND($L306*1&gt;=$G$3,$L306*1&lt;=$G$4,$I306*$J306&gt;0,OR($I306&lt;&gt;$I307,$L306-$L307&gt;25),$I306/POW(10,$J306)*MAXIFS(Token!$B:$B,Token!$A:$A,$K306)&gt;0.01),$L306/86400+DATE(1970,1,1)+$G$6,)</f>
        <v/>
      </c>
      <c r="B306" s="27" t="str">
        <f t="shared" si="1"/>
        <v/>
      </c>
      <c r="C306" s="14" t="str">
        <f>IF($A306&lt;&gt;"",MINIFS(Merchant!$A:$A,Merchant!$B:$B,$G$2),)</f>
        <v/>
      </c>
      <c r="D306" s="14" t="str">
        <f t="shared" si="2"/>
        <v/>
      </c>
      <c r="E306" s="14" t="str">
        <f t="shared" si="3"/>
        <v/>
      </c>
      <c r="F306" s="7" t="str">
        <f>IF($A306&lt;&gt;"",MAXIFS(Token!$B:$B,Token!$A:$A,$D306),)</f>
        <v/>
      </c>
    </row>
    <row r="307">
      <c r="A307" s="39" t="str">
        <f>IF(AND($L307*1&gt;=$G$3,$L307*1&lt;=$G$4,$I307*$J307&gt;0,OR($I307&lt;&gt;$I308,$L307-$L308&gt;25),$I307/POW(10,$J307)*MAXIFS(Token!$B:$B,Token!$A:$A,$K307)&gt;0.01),$L307/86400+DATE(1970,1,1)+$G$6,)</f>
        <v/>
      </c>
      <c r="B307" s="27" t="str">
        <f t="shared" si="1"/>
        <v/>
      </c>
      <c r="C307" s="14" t="str">
        <f>IF($A307&lt;&gt;"",MINIFS(Merchant!$A:$A,Merchant!$B:$B,$G$2),)</f>
        <v/>
      </c>
      <c r="D307" s="14" t="str">
        <f t="shared" si="2"/>
        <v/>
      </c>
      <c r="E307" s="14" t="str">
        <f t="shared" si="3"/>
        <v/>
      </c>
      <c r="F307" s="7" t="str">
        <f>IF($A307&lt;&gt;"",MAXIFS(Token!$B:$B,Token!$A:$A,$D307),)</f>
        <v/>
      </c>
    </row>
    <row r="308">
      <c r="A308" s="39" t="str">
        <f>IF(AND($L308*1&gt;=$G$3,$L308*1&lt;=$G$4,$I308*$J308&gt;0,OR($I308&lt;&gt;$I309,$L308-$L309&gt;25),$I308/POW(10,$J308)*MAXIFS(Token!$B:$B,Token!$A:$A,$K308)&gt;0.01),$L308/86400+DATE(1970,1,1)+$G$6,)</f>
        <v/>
      </c>
      <c r="B308" s="27" t="str">
        <f t="shared" si="1"/>
        <v/>
      </c>
      <c r="C308" s="14" t="str">
        <f>IF($A308&lt;&gt;"",MINIFS(Merchant!$A:$A,Merchant!$B:$B,$G$2),)</f>
        <v/>
      </c>
      <c r="D308" s="14" t="str">
        <f t="shared" si="2"/>
        <v/>
      </c>
      <c r="E308" s="14" t="str">
        <f t="shared" si="3"/>
        <v/>
      </c>
      <c r="F308" s="7" t="str">
        <f>IF($A308&lt;&gt;"",MAXIFS(Token!$B:$B,Token!$A:$A,$D308),)</f>
        <v/>
      </c>
    </row>
    <row r="309">
      <c r="A309" s="39" t="str">
        <f>IF(AND($L309*1&gt;=$G$3,$L309*1&lt;=$G$4,$I309*$J309&gt;0,OR($I309&lt;&gt;$I310,$L309-$L310&gt;25),$I309/POW(10,$J309)*MAXIFS(Token!$B:$B,Token!$A:$A,$K309)&gt;0.01),$L309/86400+DATE(1970,1,1)+$G$6,)</f>
        <v/>
      </c>
      <c r="B309" s="27" t="str">
        <f t="shared" si="1"/>
        <v/>
      </c>
      <c r="C309" s="14" t="str">
        <f>IF($A309&lt;&gt;"",MINIFS(Merchant!$A:$A,Merchant!$B:$B,$G$2),)</f>
        <v/>
      </c>
      <c r="D309" s="14" t="str">
        <f t="shared" si="2"/>
        <v/>
      </c>
      <c r="E309" s="14" t="str">
        <f t="shared" si="3"/>
        <v/>
      </c>
      <c r="F309" s="7" t="str">
        <f>IF($A309&lt;&gt;"",MAXIFS(Token!$B:$B,Token!$A:$A,$D309),)</f>
        <v/>
      </c>
    </row>
    <row r="310">
      <c r="A310" s="39" t="str">
        <f>IF(AND($L310*1&gt;=$G$3,$L310*1&lt;=$G$4,$I310*$J310&gt;0,OR($I310&lt;&gt;$I311,$L310-$L311&gt;25),$I310/POW(10,$J310)*MAXIFS(Token!$B:$B,Token!$A:$A,$K310)&gt;0.01),$L310/86400+DATE(1970,1,1)+$G$6,)</f>
        <v/>
      </c>
      <c r="B310" s="27" t="str">
        <f t="shared" si="1"/>
        <v/>
      </c>
      <c r="C310" s="14" t="str">
        <f>IF($A310&lt;&gt;"",MINIFS(Merchant!$A:$A,Merchant!$B:$B,$G$2),)</f>
        <v/>
      </c>
      <c r="D310" s="14" t="str">
        <f t="shared" si="2"/>
        <v/>
      </c>
      <c r="E310" s="14" t="str">
        <f t="shared" si="3"/>
        <v/>
      </c>
      <c r="F310" s="7" t="str">
        <f>IF($A310&lt;&gt;"",MAXIFS(Token!$B:$B,Token!$A:$A,$D310),)</f>
        <v/>
      </c>
    </row>
    <row r="311">
      <c r="A311" s="39" t="str">
        <f>IF(AND($L311*1&gt;=$G$3,$L311*1&lt;=$G$4,$I311*$J311&gt;0,OR($I311&lt;&gt;$I312,$L311-$L312&gt;25),$I311/POW(10,$J311)*MAXIFS(Token!$B:$B,Token!$A:$A,$K311)&gt;0.01),$L311/86400+DATE(1970,1,1)+$G$6,)</f>
        <v/>
      </c>
      <c r="B311" s="27" t="str">
        <f t="shared" si="1"/>
        <v/>
      </c>
      <c r="C311" s="14" t="str">
        <f>IF($A311&lt;&gt;"",MINIFS(Merchant!$A:$A,Merchant!$B:$B,$G$2),)</f>
        <v/>
      </c>
      <c r="D311" s="14" t="str">
        <f t="shared" si="2"/>
        <v/>
      </c>
      <c r="E311" s="14" t="str">
        <f t="shared" si="3"/>
        <v/>
      </c>
      <c r="F311" s="7" t="str">
        <f>IF($A311&lt;&gt;"",MAXIFS(Token!$B:$B,Token!$A:$A,$D311),)</f>
        <v/>
      </c>
    </row>
    <row r="312">
      <c r="A312" s="39" t="str">
        <f>IF(AND($L312*1&gt;=$G$3,$L312*1&lt;=$G$4,$I312*$J312&gt;0,OR($I312&lt;&gt;$I313,$L312-$L313&gt;25),$I312/POW(10,$J312)*MAXIFS(Token!$B:$B,Token!$A:$A,$K312)&gt;0.01),$L312/86400+DATE(1970,1,1)+$G$6,)</f>
        <v/>
      </c>
      <c r="B312" s="27" t="str">
        <f t="shared" si="1"/>
        <v/>
      </c>
      <c r="C312" s="14" t="str">
        <f>IF($A312&lt;&gt;"",MINIFS(Merchant!$A:$A,Merchant!$B:$B,$G$2),)</f>
        <v/>
      </c>
      <c r="D312" s="14" t="str">
        <f t="shared" si="2"/>
        <v/>
      </c>
      <c r="E312" s="14" t="str">
        <f t="shared" si="3"/>
        <v/>
      </c>
      <c r="F312" s="7" t="str">
        <f>IF($A312&lt;&gt;"",MAXIFS(Token!$B:$B,Token!$A:$A,$D312),)</f>
        <v/>
      </c>
    </row>
    <row r="313">
      <c r="A313" s="39" t="str">
        <f>IF(AND($L313*1&gt;=$G$3,$L313*1&lt;=$G$4,$I313*$J313&gt;0,OR($I313&lt;&gt;$I314,$L313-$L314&gt;25),$I313/POW(10,$J313)*MAXIFS(Token!$B:$B,Token!$A:$A,$K313)&gt;0.01),$L313/86400+DATE(1970,1,1)+$G$6,)</f>
        <v/>
      </c>
      <c r="B313" s="27" t="str">
        <f t="shared" si="1"/>
        <v/>
      </c>
      <c r="C313" s="14" t="str">
        <f>IF($A313&lt;&gt;"",MINIFS(Merchant!$A:$A,Merchant!$B:$B,$G$2),)</f>
        <v/>
      </c>
      <c r="D313" s="14" t="str">
        <f t="shared" si="2"/>
        <v/>
      </c>
      <c r="E313" s="14" t="str">
        <f t="shared" si="3"/>
        <v/>
      </c>
      <c r="F313" s="7" t="str">
        <f>IF($A313&lt;&gt;"",MAXIFS(Token!$B:$B,Token!$A:$A,$D313),)</f>
        <v/>
      </c>
    </row>
    <row r="314">
      <c r="A314" s="39" t="str">
        <f>IF(AND($L314*1&gt;=$G$3,$L314*1&lt;=$G$4,$I314*$J314&gt;0,OR($I314&lt;&gt;$I315,$L314-$L315&gt;25),$I314/POW(10,$J314)*MAXIFS(Token!$B:$B,Token!$A:$A,$K314)&gt;0.01),$L314/86400+DATE(1970,1,1)+$G$6,)</f>
        <v/>
      </c>
      <c r="B314" s="27" t="str">
        <f t="shared" si="1"/>
        <v/>
      </c>
      <c r="C314" s="14" t="str">
        <f>IF($A314&lt;&gt;"",MINIFS(Merchant!$A:$A,Merchant!$B:$B,$G$2),)</f>
        <v/>
      </c>
      <c r="D314" s="14" t="str">
        <f t="shared" si="2"/>
        <v/>
      </c>
      <c r="E314" s="14" t="str">
        <f t="shared" si="3"/>
        <v/>
      </c>
      <c r="F314" s="7" t="str">
        <f>IF($A314&lt;&gt;"",MAXIFS(Token!$B:$B,Token!$A:$A,$D314),)</f>
        <v/>
      </c>
    </row>
    <row r="315">
      <c r="A315" s="39" t="str">
        <f>IF(AND($L315*1&gt;=$G$3,$L315*1&lt;=$G$4,$I315*$J315&gt;0,OR($I315&lt;&gt;$I316,$L315-$L316&gt;25),$I315/POW(10,$J315)*MAXIFS(Token!$B:$B,Token!$A:$A,$K315)&gt;0.01),$L315/86400+DATE(1970,1,1)+$G$6,)</f>
        <v/>
      </c>
      <c r="B315" s="27" t="str">
        <f t="shared" si="1"/>
        <v/>
      </c>
      <c r="C315" s="14" t="str">
        <f>IF($A315&lt;&gt;"",MINIFS(Merchant!$A:$A,Merchant!$B:$B,$G$2),)</f>
        <v/>
      </c>
      <c r="D315" s="14" t="str">
        <f t="shared" si="2"/>
        <v/>
      </c>
      <c r="E315" s="14" t="str">
        <f t="shared" si="3"/>
        <v/>
      </c>
      <c r="F315" s="7" t="str">
        <f>IF($A315&lt;&gt;"",MAXIFS(Token!$B:$B,Token!$A:$A,$D315),)</f>
        <v/>
      </c>
    </row>
    <row r="316">
      <c r="A316" s="39" t="str">
        <f>IF(AND($L316*1&gt;=$G$3,$L316*1&lt;=$G$4,$I316*$J316&gt;0,OR($I316&lt;&gt;$I317,$L316-$L317&gt;25),$I316/POW(10,$J316)*MAXIFS(Token!$B:$B,Token!$A:$A,$K316)&gt;0.01),$L316/86400+DATE(1970,1,1)+$G$6,)</f>
        <v/>
      </c>
      <c r="B316" s="27" t="str">
        <f t="shared" si="1"/>
        <v/>
      </c>
      <c r="C316" s="14" t="str">
        <f>IF($A316&lt;&gt;"",MINIFS(Merchant!$A:$A,Merchant!$B:$B,$G$2),)</f>
        <v/>
      </c>
      <c r="D316" s="14" t="str">
        <f t="shared" si="2"/>
        <v/>
      </c>
      <c r="E316" s="14" t="str">
        <f t="shared" si="3"/>
        <v/>
      </c>
      <c r="F316" s="7" t="str">
        <f>IF($A316&lt;&gt;"",MAXIFS(Token!$B:$B,Token!$A:$A,$D316),)</f>
        <v/>
      </c>
    </row>
    <row r="317">
      <c r="A317" s="39" t="str">
        <f>IF(AND($L317*1&gt;=$G$3,$L317*1&lt;=$G$4,$I317*$J317&gt;0,OR($I317&lt;&gt;$I318,$L317-$L318&gt;25),$I317/POW(10,$J317)*MAXIFS(Token!$B:$B,Token!$A:$A,$K317)&gt;0.01),$L317/86400+DATE(1970,1,1)+$G$6,)</f>
        <v/>
      </c>
      <c r="B317" s="27" t="str">
        <f t="shared" si="1"/>
        <v/>
      </c>
      <c r="C317" s="14" t="str">
        <f>IF($A317&lt;&gt;"",MINIFS(Merchant!$A:$A,Merchant!$B:$B,$G$2),)</f>
        <v/>
      </c>
      <c r="D317" s="14" t="str">
        <f t="shared" si="2"/>
        <v/>
      </c>
      <c r="E317" s="14" t="str">
        <f t="shared" si="3"/>
        <v/>
      </c>
      <c r="F317" s="7" t="str">
        <f>IF($A317&lt;&gt;"",MAXIFS(Token!$B:$B,Token!$A:$A,$D317),)</f>
        <v/>
      </c>
    </row>
    <row r="318">
      <c r="A318" s="39" t="str">
        <f>IF(AND($L318*1&gt;=$G$3,$L318*1&lt;=$G$4,$I318*$J318&gt;0,OR($I318&lt;&gt;$I319,$L318-$L319&gt;25),$I318/POW(10,$J318)*MAXIFS(Token!$B:$B,Token!$A:$A,$K318)&gt;0.01),$L318/86400+DATE(1970,1,1)+$G$6,)</f>
        <v/>
      </c>
      <c r="B318" s="27" t="str">
        <f t="shared" si="1"/>
        <v/>
      </c>
      <c r="C318" s="14" t="str">
        <f>IF($A318&lt;&gt;"",MINIFS(Merchant!$A:$A,Merchant!$B:$B,$G$2),)</f>
        <v/>
      </c>
      <c r="D318" s="14" t="str">
        <f t="shared" si="2"/>
        <v/>
      </c>
      <c r="E318" s="14" t="str">
        <f t="shared" si="3"/>
        <v/>
      </c>
      <c r="F318" s="7" t="str">
        <f>IF($A318&lt;&gt;"",MAXIFS(Token!$B:$B,Token!$A:$A,$D318),)</f>
        <v/>
      </c>
    </row>
    <row r="319">
      <c r="A319" s="39" t="str">
        <f>IF(AND($L319*1&gt;=$G$3,$L319*1&lt;=$G$4,$I319*$J319&gt;0,OR($I319&lt;&gt;$I320,$L319-$L320&gt;25),$I319/POW(10,$J319)*MAXIFS(Token!$B:$B,Token!$A:$A,$K319)&gt;0.01),$L319/86400+DATE(1970,1,1)+$G$6,)</f>
        <v/>
      </c>
      <c r="B319" s="27" t="str">
        <f t="shared" si="1"/>
        <v/>
      </c>
      <c r="C319" s="14" t="str">
        <f>IF($A319&lt;&gt;"",MINIFS(Merchant!$A:$A,Merchant!$B:$B,$G$2),)</f>
        <v/>
      </c>
      <c r="D319" s="14" t="str">
        <f t="shared" si="2"/>
        <v/>
      </c>
      <c r="E319" s="14" t="str">
        <f t="shared" si="3"/>
        <v/>
      </c>
      <c r="F319" s="7" t="str">
        <f>IF($A319&lt;&gt;"",MAXIFS(Token!$B:$B,Token!$A:$A,$D319),)</f>
        <v/>
      </c>
    </row>
    <row r="320">
      <c r="A320" s="39" t="str">
        <f>IF(AND($L320*1&gt;=$G$3,$L320*1&lt;=$G$4,$I320*$J320&gt;0,OR($I320&lt;&gt;$I321,$L320-$L321&gt;25),$I320/POW(10,$J320)*MAXIFS(Token!$B:$B,Token!$A:$A,$K320)&gt;0.01),$L320/86400+DATE(1970,1,1)+$G$6,)</f>
        <v/>
      </c>
      <c r="B320" s="27" t="str">
        <f t="shared" si="1"/>
        <v/>
      </c>
      <c r="C320" s="14" t="str">
        <f>IF($A320&lt;&gt;"",MINIFS(Merchant!$A:$A,Merchant!$B:$B,$G$2),)</f>
        <v/>
      </c>
      <c r="D320" s="14" t="str">
        <f t="shared" si="2"/>
        <v/>
      </c>
      <c r="E320" s="14" t="str">
        <f t="shared" si="3"/>
        <v/>
      </c>
      <c r="F320" s="7" t="str">
        <f>IF($A320&lt;&gt;"",MAXIFS(Token!$B:$B,Token!$A:$A,$D320),)</f>
        <v/>
      </c>
    </row>
    <row r="321">
      <c r="A321" s="39" t="str">
        <f>IF(AND($L321*1&gt;=$G$3,$L321*1&lt;=$G$4,$I321*$J321&gt;0,OR($I321&lt;&gt;$I322,$L321-$L322&gt;25),$I321/POW(10,$J321)*MAXIFS(Token!$B:$B,Token!$A:$A,$K321)&gt;0.01),$L321/86400+DATE(1970,1,1)+$G$6,)</f>
        <v/>
      </c>
      <c r="B321" s="27" t="str">
        <f t="shared" si="1"/>
        <v/>
      </c>
      <c r="C321" s="14" t="str">
        <f>IF($A321&lt;&gt;"",MINIFS(Merchant!$A:$A,Merchant!$B:$B,$G$2),)</f>
        <v/>
      </c>
      <c r="D321" s="14" t="str">
        <f t="shared" si="2"/>
        <v/>
      </c>
      <c r="E321" s="14" t="str">
        <f t="shared" si="3"/>
        <v/>
      </c>
      <c r="F321" s="7" t="str">
        <f>IF($A321&lt;&gt;"",MAXIFS(Token!$B:$B,Token!$A:$A,$D321),)</f>
        <v/>
      </c>
    </row>
    <row r="322">
      <c r="A322" s="39" t="str">
        <f>IF(AND($L322*1&gt;=$G$3,$L322*1&lt;=$G$4,$I322*$J322&gt;0,OR($I322&lt;&gt;$I323,$L322-$L323&gt;25),$I322/POW(10,$J322)*MAXIFS(Token!$B:$B,Token!$A:$A,$K322)&gt;0.01),$L322/86400+DATE(1970,1,1)+$G$6,)</f>
        <v/>
      </c>
      <c r="B322" s="27" t="str">
        <f t="shared" si="1"/>
        <v/>
      </c>
      <c r="C322" s="14" t="str">
        <f>IF($A322&lt;&gt;"",MINIFS(Merchant!$A:$A,Merchant!$B:$B,$G$2),)</f>
        <v/>
      </c>
      <c r="D322" s="14" t="str">
        <f t="shared" si="2"/>
        <v/>
      </c>
      <c r="E322" s="14" t="str">
        <f t="shared" si="3"/>
        <v/>
      </c>
      <c r="F322" s="7" t="str">
        <f>IF($A322&lt;&gt;"",MAXIFS(Token!$B:$B,Token!$A:$A,$D322),)</f>
        <v/>
      </c>
    </row>
    <row r="323">
      <c r="A323" s="39" t="str">
        <f>IF(AND($L323*1&gt;=$G$3,$L323*1&lt;=$G$4,$I323*$J323&gt;0,OR($I323&lt;&gt;$I324,$L323-$L324&gt;25),$I323/POW(10,$J323)*MAXIFS(Token!$B:$B,Token!$A:$A,$K323)&gt;0.01),$L323/86400+DATE(1970,1,1)+$G$6,)</f>
        <v/>
      </c>
      <c r="B323" s="27" t="str">
        <f t="shared" si="1"/>
        <v/>
      </c>
      <c r="C323" s="14" t="str">
        <f>IF($A323&lt;&gt;"",MINIFS(Merchant!$A:$A,Merchant!$B:$B,$G$2),)</f>
        <v/>
      </c>
      <c r="D323" s="14" t="str">
        <f t="shared" si="2"/>
        <v/>
      </c>
      <c r="E323" s="14" t="str">
        <f t="shared" si="3"/>
        <v/>
      </c>
      <c r="F323" s="7" t="str">
        <f>IF($A323&lt;&gt;"",MAXIFS(Token!$B:$B,Token!$A:$A,$D323),)</f>
        <v/>
      </c>
    </row>
    <row r="324">
      <c r="A324" s="39" t="str">
        <f>IF(AND($L324*1&gt;=$G$3,$L324*1&lt;=$G$4,$I324*$J324&gt;0,OR($I324&lt;&gt;$I325,$L324-$L325&gt;25),$I324/POW(10,$J324)*MAXIFS(Token!$B:$B,Token!$A:$A,$K324)&gt;0.01),$L324/86400+DATE(1970,1,1)+$G$6,)</f>
        <v/>
      </c>
      <c r="B324" s="27" t="str">
        <f t="shared" si="1"/>
        <v/>
      </c>
      <c r="C324" s="14" t="str">
        <f>IF($A324&lt;&gt;"",MINIFS(Merchant!$A:$A,Merchant!$B:$B,$G$2),)</f>
        <v/>
      </c>
      <c r="D324" s="14" t="str">
        <f t="shared" si="2"/>
        <v/>
      </c>
      <c r="E324" s="14" t="str">
        <f t="shared" si="3"/>
        <v/>
      </c>
      <c r="F324" s="7" t="str">
        <f>IF($A324&lt;&gt;"",MAXIFS(Token!$B:$B,Token!$A:$A,$D324),)</f>
        <v/>
      </c>
    </row>
    <row r="325">
      <c r="A325" s="39" t="str">
        <f>IF(AND($L325*1&gt;=$G$3,$L325*1&lt;=$G$4,$I325*$J325&gt;0,OR($I325&lt;&gt;$I326,$L325-$L326&gt;25),$I325/POW(10,$J325)*MAXIFS(Token!$B:$B,Token!$A:$A,$K325)&gt;0.01),$L325/86400+DATE(1970,1,1)+$G$6,)</f>
        <v/>
      </c>
      <c r="B325" s="27" t="str">
        <f t="shared" si="1"/>
        <v/>
      </c>
      <c r="C325" s="14" t="str">
        <f>IF($A325&lt;&gt;"",MINIFS(Merchant!$A:$A,Merchant!$B:$B,$G$2),)</f>
        <v/>
      </c>
      <c r="D325" s="14" t="str">
        <f t="shared" si="2"/>
        <v/>
      </c>
      <c r="E325" s="14" t="str">
        <f t="shared" si="3"/>
        <v/>
      </c>
      <c r="F325" s="7" t="str">
        <f>IF($A325&lt;&gt;"",MAXIFS(Token!$B:$B,Token!$A:$A,$D325),)</f>
        <v/>
      </c>
    </row>
    <row r="326">
      <c r="A326" s="39" t="str">
        <f>IF(AND($L326*1&gt;=$G$3,$L326*1&lt;=$G$4,$I326*$J326&gt;0,OR($I326&lt;&gt;$I327,$L326-$L327&gt;25),$I326/POW(10,$J326)*MAXIFS(Token!$B:$B,Token!$A:$A,$K326)&gt;0.01),$L326/86400+DATE(1970,1,1)+$G$6,)</f>
        <v/>
      </c>
      <c r="B326" s="27" t="str">
        <f t="shared" si="1"/>
        <v/>
      </c>
      <c r="C326" s="14" t="str">
        <f>IF($A326&lt;&gt;"",MINIFS(Merchant!$A:$A,Merchant!$B:$B,$G$2),)</f>
        <v/>
      </c>
      <c r="D326" s="14" t="str">
        <f t="shared" si="2"/>
        <v/>
      </c>
      <c r="E326" s="14" t="str">
        <f t="shared" si="3"/>
        <v/>
      </c>
      <c r="F326" s="7" t="str">
        <f>IF($A326&lt;&gt;"",MAXIFS(Token!$B:$B,Token!$A:$A,$D326),)</f>
        <v/>
      </c>
    </row>
    <row r="327">
      <c r="A327" s="39" t="str">
        <f>IF(AND($L327*1&gt;=$G$3,$L327*1&lt;=$G$4,$I327*$J327&gt;0,OR($I327&lt;&gt;$I328,$L327-$L328&gt;25),$I327/POW(10,$J327)*MAXIFS(Token!$B:$B,Token!$A:$A,$K327)&gt;0.01),$L327/86400+DATE(1970,1,1)+$G$6,)</f>
        <v/>
      </c>
      <c r="B327" s="27" t="str">
        <f t="shared" si="1"/>
        <v/>
      </c>
      <c r="C327" s="14" t="str">
        <f>IF($A327&lt;&gt;"",MINIFS(Merchant!$A:$A,Merchant!$B:$B,$G$2),)</f>
        <v/>
      </c>
      <c r="D327" s="14" t="str">
        <f t="shared" si="2"/>
        <v/>
      </c>
      <c r="E327" s="14" t="str">
        <f t="shared" si="3"/>
        <v/>
      </c>
      <c r="F327" s="7" t="str">
        <f>IF($A327&lt;&gt;"",MAXIFS(Token!$B:$B,Token!$A:$A,$D327),)</f>
        <v/>
      </c>
    </row>
    <row r="328">
      <c r="A328" s="39" t="str">
        <f>IF(AND($L328*1&gt;=$G$3,$L328*1&lt;=$G$4,$I328*$J328&gt;0,OR($I328&lt;&gt;$I329,$L328-$L329&gt;25),$I328/POW(10,$J328)*MAXIFS(Token!$B:$B,Token!$A:$A,$K328)&gt;0.01),$L328/86400+DATE(1970,1,1)+$G$6,)</f>
        <v/>
      </c>
      <c r="B328" s="27" t="str">
        <f t="shared" si="1"/>
        <v/>
      </c>
      <c r="C328" s="14" t="str">
        <f>IF($A328&lt;&gt;"",MINIFS(Merchant!$A:$A,Merchant!$B:$B,$G$2),)</f>
        <v/>
      </c>
      <c r="D328" s="14" t="str">
        <f t="shared" si="2"/>
        <v/>
      </c>
      <c r="E328" s="14" t="str">
        <f t="shared" si="3"/>
        <v/>
      </c>
      <c r="F328" s="7" t="str">
        <f>IF($A328&lt;&gt;"",MAXIFS(Token!$B:$B,Token!$A:$A,$D328),)</f>
        <v/>
      </c>
    </row>
    <row r="329">
      <c r="A329" s="39" t="str">
        <f>IF(AND($L329*1&gt;=$G$3,$L329*1&lt;=$G$4,$I329*$J329&gt;0,OR($I329&lt;&gt;$I330,$L329-$L330&gt;25),$I329/POW(10,$J329)*MAXIFS(Token!$B:$B,Token!$A:$A,$K329)&gt;0.01),$L329/86400+DATE(1970,1,1)+$G$6,)</f>
        <v/>
      </c>
      <c r="B329" s="27" t="str">
        <f t="shared" si="1"/>
        <v/>
      </c>
      <c r="C329" s="14" t="str">
        <f>IF($A329&lt;&gt;"",MINIFS(Merchant!$A:$A,Merchant!$B:$B,$G$2),)</f>
        <v/>
      </c>
      <c r="D329" s="14" t="str">
        <f t="shared" si="2"/>
        <v/>
      </c>
      <c r="E329" s="14" t="str">
        <f t="shared" si="3"/>
        <v/>
      </c>
      <c r="F329" s="7" t="str">
        <f>IF($A329&lt;&gt;"",MAXIFS(Token!$B:$B,Token!$A:$A,$D329),)</f>
        <v/>
      </c>
    </row>
    <row r="330">
      <c r="A330" s="39" t="str">
        <f>IF(AND($L330*1&gt;=$G$3,$L330*1&lt;=$G$4,$I330*$J330&gt;0,OR($I330&lt;&gt;$I331,$L330-$L331&gt;25),$I330/POW(10,$J330)*MAXIFS(Token!$B:$B,Token!$A:$A,$K330)&gt;0.01),$L330/86400+DATE(1970,1,1)+$G$6,)</f>
        <v/>
      </c>
      <c r="B330" s="27" t="str">
        <f t="shared" si="1"/>
        <v/>
      </c>
      <c r="C330" s="14" t="str">
        <f>IF($A330&lt;&gt;"",MINIFS(Merchant!$A:$A,Merchant!$B:$B,$G$2),)</f>
        <v/>
      </c>
      <c r="D330" s="14" t="str">
        <f t="shared" si="2"/>
        <v/>
      </c>
      <c r="E330" s="14" t="str">
        <f t="shared" si="3"/>
        <v/>
      </c>
      <c r="F330" s="7" t="str">
        <f>IF($A330&lt;&gt;"",MAXIFS(Token!$B:$B,Token!$A:$A,$D330),)</f>
        <v/>
      </c>
    </row>
    <row r="331">
      <c r="A331" s="39" t="str">
        <f>IF(AND($L331*1&gt;=$G$3,$L331*1&lt;=$G$4,$I331*$J331&gt;0,OR($I331&lt;&gt;$I332,$L331-$L332&gt;25),$I331/POW(10,$J331)*MAXIFS(Token!$B:$B,Token!$A:$A,$K331)&gt;0.01),$L331/86400+DATE(1970,1,1)+$G$6,)</f>
        <v/>
      </c>
      <c r="B331" s="27" t="str">
        <f t="shared" si="1"/>
        <v/>
      </c>
      <c r="C331" s="14" t="str">
        <f>IF($A331&lt;&gt;"",MINIFS(Merchant!$A:$A,Merchant!$B:$B,$G$2),)</f>
        <v/>
      </c>
      <c r="D331" s="14" t="str">
        <f t="shared" si="2"/>
        <v/>
      </c>
      <c r="E331" s="14" t="str">
        <f t="shared" si="3"/>
        <v/>
      </c>
      <c r="F331" s="7" t="str">
        <f>IF($A331&lt;&gt;"",MAXIFS(Token!$B:$B,Token!$A:$A,$D331),)</f>
        <v/>
      </c>
    </row>
    <row r="332">
      <c r="A332" s="39" t="str">
        <f>IF(AND($L332*1&gt;=$G$3,$L332*1&lt;=$G$4,$I332*$J332&gt;0,OR($I332&lt;&gt;$I333,$L332-$L333&gt;25),$I332/POW(10,$J332)*MAXIFS(Token!$B:$B,Token!$A:$A,$K332)&gt;0.01),$L332/86400+DATE(1970,1,1)+$G$6,)</f>
        <v/>
      </c>
      <c r="B332" s="27" t="str">
        <f t="shared" si="1"/>
        <v/>
      </c>
      <c r="C332" s="14" t="str">
        <f>IF($A332&lt;&gt;"",MINIFS(Merchant!$A:$A,Merchant!$B:$B,$G$2),)</f>
        <v/>
      </c>
      <c r="D332" s="14" t="str">
        <f t="shared" si="2"/>
        <v/>
      </c>
      <c r="E332" s="14" t="str">
        <f t="shared" si="3"/>
        <v/>
      </c>
      <c r="F332" s="7" t="str">
        <f>IF($A332&lt;&gt;"",MAXIFS(Token!$B:$B,Token!$A:$A,$D332),)</f>
        <v/>
      </c>
    </row>
    <row r="333">
      <c r="A333" s="39" t="str">
        <f>IF(AND($L333*1&gt;=$G$3,$L333*1&lt;=$G$4,$I333*$J333&gt;0,OR($I333&lt;&gt;$I334,$L333-$L334&gt;25),$I333/POW(10,$J333)*MAXIFS(Token!$B:$B,Token!$A:$A,$K333)&gt;0.01),$L333/86400+DATE(1970,1,1)+$G$6,)</f>
        <v/>
      </c>
      <c r="B333" s="27" t="str">
        <f t="shared" si="1"/>
        <v/>
      </c>
      <c r="C333" s="14" t="str">
        <f>IF($A333&lt;&gt;"",MINIFS(Merchant!$A:$A,Merchant!$B:$B,$G$2),)</f>
        <v/>
      </c>
      <c r="D333" s="14" t="str">
        <f t="shared" si="2"/>
        <v/>
      </c>
      <c r="E333" s="14" t="str">
        <f t="shared" si="3"/>
        <v/>
      </c>
      <c r="F333" s="7" t="str">
        <f>IF($A333&lt;&gt;"",MAXIFS(Token!$B:$B,Token!$A:$A,$D333),)</f>
        <v/>
      </c>
    </row>
    <row r="334">
      <c r="A334" s="39" t="str">
        <f>IF(AND($L334*1&gt;=$G$3,$L334*1&lt;=$G$4,$I334*$J334&gt;0,OR($I334&lt;&gt;$I335,$L334-$L335&gt;25),$I334/POW(10,$J334)*MAXIFS(Token!$B:$B,Token!$A:$A,$K334)&gt;0.01),$L334/86400+DATE(1970,1,1)+$G$6,)</f>
        <v/>
      </c>
      <c r="B334" s="27" t="str">
        <f t="shared" si="1"/>
        <v/>
      </c>
      <c r="C334" s="14" t="str">
        <f>IF($A334&lt;&gt;"",MINIFS(Merchant!$A:$A,Merchant!$B:$B,$G$2),)</f>
        <v/>
      </c>
      <c r="D334" s="14" t="str">
        <f t="shared" si="2"/>
        <v/>
      </c>
      <c r="E334" s="14" t="str">
        <f t="shared" si="3"/>
        <v/>
      </c>
      <c r="F334" s="7" t="str">
        <f>IF($A334&lt;&gt;"",MAXIFS(Token!$B:$B,Token!$A:$A,$D334),)</f>
        <v/>
      </c>
    </row>
    <row r="335">
      <c r="A335" s="39" t="str">
        <f>IF(AND($L335*1&gt;=$G$3,$L335*1&lt;=$G$4,$I335*$J335&gt;0,OR($I335&lt;&gt;$I336,$L335-$L336&gt;25),$I335/POW(10,$J335)*MAXIFS(Token!$B:$B,Token!$A:$A,$K335)&gt;0.01),$L335/86400+DATE(1970,1,1)+$G$6,)</f>
        <v/>
      </c>
      <c r="B335" s="27" t="str">
        <f t="shared" si="1"/>
        <v/>
      </c>
      <c r="C335" s="14" t="str">
        <f>IF($A335&lt;&gt;"",MINIFS(Merchant!$A:$A,Merchant!$B:$B,$G$2),)</f>
        <v/>
      </c>
      <c r="D335" s="14" t="str">
        <f t="shared" si="2"/>
        <v/>
      </c>
      <c r="E335" s="14" t="str">
        <f t="shared" si="3"/>
        <v/>
      </c>
      <c r="F335" s="7" t="str">
        <f>IF($A335&lt;&gt;"",MAXIFS(Token!$B:$B,Token!$A:$A,$D335),)</f>
        <v/>
      </c>
    </row>
    <row r="336">
      <c r="A336" s="39" t="str">
        <f>IF(AND($L336*1&gt;=$G$3,$L336*1&lt;=$G$4,$I336*$J336&gt;0,OR($I336&lt;&gt;$I337,$L336-$L337&gt;25),$I336/POW(10,$J336)*MAXIFS(Token!$B:$B,Token!$A:$A,$K336)&gt;0.01),$L336/86400+DATE(1970,1,1)+$G$6,)</f>
        <v/>
      </c>
      <c r="B336" s="27" t="str">
        <f t="shared" si="1"/>
        <v/>
      </c>
      <c r="C336" s="14" t="str">
        <f>IF($A336&lt;&gt;"",MINIFS(Merchant!$A:$A,Merchant!$B:$B,$G$2),)</f>
        <v/>
      </c>
      <c r="D336" s="14" t="str">
        <f t="shared" si="2"/>
        <v/>
      </c>
      <c r="E336" s="14" t="str">
        <f t="shared" si="3"/>
        <v/>
      </c>
      <c r="F336" s="7" t="str">
        <f>IF($A336&lt;&gt;"",MAXIFS(Token!$B:$B,Token!$A:$A,$D336),)</f>
        <v/>
      </c>
    </row>
    <row r="337">
      <c r="A337" s="39" t="str">
        <f>IF(AND($L337*1&gt;=$G$3,$L337*1&lt;=$G$4,$I337*$J337&gt;0,OR($I337&lt;&gt;$I338,$L337-$L338&gt;25),$I337/POW(10,$J337)*MAXIFS(Token!$B:$B,Token!$A:$A,$K337)&gt;0.01),$L337/86400+DATE(1970,1,1)+$G$6,)</f>
        <v/>
      </c>
      <c r="B337" s="27" t="str">
        <f t="shared" si="1"/>
        <v/>
      </c>
      <c r="C337" s="14" t="str">
        <f>IF($A337&lt;&gt;"",MINIFS(Merchant!$A:$A,Merchant!$B:$B,$G$2),)</f>
        <v/>
      </c>
      <c r="D337" s="14" t="str">
        <f t="shared" si="2"/>
        <v/>
      </c>
      <c r="E337" s="14" t="str">
        <f t="shared" si="3"/>
        <v/>
      </c>
      <c r="F337" s="7" t="str">
        <f>IF($A337&lt;&gt;"",MAXIFS(Token!$B:$B,Token!$A:$A,$D337),)</f>
        <v/>
      </c>
    </row>
    <row r="338">
      <c r="A338" s="39" t="str">
        <f>IF(AND($L338*1&gt;=$G$3,$L338*1&lt;=$G$4,$I338*$J338&gt;0,OR($I338&lt;&gt;$I339,$L338-$L339&gt;25),$I338/POW(10,$J338)*MAXIFS(Token!$B:$B,Token!$A:$A,$K338)&gt;0.01),$L338/86400+DATE(1970,1,1)+$G$6,)</f>
        <v/>
      </c>
      <c r="B338" s="27" t="str">
        <f t="shared" si="1"/>
        <v/>
      </c>
      <c r="C338" s="14" t="str">
        <f>IF($A338&lt;&gt;"",MINIFS(Merchant!$A:$A,Merchant!$B:$B,$G$2),)</f>
        <v/>
      </c>
      <c r="D338" s="14" t="str">
        <f t="shared" si="2"/>
        <v/>
      </c>
      <c r="E338" s="14" t="str">
        <f t="shared" si="3"/>
        <v/>
      </c>
      <c r="F338" s="7" t="str">
        <f>IF($A338&lt;&gt;"",MAXIFS(Token!$B:$B,Token!$A:$A,$D338),)</f>
        <v/>
      </c>
    </row>
    <row r="339">
      <c r="A339" s="39" t="str">
        <f>IF(AND($L339*1&gt;=$G$3,$L339*1&lt;=$G$4,$I339*$J339&gt;0,OR($I339&lt;&gt;$I340,$L339-$L340&gt;25),$I339/POW(10,$J339)*MAXIFS(Token!$B:$B,Token!$A:$A,$K339)&gt;0.01),$L339/86400+DATE(1970,1,1)+$G$6,)</f>
        <v/>
      </c>
      <c r="B339" s="27" t="str">
        <f t="shared" si="1"/>
        <v/>
      </c>
      <c r="C339" s="14" t="str">
        <f>IF($A339&lt;&gt;"",MINIFS(Merchant!$A:$A,Merchant!$B:$B,$G$2),)</f>
        <v/>
      </c>
      <c r="D339" s="14" t="str">
        <f t="shared" si="2"/>
        <v/>
      </c>
      <c r="E339" s="14" t="str">
        <f t="shared" si="3"/>
        <v/>
      </c>
      <c r="F339" s="7" t="str">
        <f>IF($A339&lt;&gt;"",MAXIFS(Token!$B:$B,Token!$A:$A,$D339),)</f>
        <v/>
      </c>
    </row>
    <row r="340">
      <c r="A340" s="39" t="str">
        <f>IF(AND($L340*1&gt;=$G$3,$L340*1&lt;=$G$4,$I340*$J340&gt;0,OR($I340&lt;&gt;$I341,$L340-$L341&gt;25),$I340/POW(10,$J340)*MAXIFS(Token!$B:$B,Token!$A:$A,$K340)&gt;0.01),$L340/86400+DATE(1970,1,1)+$G$6,)</f>
        <v/>
      </c>
      <c r="B340" s="27" t="str">
        <f t="shared" si="1"/>
        <v/>
      </c>
      <c r="C340" s="14" t="str">
        <f>IF($A340&lt;&gt;"",MINIFS(Merchant!$A:$A,Merchant!$B:$B,$G$2),)</f>
        <v/>
      </c>
      <c r="D340" s="14" t="str">
        <f t="shared" si="2"/>
        <v/>
      </c>
      <c r="E340" s="14" t="str">
        <f t="shared" si="3"/>
        <v/>
      </c>
      <c r="F340" s="7" t="str">
        <f>IF($A340&lt;&gt;"",MAXIFS(Token!$B:$B,Token!$A:$A,$D340),)</f>
        <v/>
      </c>
    </row>
    <row r="341">
      <c r="A341" s="39" t="str">
        <f>IF(AND($L341*1&gt;=$G$3,$L341*1&lt;=$G$4,$I341*$J341&gt;0,OR($I341&lt;&gt;$I342,$L341-$L342&gt;25),$I341/POW(10,$J341)*MAXIFS(Token!$B:$B,Token!$A:$A,$K341)&gt;0.01),$L341/86400+DATE(1970,1,1)+$G$6,)</f>
        <v/>
      </c>
      <c r="B341" s="27" t="str">
        <f t="shared" si="1"/>
        <v/>
      </c>
      <c r="C341" s="14" t="str">
        <f>IF($A341&lt;&gt;"",MINIFS(Merchant!$A:$A,Merchant!$B:$B,$G$2),)</f>
        <v/>
      </c>
      <c r="D341" s="14" t="str">
        <f t="shared" si="2"/>
        <v/>
      </c>
      <c r="E341" s="14" t="str">
        <f t="shared" si="3"/>
        <v/>
      </c>
      <c r="F341" s="7" t="str">
        <f>IF($A341&lt;&gt;"",MAXIFS(Token!$B:$B,Token!$A:$A,$D341),)</f>
        <v/>
      </c>
    </row>
    <row r="342">
      <c r="A342" s="39" t="str">
        <f>IF(AND($L342*1&gt;=$G$3,$L342*1&lt;=$G$4,$I342*$J342&gt;0,OR($I342&lt;&gt;$I343,$L342-$L343&gt;25),$I342/POW(10,$J342)*MAXIFS(Token!$B:$B,Token!$A:$A,$K342)&gt;0.01),$L342/86400+DATE(1970,1,1)+$G$6,)</f>
        <v/>
      </c>
      <c r="B342" s="27" t="str">
        <f t="shared" si="1"/>
        <v/>
      </c>
      <c r="C342" s="14" t="str">
        <f>IF($A342&lt;&gt;"",MINIFS(Merchant!$A:$A,Merchant!$B:$B,$G$2),)</f>
        <v/>
      </c>
      <c r="D342" s="14" t="str">
        <f t="shared" si="2"/>
        <v/>
      </c>
      <c r="E342" s="14" t="str">
        <f t="shared" si="3"/>
        <v/>
      </c>
      <c r="F342" s="7" t="str">
        <f>IF($A342&lt;&gt;"",MAXIFS(Token!$B:$B,Token!$A:$A,$D342),)</f>
        <v/>
      </c>
    </row>
    <row r="343">
      <c r="A343" s="39" t="str">
        <f>IF(AND($L343*1&gt;=$G$3,$L343*1&lt;=$G$4,$I343*$J343&gt;0,OR($I343&lt;&gt;$I344,$L343-$L344&gt;25),$I343/POW(10,$J343)*MAXIFS(Token!$B:$B,Token!$A:$A,$K343)&gt;0.01),$L343/86400+DATE(1970,1,1)+$G$6,)</f>
        <v/>
      </c>
      <c r="B343" s="27" t="str">
        <f t="shared" si="1"/>
        <v/>
      </c>
      <c r="C343" s="14" t="str">
        <f>IF($A343&lt;&gt;"",MINIFS(Merchant!$A:$A,Merchant!$B:$B,$G$2),)</f>
        <v/>
      </c>
      <c r="D343" s="14" t="str">
        <f t="shared" si="2"/>
        <v/>
      </c>
      <c r="E343" s="14" t="str">
        <f t="shared" si="3"/>
        <v/>
      </c>
      <c r="F343" s="7" t="str">
        <f>IF($A343&lt;&gt;"",MAXIFS(Token!$B:$B,Token!$A:$A,$D343),)</f>
        <v/>
      </c>
    </row>
    <row r="344">
      <c r="A344" s="39" t="str">
        <f>IF(AND($L344*1&gt;=$G$3,$L344*1&lt;=$G$4,$I344*$J344&gt;0,OR($I344&lt;&gt;$I345,$L344-$L345&gt;25),$I344/POW(10,$J344)*MAXIFS(Token!$B:$B,Token!$A:$A,$K344)&gt;0.01),$L344/86400+DATE(1970,1,1)+$G$6,)</f>
        <v/>
      </c>
      <c r="B344" s="27" t="str">
        <f t="shared" si="1"/>
        <v/>
      </c>
      <c r="C344" s="14" t="str">
        <f>IF($A344&lt;&gt;"",MINIFS(Merchant!$A:$A,Merchant!$B:$B,$G$2),)</f>
        <v/>
      </c>
      <c r="D344" s="14" t="str">
        <f t="shared" si="2"/>
        <v/>
      </c>
      <c r="E344" s="14" t="str">
        <f t="shared" si="3"/>
        <v/>
      </c>
      <c r="F344" s="7" t="str">
        <f>IF($A344&lt;&gt;"",MAXIFS(Token!$B:$B,Token!$A:$A,$D344),)</f>
        <v/>
      </c>
    </row>
    <row r="345">
      <c r="A345" s="39" t="str">
        <f>IF(AND($L345*1&gt;=$G$3,$L345*1&lt;=$G$4,$I345*$J345&gt;0,OR($I345&lt;&gt;$I346,$L345-$L346&gt;25),$I345/POW(10,$J345)*MAXIFS(Token!$B:$B,Token!$A:$A,$K345)&gt;0.01),$L345/86400+DATE(1970,1,1)+$G$6,)</f>
        <v/>
      </c>
      <c r="B345" s="27" t="str">
        <f t="shared" si="1"/>
        <v/>
      </c>
      <c r="C345" s="14" t="str">
        <f>IF($A345&lt;&gt;"",MINIFS(Merchant!$A:$A,Merchant!$B:$B,$G$2),)</f>
        <v/>
      </c>
      <c r="D345" s="14" t="str">
        <f t="shared" si="2"/>
        <v/>
      </c>
      <c r="E345" s="14" t="str">
        <f t="shared" si="3"/>
        <v/>
      </c>
      <c r="F345" s="7" t="str">
        <f>IF($A345&lt;&gt;"",MAXIFS(Token!$B:$B,Token!$A:$A,$D345),)</f>
        <v/>
      </c>
    </row>
    <row r="346">
      <c r="A346" s="39" t="str">
        <f>IF(AND($L346*1&gt;=$G$3,$L346*1&lt;=$G$4,$I346*$J346&gt;0,OR($I346&lt;&gt;$I347,$L346-$L347&gt;25),$I346/POW(10,$J346)*MAXIFS(Token!$B:$B,Token!$A:$A,$K346)&gt;0.01),$L346/86400+DATE(1970,1,1)+$G$6,)</f>
        <v/>
      </c>
      <c r="B346" s="27" t="str">
        <f t="shared" si="1"/>
        <v/>
      </c>
      <c r="C346" s="14" t="str">
        <f>IF($A346&lt;&gt;"",MINIFS(Merchant!$A:$A,Merchant!$B:$B,$G$2),)</f>
        <v/>
      </c>
      <c r="D346" s="14" t="str">
        <f t="shared" si="2"/>
        <v/>
      </c>
      <c r="E346" s="14" t="str">
        <f t="shared" si="3"/>
        <v/>
      </c>
      <c r="F346" s="7" t="str">
        <f>IF($A346&lt;&gt;"",MAXIFS(Token!$B:$B,Token!$A:$A,$D346),)</f>
        <v/>
      </c>
    </row>
    <row r="347">
      <c r="A347" s="39" t="str">
        <f>IF(AND($L347*1&gt;=$G$3,$L347*1&lt;=$G$4,$I347*$J347&gt;0,OR($I347&lt;&gt;$I348,$L347-$L348&gt;25),$I347/POW(10,$J347)*MAXIFS(Token!$B:$B,Token!$A:$A,$K347)&gt;0.01),$L347/86400+DATE(1970,1,1)+$G$6,)</f>
        <v/>
      </c>
      <c r="B347" s="27" t="str">
        <f t="shared" si="1"/>
        <v/>
      </c>
      <c r="C347" s="14" t="str">
        <f>IF($A347&lt;&gt;"",MINIFS(Merchant!$A:$A,Merchant!$B:$B,$G$2),)</f>
        <v/>
      </c>
      <c r="D347" s="14" t="str">
        <f t="shared" si="2"/>
        <v/>
      </c>
      <c r="E347" s="14" t="str">
        <f t="shared" si="3"/>
        <v/>
      </c>
      <c r="F347" s="7" t="str">
        <f>IF($A347&lt;&gt;"",MAXIFS(Token!$B:$B,Token!$A:$A,$D347),)</f>
        <v/>
      </c>
    </row>
    <row r="348">
      <c r="A348" s="39" t="str">
        <f>IF(AND($L348*1&gt;=$G$3,$L348*1&lt;=$G$4,$I348*$J348&gt;0,OR($I348&lt;&gt;$I349,$L348-$L349&gt;25),$I348/POW(10,$J348)*MAXIFS(Token!$B:$B,Token!$A:$A,$K348)&gt;0.01),$L348/86400+DATE(1970,1,1)+$G$6,)</f>
        <v/>
      </c>
      <c r="B348" s="27" t="str">
        <f t="shared" si="1"/>
        <v/>
      </c>
      <c r="C348" s="14" t="str">
        <f>IF($A348&lt;&gt;"",MINIFS(Merchant!$A:$A,Merchant!$B:$B,$G$2),)</f>
        <v/>
      </c>
      <c r="D348" s="14" t="str">
        <f t="shared" si="2"/>
        <v/>
      </c>
      <c r="E348" s="14" t="str">
        <f t="shared" si="3"/>
        <v/>
      </c>
      <c r="F348" s="7" t="str">
        <f>IF($A348&lt;&gt;"",MAXIFS(Token!$B:$B,Token!$A:$A,$D348),)</f>
        <v/>
      </c>
    </row>
    <row r="349">
      <c r="A349" s="39" t="str">
        <f>IF(AND($L349*1&gt;=$G$3,$L349*1&lt;=$G$4,$I349*$J349&gt;0,OR($I349&lt;&gt;$I350,$L349-$L350&gt;25),$I349/POW(10,$J349)*MAXIFS(Token!$B:$B,Token!$A:$A,$K349)&gt;0.01),$L349/86400+DATE(1970,1,1)+$G$6,)</f>
        <v/>
      </c>
      <c r="B349" s="27" t="str">
        <f t="shared" si="1"/>
        <v/>
      </c>
      <c r="C349" s="14" t="str">
        <f>IF($A349&lt;&gt;"",MINIFS(Merchant!$A:$A,Merchant!$B:$B,$G$2),)</f>
        <v/>
      </c>
      <c r="D349" s="14" t="str">
        <f t="shared" si="2"/>
        <v/>
      </c>
      <c r="E349" s="14" t="str">
        <f t="shared" si="3"/>
        <v/>
      </c>
      <c r="F349" s="7" t="str">
        <f>IF($A349&lt;&gt;"",MAXIFS(Token!$B:$B,Token!$A:$A,$D349),)</f>
        <v/>
      </c>
    </row>
    <row r="350">
      <c r="A350" s="39" t="str">
        <f>IF(AND($L350*1&gt;=$G$3,$L350*1&lt;=$G$4,$I350*$J350&gt;0,OR($I350&lt;&gt;$I351,$L350-$L351&gt;25),$I350/POW(10,$J350)*MAXIFS(Token!$B:$B,Token!$A:$A,$K350)&gt;0.01),$L350/86400+DATE(1970,1,1)+$G$6,)</f>
        <v/>
      </c>
      <c r="B350" s="27" t="str">
        <f t="shared" si="1"/>
        <v/>
      </c>
      <c r="C350" s="14" t="str">
        <f>IF($A350&lt;&gt;"",MINIFS(Merchant!$A:$A,Merchant!$B:$B,$G$2),)</f>
        <v/>
      </c>
      <c r="D350" s="14" t="str">
        <f t="shared" si="2"/>
        <v/>
      </c>
      <c r="E350" s="14" t="str">
        <f t="shared" si="3"/>
        <v/>
      </c>
      <c r="F350" s="7" t="str">
        <f>IF($A350&lt;&gt;"",MAXIFS(Token!$B:$B,Token!$A:$A,$D350),)</f>
        <v/>
      </c>
    </row>
    <row r="351">
      <c r="A351" s="39" t="str">
        <f>IF(AND($L351*1&gt;=$G$3,$L351*1&lt;=$G$4,$I351*$J351&gt;0,OR($I351&lt;&gt;$I352,$L351-$L352&gt;25),$I351/POW(10,$J351)*MAXIFS(Token!$B:$B,Token!$A:$A,$K351)&gt;0.01),$L351/86400+DATE(1970,1,1)+$G$6,)</f>
        <v/>
      </c>
      <c r="B351" s="27" t="str">
        <f t="shared" si="1"/>
        <v/>
      </c>
      <c r="C351" s="14" t="str">
        <f>IF($A351&lt;&gt;"",MINIFS(Merchant!$A:$A,Merchant!$B:$B,$G$2),)</f>
        <v/>
      </c>
      <c r="D351" s="14" t="str">
        <f t="shared" si="2"/>
        <v/>
      </c>
      <c r="E351" s="14" t="str">
        <f t="shared" si="3"/>
        <v/>
      </c>
      <c r="F351" s="7" t="str">
        <f>IF($A351&lt;&gt;"",MAXIFS(Token!$B:$B,Token!$A:$A,$D351),)</f>
        <v/>
      </c>
    </row>
    <row r="352">
      <c r="A352" s="39" t="str">
        <f>IF(AND($L352*1&gt;=$G$3,$L352*1&lt;=$G$4,$I352*$J352&gt;0,OR($I352&lt;&gt;$I353,$L352-$L353&gt;25),$I352/POW(10,$J352)*MAXIFS(Token!$B:$B,Token!$A:$A,$K352)&gt;0.01),$L352/86400+DATE(1970,1,1)+$G$6,)</f>
        <v/>
      </c>
      <c r="B352" s="27" t="str">
        <f t="shared" si="1"/>
        <v/>
      </c>
      <c r="C352" s="14" t="str">
        <f>IF($A352&lt;&gt;"",MINIFS(Merchant!$A:$A,Merchant!$B:$B,$G$2),)</f>
        <v/>
      </c>
      <c r="D352" s="14" t="str">
        <f t="shared" si="2"/>
        <v/>
      </c>
      <c r="E352" s="14" t="str">
        <f t="shared" si="3"/>
        <v/>
      </c>
      <c r="F352" s="7" t="str">
        <f>IF($A352&lt;&gt;"",MAXIFS(Token!$B:$B,Token!$A:$A,$D352),)</f>
        <v/>
      </c>
    </row>
    <row r="353">
      <c r="A353" s="39" t="str">
        <f>IF(AND($L353*1&gt;=$G$3,$L353*1&lt;=$G$4,$I353*$J353&gt;0,OR($I353&lt;&gt;$I354,$L353-$L354&gt;25),$I353/POW(10,$J353)*MAXIFS(Token!$B:$B,Token!$A:$A,$K353)&gt;0.01),$L353/86400+DATE(1970,1,1)+$G$6,)</f>
        <v/>
      </c>
      <c r="B353" s="27" t="str">
        <f t="shared" si="1"/>
        <v/>
      </c>
      <c r="C353" s="14" t="str">
        <f>IF($A353&lt;&gt;"",MINIFS(Merchant!$A:$A,Merchant!$B:$B,$G$2),)</f>
        <v/>
      </c>
      <c r="D353" s="14" t="str">
        <f t="shared" si="2"/>
        <v/>
      </c>
      <c r="E353" s="14" t="str">
        <f t="shared" si="3"/>
        <v/>
      </c>
      <c r="F353" s="7" t="str">
        <f>IF($A353&lt;&gt;"",MAXIFS(Token!$B:$B,Token!$A:$A,$D353),)</f>
        <v/>
      </c>
    </row>
    <row r="354">
      <c r="A354" s="39" t="str">
        <f>IF(AND($L354*1&gt;=$G$3,$L354*1&lt;=$G$4,$I354*$J354&gt;0,OR($I354&lt;&gt;$I355,$L354-$L355&gt;25),$I354/POW(10,$J354)*MAXIFS(Token!$B:$B,Token!$A:$A,$K354)&gt;0.01),$L354/86400+DATE(1970,1,1)+$G$6,)</f>
        <v/>
      </c>
      <c r="B354" s="27" t="str">
        <f t="shared" si="1"/>
        <v/>
      </c>
      <c r="C354" s="14" t="str">
        <f>IF($A354&lt;&gt;"",MINIFS(Merchant!$A:$A,Merchant!$B:$B,$G$2),)</f>
        <v/>
      </c>
      <c r="D354" s="14" t="str">
        <f t="shared" si="2"/>
        <v/>
      </c>
      <c r="E354" s="14" t="str">
        <f t="shared" si="3"/>
        <v/>
      </c>
      <c r="F354" s="7" t="str">
        <f>IF($A354&lt;&gt;"",MAXIFS(Token!$B:$B,Token!$A:$A,$D354),)</f>
        <v/>
      </c>
    </row>
    <row r="355">
      <c r="A355" s="39" t="str">
        <f>IF(AND($L355*1&gt;=$G$3,$L355*1&lt;=$G$4,$I355*$J355&gt;0,OR($I355&lt;&gt;$I356,$L355-$L356&gt;25),$I355/POW(10,$J355)*MAXIFS(Token!$B:$B,Token!$A:$A,$K355)&gt;0.01),$L355/86400+DATE(1970,1,1)+$G$6,)</f>
        <v/>
      </c>
      <c r="B355" s="27" t="str">
        <f t="shared" si="1"/>
        <v/>
      </c>
      <c r="C355" s="14" t="str">
        <f>IF($A355&lt;&gt;"",MINIFS(Merchant!$A:$A,Merchant!$B:$B,$G$2),)</f>
        <v/>
      </c>
      <c r="D355" s="14" t="str">
        <f t="shared" si="2"/>
        <v/>
      </c>
      <c r="E355" s="14" t="str">
        <f t="shared" si="3"/>
        <v/>
      </c>
      <c r="F355" s="7" t="str">
        <f>IF($A355&lt;&gt;"",MAXIFS(Token!$B:$B,Token!$A:$A,$D355),)</f>
        <v/>
      </c>
    </row>
    <row r="356">
      <c r="A356" s="39" t="str">
        <f>IF(AND($L356*1&gt;=$G$3,$L356*1&lt;=$G$4,$I356*$J356&gt;0,OR($I356&lt;&gt;$I357,$L356-$L357&gt;25),$I356/POW(10,$J356)*MAXIFS(Token!$B:$B,Token!$A:$A,$K356)&gt;0.01),$L356/86400+DATE(1970,1,1)+$G$6,)</f>
        <v/>
      </c>
      <c r="B356" s="27" t="str">
        <f t="shared" si="1"/>
        <v/>
      </c>
      <c r="C356" s="14" t="str">
        <f>IF($A356&lt;&gt;"",MINIFS(Merchant!$A:$A,Merchant!$B:$B,$G$2),)</f>
        <v/>
      </c>
      <c r="D356" s="14" t="str">
        <f t="shared" si="2"/>
        <v/>
      </c>
      <c r="E356" s="14" t="str">
        <f t="shared" si="3"/>
        <v/>
      </c>
      <c r="F356" s="7" t="str">
        <f>IF($A356&lt;&gt;"",MAXIFS(Token!$B:$B,Token!$A:$A,$D356),)</f>
        <v/>
      </c>
    </row>
    <row r="357">
      <c r="A357" s="39" t="str">
        <f>IF(AND($L357*1&gt;=$G$3,$L357*1&lt;=$G$4,$I357*$J357&gt;0,OR($I357&lt;&gt;$I358,$L357-$L358&gt;25),$I357/POW(10,$J357)*MAXIFS(Token!$B:$B,Token!$A:$A,$K357)&gt;0.01),$L357/86400+DATE(1970,1,1)+$G$6,)</f>
        <v/>
      </c>
      <c r="B357" s="27" t="str">
        <f t="shared" si="1"/>
        <v/>
      </c>
      <c r="C357" s="14" t="str">
        <f>IF($A357&lt;&gt;"",MINIFS(Merchant!$A:$A,Merchant!$B:$B,$G$2),)</f>
        <v/>
      </c>
      <c r="D357" s="14" t="str">
        <f t="shared" si="2"/>
        <v/>
      </c>
      <c r="E357" s="14" t="str">
        <f t="shared" si="3"/>
        <v/>
      </c>
      <c r="F357" s="7" t="str">
        <f>IF($A357&lt;&gt;"",MAXIFS(Token!$B:$B,Token!$A:$A,$D357),)</f>
        <v/>
      </c>
    </row>
    <row r="358">
      <c r="A358" s="39" t="str">
        <f>IF(AND($L358*1&gt;=$G$3,$L358*1&lt;=$G$4,$I358*$J358&gt;0,OR($I358&lt;&gt;$I359,$L358-$L359&gt;25),$I358/POW(10,$J358)*MAXIFS(Token!$B:$B,Token!$A:$A,$K358)&gt;0.01),$L358/86400+DATE(1970,1,1)+$G$6,)</f>
        <v/>
      </c>
      <c r="B358" s="27" t="str">
        <f t="shared" si="1"/>
        <v/>
      </c>
      <c r="C358" s="14" t="str">
        <f>IF($A358&lt;&gt;"",MINIFS(Merchant!$A:$A,Merchant!$B:$B,$G$2),)</f>
        <v/>
      </c>
      <c r="D358" s="14" t="str">
        <f t="shared" si="2"/>
        <v/>
      </c>
      <c r="E358" s="14" t="str">
        <f t="shared" si="3"/>
        <v/>
      </c>
      <c r="F358" s="7" t="str">
        <f>IF($A358&lt;&gt;"",MAXIFS(Token!$B:$B,Token!$A:$A,$D358),)</f>
        <v/>
      </c>
    </row>
    <row r="359">
      <c r="A359" s="39" t="str">
        <f>IF(AND($L359*1&gt;=$G$3,$L359*1&lt;=$G$4,$I359*$J359&gt;0,OR($I359&lt;&gt;$I360,$L359-$L360&gt;25),$I359/POW(10,$J359)*MAXIFS(Token!$B:$B,Token!$A:$A,$K359)&gt;0.01),$L359/86400+DATE(1970,1,1)+$G$6,)</f>
        <v/>
      </c>
      <c r="B359" s="27" t="str">
        <f t="shared" si="1"/>
        <v/>
      </c>
      <c r="C359" s="14" t="str">
        <f>IF($A359&lt;&gt;"",MINIFS(Merchant!$A:$A,Merchant!$B:$B,$G$2),)</f>
        <v/>
      </c>
      <c r="D359" s="14" t="str">
        <f t="shared" si="2"/>
        <v/>
      </c>
      <c r="E359" s="14" t="str">
        <f t="shared" si="3"/>
        <v/>
      </c>
      <c r="F359" s="7" t="str">
        <f>IF($A359&lt;&gt;"",MAXIFS(Token!$B:$B,Token!$A:$A,$D359),)</f>
        <v/>
      </c>
    </row>
    <row r="360">
      <c r="A360" s="39" t="str">
        <f>IF(AND($L360*1&gt;=$G$3,$L360*1&lt;=$G$4,$I360*$J360&gt;0,OR($I360&lt;&gt;$I361,$L360-$L361&gt;25),$I360/POW(10,$J360)*MAXIFS(Token!$B:$B,Token!$A:$A,$K360)&gt;0.01),$L360/86400+DATE(1970,1,1)+$G$6,)</f>
        <v/>
      </c>
      <c r="B360" s="27" t="str">
        <f t="shared" si="1"/>
        <v/>
      </c>
      <c r="C360" s="14" t="str">
        <f>IF($A360&lt;&gt;"",MINIFS(Merchant!$A:$A,Merchant!$B:$B,$G$2),)</f>
        <v/>
      </c>
      <c r="D360" s="14" t="str">
        <f t="shared" si="2"/>
        <v/>
      </c>
      <c r="E360" s="14" t="str">
        <f t="shared" si="3"/>
        <v/>
      </c>
      <c r="F360" s="7" t="str">
        <f>IF($A360&lt;&gt;"",MAXIFS(Token!$B:$B,Token!$A:$A,$D360),)</f>
        <v/>
      </c>
    </row>
    <row r="361">
      <c r="A361" s="39" t="str">
        <f>IF(AND($L361*1&gt;=$G$3,$L361*1&lt;=$G$4,$I361*$J361&gt;0,OR($I361&lt;&gt;$I362,$L361-$L362&gt;25),$I361/POW(10,$J361)*MAXIFS(Token!$B:$B,Token!$A:$A,$K361)&gt;0.01),$L361/86400+DATE(1970,1,1)+$G$6,)</f>
        <v/>
      </c>
      <c r="B361" s="27" t="str">
        <f t="shared" si="1"/>
        <v/>
      </c>
      <c r="C361" s="14" t="str">
        <f>IF($A361&lt;&gt;"",MINIFS(Merchant!$A:$A,Merchant!$B:$B,$G$2),)</f>
        <v/>
      </c>
      <c r="D361" s="14" t="str">
        <f t="shared" si="2"/>
        <v/>
      </c>
      <c r="E361" s="14" t="str">
        <f t="shared" si="3"/>
        <v/>
      </c>
      <c r="F361" s="7" t="str">
        <f>IF($A361&lt;&gt;"",MAXIFS(Token!$B:$B,Token!$A:$A,$D361),)</f>
        <v/>
      </c>
    </row>
    <row r="362">
      <c r="A362" s="39" t="str">
        <f>IF(AND($L362*1&gt;=$G$3,$L362*1&lt;=$G$4,$I362*$J362&gt;0,OR($I362&lt;&gt;$I363,$L362-$L363&gt;25),$I362/POW(10,$J362)*MAXIFS(Token!$B:$B,Token!$A:$A,$K362)&gt;0.01),$L362/86400+DATE(1970,1,1)+$G$6,)</f>
        <v/>
      </c>
      <c r="B362" s="27" t="str">
        <f t="shared" si="1"/>
        <v/>
      </c>
      <c r="C362" s="14" t="str">
        <f>IF($A362&lt;&gt;"",MINIFS(Merchant!$A:$A,Merchant!$B:$B,$G$2),)</f>
        <v/>
      </c>
      <c r="D362" s="14" t="str">
        <f t="shared" si="2"/>
        <v/>
      </c>
      <c r="E362" s="14" t="str">
        <f t="shared" si="3"/>
        <v/>
      </c>
      <c r="F362" s="7" t="str">
        <f>IF($A362&lt;&gt;"",MAXIFS(Token!$B:$B,Token!$A:$A,$D362),)</f>
        <v/>
      </c>
    </row>
    <row r="363">
      <c r="A363" s="39" t="str">
        <f>IF(AND($L363*1&gt;=$G$3,$L363*1&lt;=$G$4,$I363*$J363&gt;0,OR($I363&lt;&gt;$I364,$L363-$L364&gt;25),$I363/POW(10,$J363)*MAXIFS(Token!$B:$B,Token!$A:$A,$K363)&gt;0.01),$L363/86400+DATE(1970,1,1)+$G$6,)</f>
        <v/>
      </c>
      <c r="B363" s="27" t="str">
        <f t="shared" si="1"/>
        <v/>
      </c>
      <c r="C363" s="14" t="str">
        <f>IF($A363&lt;&gt;"",MINIFS(Merchant!$A:$A,Merchant!$B:$B,$G$2),)</f>
        <v/>
      </c>
      <c r="D363" s="14" t="str">
        <f t="shared" si="2"/>
        <v/>
      </c>
      <c r="E363" s="14" t="str">
        <f t="shared" si="3"/>
        <v/>
      </c>
      <c r="F363" s="7" t="str">
        <f>IF($A363&lt;&gt;"",MAXIFS(Token!$B:$B,Token!$A:$A,$D363),)</f>
        <v/>
      </c>
    </row>
    <row r="364">
      <c r="A364" s="39" t="str">
        <f>IF(AND($L364*1&gt;=$G$3,$L364*1&lt;=$G$4,$I364*$J364&gt;0,OR($I364&lt;&gt;$I365,$L364-$L365&gt;25),$I364/POW(10,$J364)*MAXIFS(Token!$B:$B,Token!$A:$A,$K364)&gt;0.01),$L364/86400+DATE(1970,1,1)+$G$6,)</f>
        <v/>
      </c>
      <c r="B364" s="27" t="str">
        <f t="shared" si="1"/>
        <v/>
      </c>
      <c r="C364" s="14" t="str">
        <f>IF($A364&lt;&gt;"",MINIFS(Merchant!$A:$A,Merchant!$B:$B,$G$2),)</f>
        <v/>
      </c>
      <c r="D364" s="14" t="str">
        <f t="shared" si="2"/>
        <v/>
      </c>
      <c r="E364" s="14" t="str">
        <f t="shared" si="3"/>
        <v/>
      </c>
      <c r="F364" s="7" t="str">
        <f>IF($A364&lt;&gt;"",MAXIFS(Token!$B:$B,Token!$A:$A,$D364),)</f>
        <v/>
      </c>
    </row>
    <row r="365">
      <c r="A365" s="39" t="str">
        <f>IF(AND($L365*1&gt;=$G$3,$L365*1&lt;=$G$4,$I365*$J365&gt;0,OR($I365&lt;&gt;$I366,$L365-$L366&gt;25),$I365/POW(10,$J365)*MAXIFS(Token!$B:$B,Token!$A:$A,$K365)&gt;0.01),$L365/86400+DATE(1970,1,1)+$G$6,)</f>
        <v/>
      </c>
      <c r="B365" s="27" t="str">
        <f t="shared" si="1"/>
        <v/>
      </c>
      <c r="C365" s="14" t="str">
        <f>IF($A365&lt;&gt;"",MINIFS(Merchant!$A:$A,Merchant!$B:$B,$G$2),)</f>
        <v/>
      </c>
      <c r="D365" s="14" t="str">
        <f t="shared" si="2"/>
        <v/>
      </c>
      <c r="E365" s="14" t="str">
        <f t="shared" si="3"/>
        <v/>
      </c>
      <c r="F365" s="7" t="str">
        <f>IF($A365&lt;&gt;"",MAXIFS(Token!$B:$B,Token!$A:$A,$D365),)</f>
        <v/>
      </c>
    </row>
    <row r="366">
      <c r="A366" s="39" t="str">
        <f>IF(AND($L366*1&gt;=$G$3,$L366*1&lt;=$G$4,$I366*$J366&gt;0,OR($I366&lt;&gt;$I367,$L366-$L367&gt;25),$I366/POW(10,$J366)*MAXIFS(Token!$B:$B,Token!$A:$A,$K366)&gt;0.01),$L366/86400+DATE(1970,1,1)+$G$6,)</f>
        <v/>
      </c>
      <c r="B366" s="27" t="str">
        <f t="shared" si="1"/>
        <v/>
      </c>
      <c r="C366" s="14" t="str">
        <f>IF($A366&lt;&gt;"",MINIFS(Merchant!$A:$A,Merchant!$B:$B,$G$2),)</f>
        <v/>
      </c>
      <c r="D366" s="14" t="str">
        <f t="shared" si="2"/>
        <v/>
      </c>
      <c r="E366" s="14" t="str">
        <f t="shared" si="3"/>
        <v/>
      </c>
      <c r="F366" s="7" t="str">
        <f>IF($A366&lt;&gt;"",MAXIFS(Token!$B:$B,Token!$A:$A,$D366),)</f>
        <v/>
      </c>
    </row>
    <row r="367">
      <c r="A367" s="39" t="str">
        <f>IF(AND($L367*1&gt;=$G$3,$L367*1&lt;=$G$4,$I367*$J367&gt;0,OR($I367&lt;&gt;$I368,$L367-$L368&gt;25),$I367/POW(10,$J367)*MAXIFS(Token!$B:$B,Token!$A:$A,$K367)&gt;0.01),$L367/86400+DATE(1970,1,1)+$G$6,)</f>
        <v/>
      </c>
      <c r="B367" s="27" t="str">
        <f t="shared" si="1"/>
        <v/>
      </c>
      <c r="C367" s="14" t="str">
        <f>IF($A367&lt;&gt;"",MINIFS(Merchant!$A:$A,Merchant!$B:$B,$G$2),)</f>
        <v/>
      </c>
      <c r="D367" s="14" t="str">
        <f t="shared" si="2"/>
        <v/>
      </c>
      <c r="E367" s="14" t="str">
        <f t="shared" si="3"/>
        <v/>
      </c>
      <c r="F367" s="7" t="str">
        <f>IF($A367&lt;&gt;"",MAXIFS(Token!$B:$B,Token!$A:$A,$D367),)</f>
        <v/>
      </c>
    </row>
    <row r="368">
      <c r="A368" s="39" t="str">
        <f>IF(AND($L368*1&gt;=$G$3,$L368*1&lt;=$G$4,$I368*$J368&gt;0,OR($I368&lt;&gt;$I369,$L368-$L369&gt;25),$I368/POW(10,$J368)*MAXIFS(Token!$B:$B,Token!$A:$A,$K368)&gt;0.01),$L368/86400+DATE(1970,1,1)+$G$6,)</f>
        <v/>
      </c>
      <c r="B368" s="27" t="str">
        <f t="shared" si="1"/>
        <v/>
      </c>
      <c r="C368" s="14" t="str">
        <f>IF($A368&lt;&gt;"",MINIFS(Merchant!$A:$A,Merchant!$B:$B,$G$2),)</f>
        <v/>
      </c>
      <c r="D368" s="14" t="str">
        <f t="shared" si="2"/>
        <v/>
      </c>
      <c r="E368" s="14" t="str">
        <f t="shared" si="3"/>
        <v/>
      </c>
      <c r="F368" s="7" t="str">
        <f>IF($A368&lt;&gt;"",MAXIFS(Token!$B:$B,Token!$A:$A,$D368),)</f>
        <v/>
      </c>
    </row>
    <row r="369">
      <c r="A369" s="39" t="str">
        <f>IF(AND($L369*1&gt;=$G$3,$L369*1&lt;=$G$4,$I369*$J369&gt;0,OR($I369&lt;&gt;$I370,$L369-$L370&gt;25),$I369/POW(10,$J369)*MAXIFS(Token!$B:$B,Token!$A:$A,$K369)&gt;0.01),$L369/86400+DATE(1970,1,1)+$G$6,)</f>
        <v/>
      </c>
      <c r="B369" s="27" t="str">
        <f t="shared" si="1"/>
        <v/>
      </c>
      <c r="C369" s="14" t="str">
        <f>IF($A369&lt;&gt;"",MINIFS(Merchant!$A:$A,Merchant!$B:$B,$G$2),)</f>
        <v/>
      </c>
      <c r="D369" s="14" t="str">
        <f t="shared" si="2"/>
        <v/>
      </c>
      <c r="E369" s="14" t="str">
        <f t="shared" si="3"/>
        <v/>
      </c>
      <c r="F369" s="7" t="str">
        <f>IF($A369&lt;&gt;"",MAXIFS(Token!$B:$B,Token!$A:$A,$D369),)</f>
        <v/>
      </c>
    </row>
    <row r="370">
      <c r="A370" s="39" t="str">
        <f>IF(AND($L370*1&gt;=$G$3,$L370*1&lt;=$G$4,$I370*$J370&gt;0,OR($I370&lt;&gt;$I371,$L370-$L371&gt;25),$I370/POW(10,$J370)*MAXIFS(Token!$B:$B,Token!$A:$A,$K370)&gt;0.01),$L370/86400+DATE(1970,1,1)+$G$6,)</f>
        <v/>
      </c>
      <c r="B370" s="27" t="str">
        <f t="shared" si="1"/>
        <v/>
      </c>
      <c r="C370" s="14" t="str">
        <f>IF($A370&lt;&gt;"",MINIFS(Merchant!$A:$A,Merchant!$B:$B,$G$2),)</f>
        <v/>
      </c>
      <c r="D370" s="14" t="str">
        <f t="shared" si="2"/>
        <v/>
      </c>
      <c r="E370" s="14" t="str">
        <f t="shared" si="3"/>
        <v/>
      </c>
      <c r="F370" s="7" t="str">
        <f>IF($A370&lt;&gt;"",MAXIFS(Token!$B:$B,Token!$A:$A,$D370),)</f>
        <v/>
      </c>
    </row>
    <row r="371">
      <c r="A371" s="39" t="str">
        <f>IF(AND($L371*1&gt;=$G$3,$L371*1&lt;=$G$4,$I371*$J371&gt;0,OR($I371&lt;&gt;$I372,$L371-$L372&gt;25),$I371/POW(10,$J371)*MAXIFS(Token!$B:$B,Token!$A:$A,$K371)&gt;0.01),$L371/86400+DATE(1970,1,1)+$G$6,)</f>
        <v/>
      </c>
      <c r="B371" s="27" t="str">
        <f t="shared" si="1"/>
        <v/>
      </c>
      <c r="C371" s="14" t="str">
        <f>IF($A371&lt;&gt;"",MINIFS(Merchant!$A:$A,Merchant!$B:$B,$G$2),)</f>
        <v/>
      </c>
      <c r="D371" s="14" t="str">
        <f t="shared" si="2"/>
        <v/>
      </c>
      <c r="E371" s="14" t="str">
        <f t="shared" si="3"/>
        <v/>
      </c>
      <c r="F371" s="7" t="str">
        <f>IF($A371&lt;&gt;"",MAXIFS(Token!$B:$B,Token!$A:$A,$D371),)</f>
        <v/>
      </c>
    </row>
    <row r="372">
      <c r="A372" s="39" t="str">
        <f>IF(AND($L372*1&gt;=$G$3,$L372*1&lt;=$G$4,$I372*$J372&gt;0,OR($I372&lt;&gt;$I373,$L372-$L373&gt;25),$I372/POW(10,$J372)*MAXIFS(Token!$B:$B,Token!$A:$A,$K372)&gt;0.01),$L372/86400+DATE(1970,1,1)+$G$6,)</f>
        <v/>
      </c>
      <c r="B372" s="27" t="str">
        <f t="shared" si="1"/>
        <v/>
      </c>
      <c r="C372" s="14" t="str">
        <f>IF($A372&lt;&gt;"",MINIFS(Merchant!$A:$A,Merchant!$B:$B,$G$2),)</f>
        <v/>
      </c>
      <c r="D372" s="14" t="str">
        <f t="shared" si="2"/>
        <v/>
      </c>
      <c r="E372" s="14" t="str">
        <f t="shared" si="3"/>
        <v/>
      </c>
      <c r="F372" s="7" t="str">
        <f>IF($A372&lt;&gt;"",MAXIFS(Token!$B:$B,Token!$A:$A,$D372),)</f>
        <v/>
      </c>
    </row>
    <row r="373">
      <c r="A373" s="39" t="str">
        <f>IF(AND($L373*1&gt;=$G$3,$L373*1&lt;=$G$4,$I373*$J373&gt;0,OR($I373&lt;&gt;$I374,$L373-$L374&gt;25),$I373/POW(10,$J373)*MAXIFS(Token!$B:$B,Token!$A:$A,$K373)&gt;0.01),$L373/86400+DATE(1970,1,1)+$G$6,)</f>
        <v/>
      </c>
      <c r="B373" s="27" t="str">
        <f t="shared" si="1"/>
        <v/>
      </c>
      <c r="C373" s="14" t="str">
        <f>IF($A373&lt;&gt;"",MINIFS(Merchant!$A:$A,Merchant!$B:$B,$G$2),)</f>
        <v/>
      </c>
      <c r="D373" s="14" t="str">
        <f t="shared" si="2"/>
        <v/>
      </c>
      <c r="E373" s="14" t="str">
        <f t="shared" si="3"/>
        <v/>
      </c>
      <c r="F373" s="7" t="str">
        <f>IF($A373&lt;&gt;"",MAXIFS(Token!$B:$B,Token!$A:$A,$D373),)</f>
        <v/>
      </c>
    </row>
    <row r="374">
      <c r="A374" s="39" t="str">
        <f>IF(AND($L374*1&gt;=$G$3,$L374*1&lt;=$G$4,$I374*$J374&gt;0,OR($I374&lt;&gt;$I375,$L374-$L375&gt;25),$I374/POW(10,$J374)*MAXIFS(Token!$B:$B,Token!$A:$A,$K374)&gt;0.01),$L374/86400+DATE(1970,1,1)+$G$6,)</f>
        <v/>
      </c>
      <c r="B374" s="27" t="str">
        <f t="shared" si="1"/>
        <v/>
      </c>
      <c r="C374" s="14" t="str">
        <f>IF($A374&lt;&gt;"",MINIFS(Merchant!$A:$A,Merchant!$B:$B,$G$2),)</f>
        <v/>
      </c>
      <c r="D374" s="14" t="str">
        <f t="shared" si="2"/>
        <v/>
      </c>
      <c r="E374" s="14" t="str">
        <f t="shared" si="3"/>
        <v/>
      </c>
      <c r="F374" s="7" t="str">
        <f>IF($A374&lt;&gt;"",MAXIFS(Token!$B:$B,Token!$A:$A,$D374),)</f>
        <v/>
      </c>
    </row>
    <row r="375">
      <c r="A375" s="39" t="str">
        <f>IF(AND($L375*1&gt;=$G$3,$L375*1&lt;=$G$4,$I375*$J375&gt;0,OR($I375&lt;&gt;$I376,$L375-$L376&gt;25),$I375/POW(10,$J375)*MAXIFS(Token!$B:$B,Token!$A:$A,$K375)&gt;0.01),$L375/86400+DATE(1970,1,1)+$G$6,)</f>
        <v/>
      </c>
      <c r="B375" s="27" t="str">
        <f t="shared" si="1"/>
        <v/>
      </c>
      <c r="C375" s="14" t="str">
        <f>IF($A375&lt;&gt;"",MINIFS(Merchant!$A:$A,Merchant!$B:$B,$G$2),)</f>
        <v/>
      </c>
      <c r="D375" s="14" t="str">
        <f t="shared" si="2"/>
        <v/>
      </c>
      <c r="E375" s="14" t="str">
        <f t="shared" si="3"/>
        <v/>
      </c>
      <c r="F375" s="7" t="str">
        <f>IF($A375&lt;&gt;"",MAXIFS(Token!$B:$B,Token!$A:$A,$D375),)</f>
        <v/>
      </c>
    </row>
    <row r="376">
      <c r="A376" s="39" t="str">
        <f>IF(AND($L376*1&gt;=$G$3,$L376*1&lt;=$G$4,$I376*$J376&gt;0,OR($I376&lt;&gt;$I377,$L376-$L377&gt;25),$I376/POW(10,$J376)*MAXIFS(Token!$B:$B,Token!$A:$A,$K376)&gt;0.01),$L376/86400+DATE(1970,1,1)+$G$6,)</f>
        <v/>
      </c>
      <c r="B376" s="27" t="str">
        <f t="shared" si="1"/>
        <v/>
      </c>
      <c r="C376" s="14" t="str">
        <f>IF($A376&lt;&gt;"",MINIFS(Merchant!$A:$A,Merchant!$B:$B,$G$2),)</f>
        <v/>
      </c>
      <c r="D376" s="14" t="str">
        <f t="shared" si="2"/>
        <v/>
      </c>
      <c r="E376" s="14" t="str">
        <f t="shared" si="3"/>
        <v/>
      </c>
      <c r="F376" s="7" t="str">
        <f>IF($A376&lt;&gt;"",MAXIFS(Token!$B:$B,Token!$A:$A,$D376),)</f>
        <v/>
      </c>
    </row>
    <row r="377">
      <c r="A377" s="39" t="str">
        <f>IF(AND($L377*1&gt;=$G$3,$L377*1&lt;=$G$4,$I377*$J377&gt;0,OR($I377&lt;&gt;$I378,$L377-$L378&gt;25),$I377/POW(10,$J377)*MAXIFS(Token!$B:$B,Token!$A:$A,$K377)&gt;0.01),$L377/86400+DATE(1970,1,1)+$G$6,)</f>
        <v/>
      </c>
      <c r="B377" s="27" t="str">
        <f t="shared" si="1"/>
        <v/>
      </c>
      <c r="C377" s="14" t="str">
        <f>IF($A377&lt;&gt;"",MINIFS(Merchant!$A:$A,Merchant!$B:$B,$G$2),)</f>
        <v/>
      </c>
      <c r="D377" s="14" t="str">
        <f t="shared" si="2"/>
        <v/>
      </c>
      <c r="E377" s="14" t="str">
        <f t="shared" si="3"/>
        <v/>
      </c>
      <c r="F377" s="7" t="str">
        <f>IF($A377&lt;&gt;"",MAXIFS(Token!$B:$B,Token!$A:$A,$D377),)</f>
        <v/>
      </c>
    </row>
    <row r="378">
      <c r="A378" s="39" t="str">
        <f>IF(AND($L378*1&gt;=$G$3,$L378*1&lt;=$G$4,$I378*$J378&gt;0,OR($I378&lt;&gt;$I379,$L378-$L379&gt;25),$I378/POW(10,$J378)*MAXIFS(Token!$B:$B,Token!$A:$A,$K378)&gt;0.01),$L378/86400+DATE(1970,1,1)+$G$6,)</f>
        <v/>
      </c>
      <c r="B378" s="27" t="str">
        <f t="shared" si="1"/>
        <v/>
      </c>
      <c r="C378" s="14" t="str">
        <f>IF($A378&lt;&gt;"",MINIFS(Merchant!$A:$A,Merchant!$B:$B,$G$2),)</f>
        <v/>
      </c>
      <c r="D378" s="14" t="str">
        <f t="shared" si="2"/>
        <v/>
      </c>
      <c r="E378" s="14" t="str">
        <f t="shared" si="3"/>
        <v/>
      </c>
      <c r="F378" s="7" t="str">
        <f>IF($A378&lt;&gt;"",MAXIFS(Token!$B:$B,Token!$A:$A,$D378),)</f>
        <v/>
      </c>
    </row>
    <row r="379">
      <c r="A379" s="39" t="str">
        <f>IF(AND($L379*1&gt;=$G$3,$L379*1&lt;=$G$4,$I379*$J379&gt;0,OR($I379&lt;&gt;$I380,$L379-$L380&gt;25),$I379/POW(10,$J379)*MAXIFS(Token!$B:$B,Token!$A:$A,$K379)&gt;0.01),$L379/86400+DATE(1970,1,1)+$G$6,)</f>
        <v/>
      </c>
      <c r="B379" s="27" t="str">
        <f t="shared" si="1"/>
        <v/>
      </c>
      <c r="C379" s="14" t="str">
        <f>IF($A379&lt;&gt;"",MINIFS(Merchant!$A:$A,Merchant!$B:$B,$G$2),)</f>
        <v/>
      </c>
      <c r="D379" s="14" t="str">
        <f t="shared" si="2"/>
        <v/>
      </c>
      <c r="E379" s="14" t="str">
        <f t="shared" si="3"/>
        <v/>
      </c>
      <c r="F379" s="7" t="str">
        <f>IF($A379&lt;&gt;"",MAXIFS(Token!$B:$B,Token!$A:$A,$D379),)</f>
        <v/>
      </c>
    </row>
    <row r="380">
      <c r="A380" s="39" t="str">
        <f>IF(AND($L380*1&gt;=$G$3,$L380*1&lt;=$G$4,$I380*$J380&gt;0,OR($I380&lt;&gt;$I381,$L380-$L381&gt;25),$I380/POW(10,$J380)*MAXIFS(Token!$B:$B,Token!$A:$A,$K380)&gt;0.01),$L380/86400+DATE(1970,1,1)+$G$6,)</f>
        <v/>
      </c>
      <c r="B380" s="27" t="str">
        <f t="shared" si="1"/>
        <v/>
      </c>
      <c r="C380" s="14" t="str">
        <f>IF($A380&lt;&gt;"",MINIFS(Merchant!$A:$A,Merchant!$B:$B,$G$2),)</f>
        <v/>
      </c>
      <c r="D380" s="14" t="str">
        <f t="shared" si="2"/>
        <v/>
      </c>
      <c r="E380" s="14" t="str">
        <f t="shared" si="3"/>
        <v/>
      </c>
      <c r="F380" s="7" t="str">
        <f>IF($A380&lt;&gt;"",MAXIFS(Token!$B:$B,Token!$A:$A,$D380),)</f>
        <v/>
      </c>
    </row>
    <row r="381">
      <c r="A381" s="39" t="str">
        <f>IF(AND($L381*1&gt;=$G$3,$L381*1&lt;=$G$4,$I381*$J381&gt;0,OR($I381&lt;&gt;$I382,$L381-$L382&gt;25),$I381/POW(10,$J381)*MAXIFS(Token!$B:$B,Token!$A:$A,$K381)&gt;0.01),$L381/86400+DATE(1970,1,1)+$G$6,)</f>
        <v/>
      </c>
      <c r="B381" s="27" t="str">
        <f t="shared" si="1"/>
        <v/>
      </c>
      <c r="C381" s="14" t="str">
        <f>IF($A381&lt;&gt;"",MINIFS(Merchant!$A:$A,Merchant!$B:$B,$G$2),)</f>
        <v/>
      </c>
      <c r="D381" s="14" t="str">
        <f t="shared" si="2"/>
        <v/>
      </c>
      <c r="E381" s="14" t="str">
        <f t="shared" si="3"/>
        <v/>
      </c>
      <c r="F381" s="7" t="str">
        <f>IF($A381&lt;&gt;"",MAXIFS(Token!$B:$B,Token!$A:$A,$D381),)</f>
        <v/>
      </c>
    </row>
    <row r="382">
      <c r="A382" s="39" t="str">
        <f>IF(AND($L382*1&gt;=$G$3,$L382*1&lt;=$G$4,$I382*$J382&gt;0,OR($I382&lt;&gt;$I383,$L382-$L383&gt;25),$I382/POW(10,$J382)*MAXIFS(Token!$B:$B,Token!$A:$A,$K382)&gt;0.01),$L382/86400+DATE(1970,1,1)+$G$6,)</f>
        <v/>
      </c>
      <c r="B382" s="27" t="str">
        <f t="shared" si="1"/>
        <v/>
      </c>
      <c r="C382" s="14" t="str">
        <f>IF($A382&lt;&gt;"",MINIFS(Merchant!$A:$A,Merchant!$B:$B,$G$2),)</f>
        <v/>
      </c>
      <c r="D382" s="14" t="str">
        <f t="shared" si="2"/>
        <v/>
      </c>
      <c r="E382" s="14" t="str">
        <f t="shared" si="3"/>
        <v/>
      </c>
      <c r="F382" s="7" t="str">
        <f>IF($A382&lt;&gt;"",MAXIFS(Token!$B:$B,Token!$A:$A,$D382),)</f>
        <v/>
      </c>
    </row>
    <row r="383">
      <c r="A383" s="39" t="str">
        <f>IF(AND($L383*1&gt;=$G$3,$L383*1&lt;=$G$4,$I383*$J383&gt;0,OR($I383&lt;&gt;$I384,$L383-$L384&gt;25),$I383/POW(10,$J383)*MAXIFS(Token!$B:$B,Token!$A:$A,$K383)&gt;0.01),$L383/86400+DATE(1970,1,1)+$G$6,)</f>
        <v/>
      </c>
      <c r="B383" s="27" t="str">
        <f t="shared" si="1"/>
        <v/>
      </c>
      <c r="C383" s="14" t="str">
        <f>IF($A383&lt;&gt;"",MINIFS(Merchant!$A:$A,Merchant!$B:$B,$G$2),)</f>
        <v/>
      </c>
      <c r="D383" s="14" t="str">
        <f t="shared" si="2"/>
        <v/>
      </c>
      <c r="E383" s="14" t="str">
        <f t="shared" si="3"/>
        <v/>
      </c>
      <c r="F383" s="7" t="str">
        <f>IF($A383&lt;&gt;"",MAXIFS(Token!$B:$B,Token!$A:$A,$D383),)</f>
        <v/>
      </c>
    </row>
    <row r="384">
      <c r="A384" s="39" t="str">
        <f>IF(AND($L384*1&gt;=$G$3,$L384*1&lt;=$G$4,$I384*$J384&gt;0,OR($I384&lt;&gt;$I385,$L384-$L385&gt;25),$I384/POW(10,$J384)*MAXIFS(Token!$B:$B,Token!$A:$A,$K384)&gt;0.01),$L384/86400+DATE(1970,1,1)+$G$6,)</f>
        <v/>
      </c>
      <c r="B384" s="27" t="str">
        <f t="shared" si="1"/>
        <v/>
      </c>
      <c r="C384" s="14" t="str">
        <f>IF($A384&lt;&gt;"",MINIFS(Merchant!$A:$A,Merchant!$B:$B,$G$2),)</f>
        <v/>
      </c>
      <c r="D384" s="14" t="str">
        <f t="shared" si="2"/>
        <v/>
      </c>
      <c r="E384" s="14" t="str">
        <f t="shared" si="3"/>
        <v/>
      </c>
      <c r="F384" s="7" t="str">
        <f>IF($A384&lt;&gt;"",MAXIFS(Token!$B:$B,Token!$A:$A,$D384),)</f>
        <v/>
      </c>
    </row>
    <row r="385">
      <c r="A385" s="39" t="str">
        <f>IF(AND($L385*1&gt;=$G$3,$L385*1&lt;=$G$4,$I385*$J385&gt;0,OR($I385&lt;&gt;$I386,$L385-$L386&gt;25),$I385/POW(10,$J385)*MAXIFS(Token!$B:$B,Token!$A:$A,$K385)&gt;0.01),$L385/86400+DATE(1970,1,1)+$G$6,)</f>
        <v/>
      </c>
      <c r="B385" s="27" t="str">
        <f t="shared" si="1"/>
        <v/>
      </c>
      <c r="C385" s="14" t="str">
        <f>IF($A385&lt;&gt;"",MINIFS(Merchant!$A:$A,Merchant!$B:$B,$G$2),)</f>
        <v/>
      </c>
      <c r="D385" s="14" t="str">
        <f t="shared" si="2"/>
        <v/>
      </c>
      <c r="E385" s="14" t="str">
        <f t="shared" si="3"/>
        <v/>
      </c>
      <c r="F385" s="7" t="str">
        <f>IF($A385&lt;&gt;"",MAXIFS(Token!$B:$B,Token!$A:$A,$D385),)</f>
        <v/>
      </c>
    </row>
    <row r="386">
      <c r="A386" s="39" t="str">
        <f>IF(AND($L386*1&gt;=$G$3,$L386*1&lt;=$G$4,$I386*$J386&gt;0,OR($I386&lt;&gt;$I387,$L386-$L387&gt;25),$I386/POW(10,$J386)*MAXIFS(Token!$B:$B,Token!$A:$A,$K386)&gt;0.01),$L386/86400+DATE(1970,1,1)+$G$6,)</f>
        <v/>
      </c>
      <c r="B386" s="27" t="str">
        <f t="shared" si="1"/>
        <v/>
      </c>
      <c r="C386" s="14" t="str">
        <f>IF($A386&lt;&gt;"",MINIFS(Merchant!$A:$A,Merchant!$B:$B,$G$2),)</f>
        <v/>
      </c>
      <c r="D386" s="14" t="str">
        <f t="shared" si="2"/>
        <v/>
      </c>
      <c r="E386" s="14" t="str">
        <f t="shared" si="3"/>
        <v/>
      </c>
      <c r="F386" s="7" t="str">
        <f>IF($A386&lt;&gt;"",MAXIFS(Token!$B:$B,Token!$A:$A,$D386),)</f>
        <v/>
      </c>
    </row>
    <row r="387">
      <c r="A387" s="39" t="str">
        <f>IF(AND($L387*1&gt;=$G$3,$L387*1&lt;=$G$4,$I387*$J387&gt;0,OR($I387&lt;&gt;$I388,$L387-$L388&gt;25),$I387/POW(10,$J387)*MAXIFS(Token!$B:$B,Token!$A:$A,$K387)&gt;0.01),$L387/86400+DATE(1970,1,1)+$G$6,)</f>
        <v/>
      </c>
      <c r="B387" s="27" t="str">
        <f t="shared" si="1"/>
        <v/>
      </c>
      <c r="C387" s="14" t="str">
        <f>IF($A387&lt;&gt;"",MINIFS(Merchant!$A:$A,Merchant!$B:$B,$G$2),)</f>
        <v/>
      </c>
      <c r="D387" s="14" t="str">
        <f t="shared" si="2"/>
        <v/>
      </c>
      <c r="E387" s="14" t="str">
        <f t="shared" si="3"/>
        <v/>
      </c>
      <c r="F387" s="7" t="str">
        <f>IF($A387&lt;&gt;"",MAXIFS(Token!$B:$B,Token!$A:$A,$D387),)</f>
        <v/>
      </c>
    </row>
    <row r="388">
      <c r="A388" s="39" t="str">
        <f>IF(AND($L388*1&gt;=$G$3,$L388*1&lt;=$G$4,$I388*$J388&gt;0,OR($I388&lt;&gt;$I389,$L388-$L389&gt;25),$I388/POW(10,$J388)*MAXIFS(Token!$B:$B,Token!$A:$A,$K388)&gt;0.01),$L388/86400+DATE(1970,1,1)+$G$6,)</f>
        <v/>
      </c>
      <c r="B388" s="27" t="str">
        <f t="shared" si="1"/>
        <v/>
      </c>
      <c r="C388" s="14" t="str">
        <f>IF($A388&lt;&gt;"",MINIFS(Merchant!$A:$A,Merchant!$B:$B,$G$2),)</f>
        <v/>
      </c>
      <c r="D388" s="14" t="str">
        <f t="shared" si="2"/>
        <v/>
      </c>
      <c r="E388" s="14" t="str">
        <f t="shared" si="3"/>
        <v/>
      </c>
      <c r="F388" s="7" t="str">
        <f>IF($A388&lt;&gt;"",MAXIFS(Token!$B:$B,Token!$A:$A,$D388),)</f>
        <v/>
      </c>
    </row>
    <row r="389">
      <c r="A389" s="39" t="str">
        <f>IF(AND($L389*1&gt;=$G$3,$L389*1&lt;=$G$4,$I389*$J389&gt;0,OR($I389&lt;&gt;$I390,$L389-$L390&gt;25),$I389/POW(10,$J389)*MAXIFS(Token!$B:$B,Token!$A:$A,$K389)&gt;0.01),$L389/86400+DATE(1970,1,1)+$G$6,)</f>
        <v/>
      </c>
      <c r="B389" s="27" t="str">
        <f t="shared" si="1"/>
        <v/>
      </c>
      <c r="C389" s="14" t="str">
        <f>IF($A389&lt;&gt;"",MINIFS(Merchant!$A:$A,Merchant!$B:$B,$G$2),)</f>
        <v/>
      </c>
      <c r="D389" s="14" t="str">
        <f t="shared" si="2"/>
        <v/>
      </c>
      <c r="E389" s="14" t="str">
        <f t="shared" si="3"/>
        <v/>
      </c>
      <c r="F389" s="7" t="str">
        <f>IF($A389&lt;&gt;"",MAXIFS(Token!$B:$B,Token!$A:$A,$D389),)</f>
        <v/>
      </c>
    </row>
    <row r="390">
      <c r="A390" s="39" t="str">
        <f>IF(AND($L390*1&gt;=$G$3,$L390*1&lt;=$G$4,$I390*$J390&gt;0,OR($I390&lt;&gt;$I391,$L390-$L391&gt;25),$I390/POW(10,$J390)*MAXIFS(Token!$B:$B,Token!$A:$A,$K390)&gt;0.01),$L390/86400+DATE(1970,1,1)+$G$6,)</f>
        <v/>
      </c>
      <c r="B390" s="27" t="str">
        <f t="shared" si="1"/>
        <v/>
      </c>
      <c r="C390" s="14" t="str">
        <f>IF($A390&lt;&gt;"",MINIFS(Merchant!$A:$A,Merchant!$B:$B,$G$2),)</f>
        <v/>
      </c>
      <c r="D390" s="14" t="str">
        <f t="shared" si="2"/>
        <v/>
      </c>
      <c r="E390" s="14" t="str">
        <f t="shared" si="3"/>
        <v/>
      </c>
      <c r="F390" s="7" t="str">
        <f>IF($A390&lt;&gt;"",MAXIFS(Token!$B:$B,Token!$A:$A,$D390),)</f>
        <v/>
      </c>
    </row>
    <row r="391">
      <c r="A391" s="39" t="str">
        <f>IF(AND($L391*1&gt;=$G$3,$L391*1&lt;=$G$4,$I391*$J391&gt;0,OR($I391&lt;&gt;$I392,$L391-$L392&gt;25),$I391/POW(10,$J391)*MAXIFS(Token!$B:$B,Token!$A:$A,$K391)&gt;0.01),$L391/86400+DATE(1970,1,1)+$G$6,)</f>
        <v/>
      </c>
      <c r="B391" s="27" t="str">
        <f t="shared" si="1"/>
        <v/>
      </c>
      <c r="C391" s="14" t="str">
        <f>IF($A391&lt;&gt;"",MINIFS(Merchant!$A:$A,Merchant!$B:$B,$G$2),)</f>
        <v/>
      </c>
      <c r="D391" s="14" t="str">
        <f t="shared" si="2"/>
        <v/>
      </c>
      <c r="E391" s="14" t="str">
        <f t="shared" si="3"/>
        <v/>
      </c>
      <c r="F391" s="7" t="str">
        <f>IF($A391&lt;&gt;"",MAXIFS(Token!$B:$B,Token!$A:$A,$D391),)</f>
        <v/>
      </c>
    </row>
    <row r="392">
      <c r="A392" s="39" t="str">
        <f>IF(AND($L392*1&gt;=$G$3,$L392*1&lt;=$G$4,$I392*$J392&gt;0,OR($I392&lt;&gt;$I393,$L392-$L393&gt;25),$I392/POW(10,$J392)*MAXIFS(Token!$B:$B,Token!$A:$A,$K392)&gt;0.01),$L392/86400+DATE(1970,1,1)+$G$6,)</f>
        <v/>
      </c>
      <c r="B392" s="27" t="str">
        <f t="shared" si="1"/>
        <v/>
      </c>
      <c r="C392" s="14" t="str">
        <f>IF($A392&lt;&gt;"",MINIFS(Merchant!$A:$A,Merchant!$B:$B,$G$2),)</f>
        <v/>
      </c>
      <c r="D392" s="14" t="str">
        <f t="shared" si="2"/>
        <v/>
      </c>
      <c r="E392" s="14" t="str">
        <f t="shared" si="3"/>
        <v/>
      </c>
      <c r="F392" s="7" t="str">
        <f>IF($A392&lt;&gt;"",MAXIFS(Token!$B:$B,Token!$A:$A,$D392),)</f>
        <v/>
      </c>
    </row>
    <row r="393">
      <c r="A393" s="39" t="str">
        <f>IF(AND($L393*1&gt;=$G$3,$L393*1&lt;=$G$4,$I393*$J393&gt;0,OR($I393&lt;&gt;$I394,$L393-$L394&gt;25),$I393/POW(10,$J393)*MAXIFS(Token!$B:$B,Token!$A:$A,$K393)&gt;0.01),$L393/86400+DATE(1970,1,1)+$G$6,)</f>
        <v/>
      </c>
      <c r="B393" s="27" t="str">
        <f t="shared" si="1"/>
        <v/>
      </c>
      <c r="C393" s="14" t="str">
        <f>IF($A393&lt;&gt;"",MINIFS(Merchant!$A:$A,Merchant!$B:$B,$G$2),)</f>
        <v/>
      </c>
      <c r="D393" s="14" t="str">
        <f t="shared" si="2"/>
        <v/>
      </c>
      <c r="E393" s="14" t="str">
        <f t="shared" si="3"/>
        <v/>
      </c>
      <c r="F393" s="7" t="str">
        <f>IF($A393&lt;&gt;"",MAXIFS(Token!$B:$B,Token!$A:$A,$D393),)</f>
        <v/>
      </c>
    </row>
    <row r="394">
      <c r="A394" s="39" t="str">
        <f>IF(AND($L394*1&gt;=$G$3,$L394*1&lt;=$G$4,$I394*$J394&gt;0,OR($I394&lt;&gt;$I395,$L394-$L395&gt;25),$I394/POW(10,$J394)*MAXIFS(Token!$B:$B,Token!$A:$A,$K394)&gt;0.01),$L394/86400+DATE(1970,1,1)+$G$6,)</f>
        <v/>
      </c>
      <c r="B394" s="27" t="str">
        <f t="shared" si="1"/>
        <v/>
      </c>
      <c r="C394" s="14" t="str">
        <f>IF($A394&lt;&gt;"",MINIFS(Merchant!$A:$A,Merchant!$B:$B,$G$2),)</f>
        <v/>
      </c>
      <c r="D394" s="14" t="str">
        <f t="shared" si="2"/>
        <v/>
      </c>
      <c r="E394" s="14" t="str">
        <f t="shared" si="3"/>
        <v/>
      </c>
      <c r="F394" s="7" t="str">
        <f>IF($A394&lt;&gt;"",MAXIFS(Token!$B:$B,Token!$A:$A,$D394),)</f>
        <v/>
      </c>
    </row>
    <row r="395">
      <c r="A395" s="39" t="str">
        <f>IF(AND($L395*1&gt;=$G$3,$L395*1&lt;=$G$4,$I395*$J395&gt;0,OR($I395&lt;&gt;$I396,$L395-$L396&gt;25),$I395/POW(10,$J395)*MAXIFS(Token!$B:$B,Token!$A:$A,$K395)&gt;0.01),$L395/86400+DATE(1970,1,1)+$G$6,)</f>
        <v/>
      </c>
      <c r="B395" s="27" t="str">
        <f t="shared" si="1"/>
        <v/>
      </c>
      <c r="C395" s="14" t="str">
        <f>IF($A395&lt;&gt;"",MINIFS(Merchant!$A:$A,Merchant!$B:$B,$G$2),)</f>
        <v/>
      </c>
      <c r="D395" s="14" t="str">
        <f t="shared" si="2"/>
        <v/>
      </c>
      <c r="E395" s="14" t="str">
        <f t="shared" si="3"/>
        <v/>
      </c>
      <c r="F395" s="7" t="str">
        <f>IF($A395&lt;&gt;"",MAXIFS(Token!$B:$B,Token!$A:$A,$D395),)</f>
        <v/>
      </c>
    </row>
    <row r="396">
      <c r="A396" s="39" t="str">
        <f>IF(AND($L396*1&gt;=$G$3,$L396*1&lt;=$G$4,$I396*$J396&gt;0,OR($I396&lt;&gt;$I397,$L396-$L397&gt;25),$I396/POW(10,$J396)*MAXIFS(Token!$B:$B,Token!$A:$A,$K396)&gt;0.01),$L396/86400+DATE(1970,1,1)+$G$6,)</f>
        <v/>
      </c>
      <c r="B396" s="27" t="str">
        <f t="shared" si="1"/>
        <v/>
      </c>
      <c r="C396" s="14" t="str">
        <f>IF($A396&lt;&gt;"",MINIFS(Merchant!$A:$A,Merchant!$B:$B,$G$2),)</f>
        <v/>
      </c>
      <c r="D396" s="14" t="str">
        <f t="shared" si="2"/>
        <v/>
      </c>
      <c r="E396" s="14" t="str">
        <f t="shared" si="3"/>
        <v/>
      </c>
      <c r="F396" s="7" t="str">
        <f>IF($A396&lt;&gt;"",MAXIFS(Token!$B:$B,Token!$A:$A,$D396),)</f>
        <v/>
      </c>
    </row>
    <row r="397">
      <c r="A397" s="39" t="str">
        <f>IF(AND($L397*1&gt;=$G$3,$L397*1&lt;=$G$4,$I397*$J397&gt;0,OR($I397&lt;&gt;$I398,$L397-$L398&gt;25),$I397/POW(10,$J397)*MAXIFS(Token!$B:$B,Token!$A:$A,$K397)&gt;0.01),$L397/86400+DATE(1970,1,1)+$G$6,)</f>
        <v/>
      </c>
      <c r="B397" s="27" t="str">
        <f t="shared" si="1"/>
        <v/>
      </c>
      <c r="C397" s="14" t="str">
        <f>IF($A397&lt;&gt;"",MINIFS(Merchant!$A:$A,Merchant!$B:$B,$G$2),)</f>
        <v/>
      </c>
      <c r="D397" s="14" t="str">
        <f t="shared" si="2"/>
        <v/>
      </c>
      <c r="E397" s="14" t="str">
        <f t="shared" si="3"/>
        <v/>
      </c>
      <c r="F397" s="7" t="str">
        <f>IF($A397&lt;&gt;"",MAXIFS(Token!$B:$B,Token!$A:$A,$D397),)</f>
        <v/>
      </c>
    </row>
    <row r="398">
      <c r="A398" s="39" t="str">
        <f>IF(AND($L398*1&gt;=$G$3,$L398*1&lt;=$G$4,$I398*$J398&gt;0,OR($I398&lt;&gt;$I399,$L398-$L399&gt;25),$I398/POW(10,$J398)*MAXIFS(Token!$B:$B,Token!$A:$A,$K398)&gt;0.01),$L398/86400+DATE(1970,1,1)+$G$6,)</f>
        <v/>
      </c>
      <c r="B398" s="27" t="str">
        <f t="shared" si="1"/>
        <v/>
      </c>
      <c r="C398" s="14" t="str">
        <f>IF($A398&lt;&gt;"",MINIFS(Merchant!$A:$A,Merchant!$B:$B,$G$2),)</f>
        <v/>
      </c>
      <c r="D398" s="14" t="str">
        <f t="shared" si="2"/>
        <v/>
      </c>
      <c r="E398" s="14" t="str">
        <f t="shared" si="3"/>
        <v/>
      </c>
      <c r="F398" s="7" t="str">
        <f>IF($A398&lt;&gt;"",MAXIFS(Token!$B:$B,Token!$A:$A,$D398),)</f>
        <v/>
      </c>
    </row>
    <row r="399">
      <c r="A399" s="39" t="str">
        <f>IF(AND($L399*1&gt;=$G$3,$L399*1&lt;=$G$4,$I399*$J399&gt;0,OR($I399&lt;&gt;$I400,$L399-$L400&gt;25),$I399/POW(10,$J399)*MAXIFS(Token!$B:$B,Token!$A:$A,$K399)&gt;0.01),$L399/86400+DATE(1970,1,1)+$G$6,)</f>
        <v/>
      </c>
      <c r="B399" s="27" t="str">
        <f t="shared" si="1"/>
        <v/>
      </c>
      <c r="C399" s="14" t="str">
        <f>IF($A399&lt;&gt;"",MINIFS(Merchant!$A:$A,Merchant!$B:$B,$G$2),)</f>
        <v/>
      </c>
      <c r="D399" s="14" t="str">
        <f t="shared" si="2"/>
        <v/>
      </c>
      <c r="E399" s="14" t="str">
        <f t="shared" si="3"/>
        <v/>
      </c>
      <c r="F399" s="7" t="str">
        <f>IF($A399&lt;&gt;"",MAXIFS(Token!$B:$B,Token!$A:$A,$D399),)</f>
        <v/>
      </c>
    </row>
    <row r="400">
      <c r="A400" s="39" t="str">
        <f>IF(AND($L400*1&gt;=$G$3,$L400*1&lt;=$G$4,$I400*$J400&gt;0,OR($I400&lt;&gt;$I401,$L400-$L401&gt;25),$I400/POW(10,$J400)*MAXIFS(Token!$B:$B,Token!$A:$A,$K400)&gt;0.01),$L400/86400+DATE(1970,1,1)+$G$6,)</f>
        <v/>
      </c>
      <c r="B400" s="27" t="str">
        <f t="shared" si="1"/>
        <v/>
      </c>
      <c r="C400" s="14" t="str">
        <f>IF($A400&lt;&gt;"",MINIFS(Merchant!$A:$A,Merchant!$B:$B,$G$2),)</f>
        <v/>
      </c>
      <c r="D400" s="14" t="str">
        <f t="shared" si="2"/>
        <v/>
      </c>
      <c r="E400" s="14" t="str">
        <f t="shared" si="3"/>
        <v/>
      </c>
      <c r="F400" s="7" t="str">
        <f>IF($A400&lt;&gt;"",MAXIFS(Token!$B:$B,Token!$A:$A,$D400),)</f>
        <v/>
      </c>
    </row>
    <row r="401">
      <c r="A401" s="39" t="str">
        <f>IF(AND($L401*1&gt;=$G$3,$L401*1&lt;=$G$4,$I401*$J401&gt;0,OR($I401&lt;&gt;$I402,$L401-$L402&gt;25),$I401/POW(10,$J401)*MAXIFS(Token!$B:$B,Token!$A:$A,$K401)&gt;0.01),$L401/86400+DATE(1970,1,1)+$G$6,)</f>
        <v/>
      </c>
      <c r="B401" s="27" t="str">
        <f t="shared" si="1"/>
        <v/>
      </c>
      <c r="C401" s="14" t="str">
        <f>IF($A401&lt;&gt;"",MINIFS(Merchant!$A:$A,Merchant!$B:$B,$G$2),)</f>
        <v/>
      </c>
      <c r="D401" s="14" t="str">
        <f t="shared" si="2"/>
        <v/>
      </c>
      <c r="E401" s="14" t="str">
        <f t="shared" si="3"/>
        <v/>
      </c>
      <c r="F401" s="7" t="str">
        <f>IF($A401&lt;&gt;"",MAXIFS(Token!$B:$B,Token!$A:$A,$D401),)</f>
        <v/>
      </c>
    </row>
    <row r="402">
      <c r="A402" s="39" t="str">
        <f>IF(AND($L402*1&gt;=$G$3,$L402*1&lt;=$G$4,$I402*$J402&gt;0,OR($I402&lt;&gt;$I403,$L402-$L403&gt;25),$I402/POW(10,$J402)*MAXIFS(Token!$B:$B,Token!$A:$A,$K402)&gt;0.01),$L402/86400+DATE(1970,1,1)+$G$6,)</f>
        <v/>
      </c>
      <c r="B402" s="27" t="str">
        <f t="shared" si="1"/>
        <v/>
      </c>
      <c r="C402" s="14" t="str">
        <f>IF($A402&lt;&gt;"",MINIFS(Merchant!$A:$A,Merchant!$B:$B,$G$2),)</f>
        <v/>
      </c>
      <c r="D402" s="14" t="str">
        <f t="shared" si="2"/>
        <v/>
      </c>
      <c r="E402" s="14" t="str">
        <f t="shared" si="3"/>
        <v/>
      </c>
      <c r="F402" s="7" t="str">
        <f>IF($A402&lt;&gt;"",MAXIFS(Token!$B:$B,Token!$A:$A,$D402),)</f>
        <v/>
      </c>
    </row>
    <row r="403">
      <c r="A403" s="39" t="str">
        <f>IF(AND($L403*1&gt;=$G$3,$L403*1&lt;=$G$4,$I403*$J403&gt;0,OR($I403&lt;&gt;$I404,$L403-$L404&gt;25),$I403/POW(10,$J403)*MAXIFS(Token!$B:$B,Token!$A:$A,$K403)&gt;0.01),$L403/86400+DATE(1970,1,1)+$G$6,)</f>
        <v/>
      </c>
      <c r="B403" s="27" t="str">
        <f t="shared" si="1"/>
        <v/>
      </c>
      <c r="C403" s="14" t="str">
        <f>IF($A403&lt;&gt;"",MINIFS(Merchant!$A:$A,Merchant!$B:$B,$G$2),)</f>
        <v/>
      </c>
      <c r="D403" s="14" t="str">
        <f t="shared" si="2"/>
        <v/>
      </c>
      <c r="E403" s="14" t="str">
        <f t="shared" si="3"/>
        <v/>
      </c>
      <c r="F403" s="7" t="str">
        <f>IF($A403&lt;&gt;"",MAXIFS(Token!$B:$B,Token!$A:$A,$D403),)</f>
        <v/>
      </c>
    </row>
    <row r="404">
      <c r="A404" s="39" t="str">
        <f>IF(AND($L404*1&gt;=$G$3,$L404*1&lt;=$G$4,$I404*$J404&gt;0,OR($I404&lt;&gt;$I405,$L404-$L405&gt;25),$I404/POW(10,$J404)*MAXIFS(Token!$B:$B,Token!$A:$A,$K404)&gt;0.01),$L404/86400+DATE(1970,1,1)+$G$6,)</f>
        <v/>
      </c>
      <c r="B404" s="27" t="str">
        <f t="shared" si="1"/>
        <v/>
      </c>
      <c r="C404" s="14" t="str">
        <f>IF($A404&lt;&gt;"",MINIFS(Merchant!$A:$A,Merchant!$B:$B,$G$2),)</f>
        <v/>
      </c>
      <c r="D404" s="14" t="str">
        <f t="shared" si="2"/>
        <v/>
      </c>
      <c r="E404" s="14" t="str">
        <f t="shared" si="3"/>
        <v/>
      </c>
      <c r="F404" s="7" t="str">
        <f>IF($A404&lt;&gt;"",MAXIFS(Token!$B:$B,Token!$A:$A,$D404),)</f>
        <v/>
      </c>
    </row>
    <row r="405">
      <c r="A405" s="39" t="str">
        <f>IF(AND($L405*1&gt;=$G$3,$L405*1&lt;=$G$4,$I405*$J405&gt;0,OR($I405&lt;&gt;$I406,$L405-$L406&gt;25),$I405/POW(10,$J405)*MAXIFS(Token!$B:$B,Token!$A:$A,$K405)&gt;0.01),$L405/86400+DATE(1970,1,1)+$G$6,)</f>
        <v/>
      </c>
      <c r="B405" s="27" t="str">
        <f t="shared" si="1"/>
        <v/>
      </c>
      <c r="C405" s="14" t="str">
        <f>IF($A405&lt;&gt;"",MINIFS(Merchant!$A:$A,Merchant!$B:$B,$G$2),)</f>
        <v/>
      </c>
      <c r="D405" s="14" t="str">
        <f t="shared" si="2"/>
        <v/>
      </c>
      <c r="E405" s="14" t="str">
        <f t="shared" si="3"/>
        <v/>
      </c>
      <c r="F405" s="7" t="str">
        <f>IF($A405&lt;&gt;"",MAXIFS(Token!$B:$B,Token!$A:$A,$D405),)</f>
        <v/>
      </c>
    </row>
    <row r="406">
      <c r="A406" s="39" t="str">
        <f>IF(AND($L406*1&gt;=$G$3,$L406*1&lt;=$G$4,$I406*$J406&gt;0,OR($I406&lt;&gt;$I407,$L406-$L407&gt;25),$I406/POW(10,$J406)*MAXIFS(Token!$B:$B,Token!$A:$A,$K406)&gt;0.01),$L406/86400+DATE(1970,1,1)+$G$6,)</f>
        <v/>
      </c>
      <c r="B406" s="27" t="str">
        <f t="shared" si="1"/>
        <v/>
      </c>
      <c r="C406" s="14" t="str">
        <f>IF($A406&lt;&gt;"",MINIFS(Merchant!$A:$A,Merchant!$B:$B,$G$2),)</f>
        <v/>
      </c>
      <c r="D406" s="14" t="str">
        <f t="shared" si="2"/>
        <v/>
      </c>
      <c r="E406" s="14" t="str">
        <f t="shared" si="3"/>
        <v/>
      </c>
      <c r="F406" s="7" t="str">
        <f>IF($A406&lt;&gt;"",MAXIFS(Token!$B:$B,Token!$A:$A,$D406),)</f>
        <v/>
      </c>
    </row>
    <row r="407">
      <c r="A407" s="39" t="str">
        <f>IF(AND($L407*1&gt;=$G$3,$L407*1&lt;=$G$4,$I407*$J407&gt;0,OR($I407&lt;&gt;$I408,$L407-$L408&gt;25),$I407/POW(10,$J407)*MAXIFS(Token!$B:$B,Token!$A:$A,$K407)&gt;0.01),$L407/86400+DATE(1970,1,1)+$G$6,)</f>
        <v/>
      </c>
      <c r="B407" s="27" t="str">
        <f t="shared" si="1"/>
        <v/>
      </c>
      <c r="C407" s="14" t="str">
        <f>IF($A407&lt;&gt;"",MINIFS(Merchant!$A:$A,Merchant!$B:$B,$G$2),)</f>
        <v/>
      </c>
      <c r="D407" s="14" t="str">
        <f t="shared" si="2"/>
        <v/>
      </c>
      <c r="E407" s="14" t="str">
        <f t="shared" si="3"/>
        <v/>
      </c>
      <c r="F407" s="7" t="str">
        <f>IF($A407&lt;&gt;"",MAXIFS(Token!$B:$B,Token!$A:$A,$D407),)</f>
        <v/>
      </c>
    </row>
    <row r="408">
      <c r="A408" s="39" t="str">
        <f>IF(AND($L408*1&gt;=$G$3,$L408*1&lt;=$G$4,$I408*$J408&gt;0,OR($I408&lt;&gt;$I409,$L408-$L409&gt;25),$I408/POW(10,$J408)*MAXIFS(Token!$B:$B,Token!$A:$A,$K408)&gt;0.01),$L408/86400+DATE(1970,1,1)+$G$6,)</f>
        <v/>
      </c>
      <c r="B408" s="27" t="str">
        <f t="shared" si="1"/>
        <v/>
      </c>
      <c r="C408" s="14" t="str">
        <f>IF($A408&lt;&gt;"",MINIFS(Merchant!$A:$A,Merchant!$B:$B,$G$2),)</f>
        <v/>
      </c>
      <c r="D408" s="14" t="str">
        <f t="shared" si="2"/>
        <v/>
      </c>
      <c r="E408" s="14" t="str">
        <f t="shared" si="3"/>
        <v/>
      </c>
      <c r="F408" s="7" t="str">
        <f>IF($A408&lt;&gt;"",MAXIFS(Token!$B:$B,Token!$A:$A,$D408),)</f>
        <v/>
      </c>
    </row>
    <row r="409">
      <c r="A409" s="39" t="str">
        <f>IF(AND($L409*1&gt;=$G$3,$L409*1&lt;=$G$4,$I409*$J409&gt;0,OR($I409&lt;&gt;$I410,$L409-$L410&gt;25),$I409/POW(10,$J409)*MAXIFS(Token!$B:$B,Token!$A:$A,$K409)&gt;0.01),$L409/86400+DATE(1970,1,1)+$G$6,)</f>
        <v/>
      </c>
      <c r="B409" s="27" t="str">
        <f t="shared" si="1"/>
        <v/>
      </c>
      <c r="C409" s="14" t="str">
        <f>IF($A409&lt;&gt;"",MINIFS(Merchant!$A:$A,Merchant!$B:$B,$G$2),)</f>
        <v/>
      </c>
      <c r="D409" s="14" t="str">
        <f t="shared" si="2"/>
        <v/>
      </c>
      <c r="E409" s="14" t="str">
        <f t="shared" si="3"/>
        <v/>
      </c>
      <c r="F409" s="7" t="str">
        <f>IF($A409&lt;&gt;"",MAXIFS(Token!$B:$B,Token!$A:$A,$D409),)</f>
        <v/>
      </c>
    </row>
    <row r="410">
      <c r="A410" s="39" t="str">
        <f>IF(AND($L410*1&gt;=$G$3,$L410*1&lt;=$G$4,$I410*$J410&gt;0,OR($I410&lt;&gt;$I411,$L410-$L411&gt;25),$I410/POW(10,$J410)*MAXIFS(Token!$B:$B,Token!$A:$A,$K410)&gt;0.01),$L410/86400+DATE(1970,1,1)+$G$6,)</f>
        <v/>
      </c>
      <c r="B410" s="27" t="str">
        <f t="shared" si="1"/>
        <v/>
      </c>
      <c r="C410" s="14" t="str">
        <f>IF($A410&lt;&gt;"",MINIFS(Merchant!$A:$A,Merchant!$B:$B,$G$2),)</f>
        <v/>
      </c>
      <c r="D410" s="14" t="str">
        <f t="shared" si="2"/>
        <v/>
      </c>
      <c r="E410" s="14" t="str">
        <f t="shared" si="3"/>
        <v/>
      </c>
      <c r="F410" s="7" t="str">
        <f>IF($A410&lt;&gt;"",MAXIFS(Token!$B:$B,Token!$A:$A,$D410),)</f>
        <v/>
      </c>
    </row>
    <row r="411">
      <c r="A411" s="39" t="str">
        <f>IF(AND($L411*1&gt;=$G$3,$L411*1&lt;=$G$4,$I411*$J411&gt;0,OR($I411&lt;&gt;$I412,$L411-$L412&gt;25),$I411/POW(10,$J411)*MAXIFS(Token!$B:$B,Token!$A:$A,$K411)&gt;0.01),$L411/86400+DATE(1970,1,1)+$G$6,)</f>
        <v/>
      </c>
      <c r="B411" s="27" t="str">
        <f t="shared" si="1"/>
        <v/>
      </c>
      <c r="C411" s="14" t="str">
        <f>IF($A411&lt;&gt;"",MINIFS(Merchant!$A:$A,Merchant!$B:$B,$G$2),)</f>
        <v/>
      </c>
      <c r="D411" s="14" t="str">
        <f t="shared" si="2"/>
        <v/>
      </c>
      <c r="E411" s="14" t="str">
        <f t="shared" si="3"/>
        <v/>
      </c>
      <c r="F411" s="7" t="str">
        <f>IF($A411&lt;&gt;"",MAXIFS(Token!$B:$B,Token!$A:$A,$D411),)</f>
        <v/>
      </c>
    </row>
    <row r="412">
      <c r="A412" s="39" t="str">
        <f>IF(AND($L412*1&gt;=$G$3,$L412*1&lt;=$G$4,$I412*$J412&gt;0,OR($I412&lt;&gt;$I413,$L412-$L413&gt;25),$I412/POW(10,$J412)*MAXIFS(Token!$B:$B,Token!$A:$A,$K412)&gt;0.01),$L412/86400+DATE(1970,1,1)+$G$6,)</f>
        <v/>
      </c>
      <c r="B412" s="27" t="str">
        <f t="shared" si="1"/>
        <v/>
      </c>
      <c r="C412" s="14" t="str">
        <f>IF($A412&lt;&gt;"",MINIFS(Merchant!$A:$A,Merchant!$B:$B,$G$2),)</f>
        <v/>
      </c>
      <c r="D412" s="14" t="str">
        <f t="shared" si="2"/>
        <v/>
      </c>
      <c r="E412" s="14" t="str">
        <f t="shared" si="3"/>
        <v/>
      </c>
      <c r="F412" s="7" t="str">
        <f>IF($A412&lt;&gt;"",MAXIFS(Token!$B:$B,Token!$A:$A,$D412),)</f>
        <v/>
      </c>
    </row>
    <row r="413">
      <c r="A413" s="39" t="str">
        <f>IF(AND($L413*1&gt;=$G$3,$L413*1&lt;=$G$4,$I413*$J413&gt;0,OR($I413&lt;&gt;$I414,$L413-$L414&gt;25),$I413/POW(10,$J413)*MAXIFS(Token!$B:$B,Token!$A:$A,$K413)&gt;0.01),$L413/86400+DATE(1970,1,1)+$G$6,)</f>
        <v/>
      </c>
      <c r="B413" s="27" t="str">
        <f t="shared" si="1"/>
        <v/>
      </c>
      <c r="C413" s="14" t="str">
        <f>IF($A413&lt;&gt;"",MINIFS(Merchant!$A:$A,Merchant!$B:$B,$G$2),)</f>
        <v/>
      </c>
      <c r="D413" s="14" t="str">
        <f t="shared" si="2"/>
        <v/>
      </c>
      <c r="E413" s="14" t="str">
        <f t="shared" si="3"/>
        <v/>
      </c>
      <c r="F413" s="7" t="str">
        <f>IF($A413&lt;&gt;"",MAXIFS(Token!$B:$B,Token!$A:$A,$D413),)</f>
        <v/>
      </c>
    </row>
    <row r="414">
      <c r="A414" s="39" t="str">
        <f>IF(AND($L414*1&gt;=$G$3,$L414*1&lt;=$G$4,$I414*$J414&gt;0,OR($I414&lt;&gt;$I415,$L414-$L415&gt;25),$I414/POW(10,$J414)*MAXIFS(Token!$B:$B,Token!$A:$A,$K414)&gt;0.01),$L414/86400+DATE(1970,1,1)+$G$6,)</f>
        <v/>
      </c>
      <c r="B414" s="27" t="str">
        <f t="shared" si="1"/>
        <v/>
      </c>
      <c r="C414" s="14" t="str">
        <f>IF($A414&lt;&gt;"",MINIFS(Merchant!$A:$A,Merchant!$B:$B,$G$2),)</f>
        <v/>
      </c>
      <c r="D414" s="14" t="str">
        <f t="shared" si="2"/>
        <v/>
      </c>
      <c r="E414" s="14" t="str">
        <f t="shared" si="3"/>
        <v/>
      </c>
      <c r="F414" s="7" t="str">
        <f>IF($A414&lt;&gt;"",MAXIFS(Token!$B:$B,Token!$A:$A,$D414),)</f>
        <v/>
      </c>
    </row>
    <row r="415">
      <c r="A415" s="39" t="str">
        <f>IF(AND($L415*1&gt;=$G$3,$L415*1&lt;=$G$4,$I415*$J415&gt;0,OR($I415&lt;&gt;$I416,$L415-$L416&gt;25),$I415/POW(10,$J415)*MAXIFS(Token!$B:$B,Token!$A:$A,$K415)&gt;0.01),$L415/86400+DATE(1970,1,1)+$G$6,)</f>
        <v/>
      </c>
      <c r="B415" s="27" t="str">
        <f t="shared" si="1"/>
        <v/>
      </c>
      <c r="C415" s="14" t="str">
        <f>IF($A415&lt;&gt;"",MINIFS(Merchant!$A:$A,Merchant!$B:$B,$G$2),)</f>
        <v/>
      </c>
      <c r="D415" s="14" t="str">
        <f t="shared" si="2"/>
        <v/>
      </c>
      <c r="E415" s="14" t="str">
        <f t="shared" si="3"/>
        <v/>
      </c>
      <c r="F415" s="7" t="str">
        <f>IF($A415&lt;&gt;"",MAXIFS(Token!$B:$B,Token!$A:$A,$D415),)</f>
        <v/>
      </c>
    </row>
    <row r="416">
      <c r="A416" s="39" t="str">
        <f>IF(AND($L416*1&gt;=$G$3,$L416*1&lt;=$G$4,$I416*$J416&gt;0,OR($I416&lt;&gt;$I417,$L416-$L417&gt;25),$I416/POW(10,$J416)*MAXIFS(Token!$B:$B,Token!$A:$A,$K416)&gt;0.01),$L416/86400+DATE(1970,1,1)+$G$6,)</f>
        <v/>
      </c>
      <c r="B416" s="27" t="str">
        <f t="shared" si="1"/>
        <v/>
      </c>
      <c r="C416" s="14" t="str">
        <f>IF($A416&lt;&gt;"",MINIFS(Merchant!$A:$A,Merchant!$B:$B,$G$2),)</f>
        <v/>
      </c>
      <c r="D416" s="14" t="str">
        <f t="shared" si="2"/>
        <v/>
      </c>
      <c r="E416" s="14" t="str">
        <f t="shared" si="3"/>
        <v/>
      </c>
      <c r="F416" s="7" t="str">
        <f>IF($A416&lt;&gt;"",MAXIFS(Token!$B:$B,Token!$A:$A,$D416),)</f>
        <v/>
      </c>
    </row>
    <row r="417">
      <c r="A417" s="39" t="str">
        <f>IF(AND($L417*1&gt;=$G$3,$L417*1&lt;=$G$4,$I417*$J417&gt;0,OR($I417&lt;&gt;$I418,$L417-$L418&gt;25),$I417/POW(10,$J417)*MAXIFS(Token!$B:$B,Token!$A:$A,$K417)&gt;0.01),$L417/86400+DATE(1970,1,1)+$G$6,)</f>
        <v/>
      </c>
      <c r="B417" s="27" t="str">
        <f t="shared" si="1"/>
        <v/>
      </c>
      <c r="C417" s="14" t="str">
        <f>IF($A417&lt;&gt;"",MINIFS(Merchant!$A:$A,Merchant!$B:$B,$G$2),)</f>
        <v/>
      </c>
      <c r="D417" s="14" t="str">
        <f t="shared" si="2"/>
        <v/>
      </c>
      <c r="E417" s="14" t="str">
        <f t="shared" si="3"/>
        <v/>
      </c>
      <c r="F417" s="7" t="str">
        <f>IF($A417&lt;&gt;"",MAXIFS(Token!$B:$B,Token!$A:$A,$D417),)</f>
        <v/>
      </c>
    </row>
    <row r="418">
      <c r="A418" s="39" t="str">
        <f>IF(AND($L418*1&gt;=$G$3,$L418*1&lt;=$G$4,$I418*$J418&gt;0,OR($I418&lt;&gt;$I419,$L418-$L419&gt;25),$I418/POW(10,$J418)*MAXIFS(Token!$B:$B,Token!$A:$A,$K418)&gt;0.01),$L418/86400+DATE(1970,1,1)+$G$6,)</f>
        <v/>
      </c>
      <c r="B418" s="27" t="str">
        <f t="shared" si="1"/>
        <v/>
      </c>
      <c r="C418" s="14" t="str">
        <f>IF($A418&lt;&gt;"",MINIFS(Merchant!$A:$A,Merchant!$B:$B,$G$2),)</f>
        <v/>
      </c>
      <c r="D418" s="14" t="str">
        <f t="shared" si="2"/>
        <v/>
      </c>
      <c r="E418" s="14" t="str">
        <f t="shared" si="3"/>
        <v/>
      </c>
      <c r="F418" s="7" t="str">
        <f>IF($A418&lt;&gt;"",MAXIFS(Token!$B:$B,Token!$A:$A,$D418),)</f>
        <v/>
      </c>
    </row>
    <row r="419">
      <c r="A419" s="39" t="str">
        <f>IF(AND($L419*1&gt;=$G$3,$L419*1&lt;=$G$4,$I419*$J419&gt;0,OR($I419&lt;&gt;$I420,$L419-$L420&gt;25),$I419/POW(10,$J419)*MAXIFS(Token!$B:$B,Token!$A:$A,$K419)&gt;0.01),$L419/86400+DATE(1970,1,1)+$G$6,)</f>
        <v/>
      </c>
      <c r="B419" s="27" t="str">
        <f t="shared" si="1"/>
        <v/>
      </c>
      <c r="C419" s="14" t="str">
        <f>IF($A419&lt;&gt;"",MINIFS(Merchant!$A:$A,Merchant!$B:$B,$G$2),)</f>
        <v/>
      </c>
      <c r="D419" s="14" t="str">
        <f t="shared" si="2"/>
        <v/>
      </c>
      <c r="E419" s="14" t="str">
        <f t="shared" si="3"/>
        <v/>
      </c>
      <c r="F419" s="7" t="str">
        <f>IF($A419&lt;&gt;"",MAXIFS(Token!$B:$B,Token!$A:$A,$D419),)</f>
        <v/>
      </c>
    </row>
    <row r="420">
      <c r="A420" s="39" t="str">
        <f>IF(AND($L420*1&gt;=$G$3,$L420*1&lt;=$G$4,$I420*$J420&gt;0,OR($I420&lt;&gt;$I421,$L420-$L421&gt;25),$I420/POW(10,$J420)*MAXIFS(Token!$B:$B,Token!$A:$A,$K420)&gt;0.01),$L420/86400+DATE(1970,1,1)+$G$6,)</f>
        <v/>
      </c>
      <c r="B420" s="27" t="str">
        <f t="shared" si="1"/>
        <v/>
      </c>
      <c r="C420" s="14" t="str">
        <f>IF($A420&lt;&gt;"",MINIFS(Merchant!$A:$A,Merchant!$B:$B,$G$2),)</f>
        <v/>
      </c>
      <c r="D420" s="14" t="str">
        <f t="shared" si="2"/>
        <v/>
      </c>
      <c r="E420" s="14" t="str">
        <f t="shared" si="3"/>
        <v/>
      </c>
      <c r="F420" s="7" t="str">
        <f>IF($A420&lt;&gt;"",MAXIFS(Token!$B:$B,Token!$A:$A,$D420),)</f>
        <v/>
      </c>
    </row>
    <row r="421">
      <c r="A421" s="39" t="str">
        <f>IF(AND($L421*1&gt;=$G$3,$L421*1&lt;=$G$4,$I421*$J421&gt;0,OR($I421&lt;&gt;$I422,$L421-$L422&gt;25),$I421/POW(10,$J421)*MAXIFS(Token!$B:$B,Token!$A:$A,$K421)&gt;0.01),$L421/86400+DATE(1970,1,1)+$G$6,)</f>
        <v/>
      </c>
      <c r="B421" s="27" t="str">
        <f t="shared" si="1"/>
        <v/>
      </c>
      <c r="C421" s="14" t="str">
        <f>IF($A421&lt;&gt;"",MINIFS(Merchant!$A:$A,Merchant!$B:$B,$G$2),)</f>
        <v/>
      </c>
      <c r="D421" s="14" t="str">
        <f t="shared" si="2"/>
        <v/>
      </c>
      <c r="E421" s="14" t="str">
        <f t="shared" si="3"/>
        <v/>
      </c>
      <c r="F421" s="7" t="str">
        <f>IF($A421&lt;&gt;"",MAXIFS(Token!$B:$B,Token!$A:$A,$D421),)</f>
        <v/>
      </c>
    </row>
    <row r="422">
      <c r="A422" s="39" t="str">
        <f>IF(AND($L422*1&gt;=$G$3,$L422*1&lt;=$G$4,$I422*$J422&gt;0,OR($I422&lt;&gt;$I423,$L422-$L423&gt;25),$I422/POW(10,$J422)*MAXIFS(Token!$B:$B,Token!$A:$A,$K422)&gt;0.01),$L422/86400+DATE(1970,1,1)+$G$6,)</f>
        <v/>
      </c>
      <c r="B422" s="27" t="str">
        <f t="shared" si="1"/>
        <v/>
      </c>
      <c r="C422" s="14" t="str">
        <f>IF($A422&lt;&gt;"",MINIFS(Merchant!$A:$A,Merchant!$B:$B,$G$2),)</f>
        <v/>
      </c>
      <c r="D422" s="14" t="str">
        <f t="shared" si="2"/>
        <v/>
      </c>
      <c r="E422" s="14" t="str">
        <f t="shared" si="3"/>
        <v/>
      </c>
      <c r="F422" s="7" t="str">
        <f>IF($A422&lt;&gt;"",MAXIFS(Token!$B:$B,Token!$A:$A,$D422),)</f>
        <v/>
      </c>
    </row>
    <row r="423">
      <c r="A423" s="39" t="str">
        <f>IF(AND($L423*1&gt;=$G$3,$L423*1&lt;=$G$4,$I423*$J423&gt;0,OR($I423&lt;&gt;$I424,$L423-$L424&gt;25),$I423/POW(10,$J423)*MAXIFS(Token!$B:$B,Token!$A:$A,$K423)&gt;0.01),$L423/86400+DATE(1970,1,1)+$G$6,)</f>
        <v/>
      </c>
      <c r="B423" s="27" t="str">
        <f t="shared" si="1"/>
        <v/>
      </c>
      <c r="C423" s="14" t="str">
        <f>IF($A423&lt;&gt;"",MINIFS(Merchant!$A:$A,Merchant!$B:$B,$G$2),)</f>
        <v/>
      </c>
      <c r="D423" s="14" t="str">
        <f t="shared" si="2"/>
        <v/>
      </c>
      <c r="E423" s="14" t="str">
        <f t="shared" si="3"/>
        <v/>
      </c>
      <c r="F423" s="7" t="str">
        <f>IF($A423&lt;&gt;"",MAXIFS(Token!$B:$B,Token!$A:$A,$D423),)</f>
        <v/>
      </c>
    </row>
    <row r="424">
      <c r="A424" s="39" t="str">
        <f>IF(AND($L424*1&gt;=$G$3,$L424*1&lt;=$G$4,$I424*$J424&gt;0,OR($I424&lt;&gt;$I425,$L424-$L425&gt;25),$I424/POW(10,$J424)*MAXIFS(Token!$B:$B,Token!$A:$A,$K424)&gt;0.01),$L424/86400+DATE(1970,1,1)+$G$6,)</f>
        <v/>
      </c>
      <c r="B424" s="27" t="str">
        <f t="shared" si="1"/>
        <v/>
      </c>
      <c r="C424" s="14" t="str">
        <f>IF($A424&lt;&gt;"",MINIFS(Merchant!$A:$A,Merchant!$B:$B,$G$2),)</f>
        <v/>
      </c>
      <c r="D424" s="14" t="str">
        <f t="shared" si="2"/>
        <v/>
      </c>
      <c r="E424" s="14" t="str">
        <f t="shared" si="3"/>
        <v/>
      </c>
      <c r="F424" s="7" t="str">
        <f>IF($A424&lt;&gt;"",MAXIFS(Token!$B:$B,Token!$A:$A,$D424),)</f>
        <v/>
      </c>
    </row>
    <row r="425">
      <c r="A425" s="39" t="str">
        <f>IF(AND($L425*1&gt;=$G$3,$L425*1&lt;=$G$4,$I425*$J425&gt;0,OR($I425&lt;&gt;$I426,$L425-$L426&gt;25),$I425/POW(10,$J425)*MAXIFS(Token!$B:$B,Token!$A:$A,$K425)&gt;0.01),$L425/86400+DATE(1970,1,1)+$G$6,)</f>
        <v/>
      </c>
      <c r="B425" s="27" t="str">
        <f t="shared" si="1"/>
        <v/>
      </c>
      <c r="C425" s="14" t="str">
        <f>IF($A425&lt;&gt;"",MINIFS(Merchant!$A:$A,Merchant!$B:$B,$G$2),)</f>
        <v/>
      </c>
      <c r="D425" s="14" t="str">
        <f t="shared" si="2"/>
        <v/>
      </c>
      <c r="E425" s="14" t="str">
        <f t="shared" si="3"/>
        <v/>
      </c>
      <c r="F425" s="7" t="str">
        <f>IF($A425&lt;&gt;"",MAXIFS(Token!$B:$B,Token!$A:$A,$D425),)</f>
        <v/>
      </c>
    </row>
    <row r="426">
      <c r="A426" s="39" t="str">
        <f>IF(AND($L426*1&gt;=$G$3,$L426*1&lt;=$G$4,$I426*$J426&gt;0,OR($I426&lt;&gt;$I427,$L426-$L427&gt;25),$I426/POW(10,$J426)*MAXIFS(Token!$B:$B,Token!$A:$A,$K426)&gt;0.01),$L426/86400+DATE(1970,1,1)+$G$6,)</f>
        <v/>
      </c>
      <c r="B426" s="27" t="str">
        <f t="shared" si="1"/>
        <v/>
      </c>
      <c r="C426" s="14" t="str">
        <f>IF($A426&lt;&gt;"",MINIFS(Merchant!$A:$A,Merchant!$B:$B,$G$2),)</f>
        <v/>
      </c>
      <c r="D426" s="14" t="str">
        <f t="shared" si="2"/>
        <v/>
      </c>
      <c r="E426" s="14" t="str">
        <f t="shared" si="3"/>
        <v/>
      </c>
      <c r="F426" s="7" t="str">
        <f>IF($A426&lt;&gt;"",MAXIFS(Token!$B:$B,Token!$A:$A,$D426),)</f>
        <v/>
      </c>
    </row>
    <row r="427">
      <c r="A427" s="39" t="str">
        <f>IF(AND($L427*1&gt;=$G$3,$L427*1&lt;=$G$4,$I427*$J427&gt;0,OR($I427&lt;&gt;$I428,$L427-$L428&gt;25),$I427/POW(10,$J427)*MAXIFS(Token!$B:$B,Token!$A:$A,$K427)&gt;0.01),$L427/86400+DATE(1970,1,1)+$G$6,)</f>
        <v/>
      </c>
      <c r="B427" s="27" t="str">
        <f t="shared" si="1"/>
        <v/>
      </c>
      <c r="C427" s="14" t="str">
        <f>IF($A427&lt;&gt;"",MINIFS(Merchant!$A:$A,Merchant!$B:$B,$G$2),)</f>
        <v/>
      </c>
      <c r="D427" s="14" t="str">
        <f t="shared" si="2"/>
        <v/>
      </c>
      <c r="E427" s="14" t="str">
        <f t="shared" si="3"/>
        <v/>
      </c>
      <c r="F427" s="7" t="str">
        <f>IF($A427&lt;&gt;"",MAXIFS(Token!$B:$B,Token!$A:$A,$D427),)</f>
        <v/>
      </c>
    </row>
    <row r="428">
      <c r="A428" s="39" t="str">
        <f>IF(AND($L428*1&gt;=$G$3,$L428*1&lt;=$G$4,$I428*$J428&gt;0,OR($I428&lt;&gt;$I429,$L428-$L429&gt;25),$I428/POW(10,$J428)*MAXIFS(Token!$B:$B,Token!$A:$A,$K428)&gt;0.01),$L428/86400+DATE(1970,1,1)+$G$6,)</f>
        <v/>
      </c>
      <c r="B428" s="27" t="str">
        <f t="shared" si="1"/>
        <v/>
      </c>
      <c r="C428" s="14" t="str">
        <f>IF($A428&lt;&gt;"",MINIFS(Merchant!$A:$A,Merchant!$B:$B,$G$2),)</f>
        <v/>
      </c>
      <c r="D428" s="14" t="str">
        <f t="shared" si="2"/>
        <v/>
      </c>
      <c r="E428" s="14" t="str">
        <f t="shared" si="3"/>
        <v/>
      </c>
      <c r="F428" s="7" t="str">
        <f>IF($A428&lt;&gt;"",MAXIFS(Token!$B:$B,Token!$A:$A,$D428),)</f>
        <v/>
      </c>
    </row>
    <row r="429">
      <c r="A429" s="39" t="str">
        <f>IF(AND($L429*1&gt;=$G$3,$L429*1&lt;=$G$4,$I429*$J429&gt;0,OR($I429&lt;&gt;$I430,$L429-$L430&gt;25),$I429/POW(10,$J429)*MAXIFS(Token!$B:$B,Token!$A:$A,$K429)&gt;0.01),$L429/86400+DATE(1970,1,1)+$G$6,)</f>
        <v/>
      </c>
      <c r="B429" s="27" t="str">
        <f t="shared" si="1"/>
        <v/>
      </c>
      <c r="C429" s="14" t="str">
        <f>IF($A429&lt;&gt;"",MINIFS(Merchant!$A:$A,Merchant!$B:$B,$G$2),)</f>
        <v/>
      </c>
      <c r="D429" s="14" t="str">
        <f t="shared" si="2"/>
        <v/>
      </c>
      <c r="E429" s="14" t="str">
        <f t="shared" si="3"/>
        <v/>
      </c>
      <c r="F429" s="7" t="str">
        <f>IF($A429&lt;&gt;"",MAXIFS(Token!$B:$B,Token!$A:$A,$D429),)</f>
        <v/>
      </c>
    </row>
    <row r="430">
      <c r="A430" s="39" t="str">
        <f>IF(AND($L430*1&gt;=$G$3,$L430*1&lt;=$G$4,$I430*$J430&gt;0,OR($I430&lt;&gt;$I431,$L430-$L431&gt;25),$I430/POW(10,$J430)*MAXIFS(Token!$B:$B,Token!$A:$A,$K430)&gt;0.01),$L430/86400+DATE(1970,1,1)+$G$6,)</f>
        <v/>
      </c>
      <c r="B430" s="27" t="str">
        <f t="shared" si="1"/>
        <v/>
      </c>
      <c r="C430" s="14" t="str">
        <f>IF($A430&lt;&gt;"",MINIFS(Merchant!$A:$A,Merchant!$B:$B,$G$2),)</f>
        <v/>
      </c>
      <c r="D430" s="14" t="str">
        <f t="shared" si="2"/>
        <v/>
      </c>
      <c r="E430" s="14" t="str">
        <f t="shared" si="3"/>
        <v/>
      </c>
      <c r="F430" s="7" t="str">
        <f>IF($A430&lt;&gt;"",MAXIFS(Token!$B:$B,Token!$A:$A,$D430),)</f>
        <v/>
      </c>
    </row>
    <row r="431">
      <c r="A431" s="39" t="str">
        <f>IF(AND($L431*1&gt;=$G$3,$L431*1&lt;=$G$4,$I431*$J431&gt;0,OR($I431&lt;&gt;$I432,$L431-$L432&gt;25),$I431/POW(10,$J431)*MAXIFS(Token!$B:$B,Token!$A:$A,$K431)&gt;0.01),$L431/86400+DATE(1970,1,1)+$G$6,)</f>
        <v/>
      </c>
      <c r="B431" s="27" t="str">
        <f t="shared" si="1"/>
        <v/>
      </c>
      <c r="C431" s="14" t="str">
        <f>IF($A431&lt;&gt;"",MINIFS(Merchant!$A:$A,Merchant!$B:$B,$G$2),)</f>
        <v/>
      </c>
      <c r="D431" s="14" t="str">
        <f t="shared" si="2"/>
        <v/>
      </c>
      <c r="E431" s="14" t="str">
        <f t="shared" si="3"/>
        <v/>
      </c>
      <c r="F431" s="7" t="str">
        <f>IF($A431&lt;&gt;"",MAXIFS(Token!$B:$B,Token!$A:$A,$D431),)</f>
        <v/>
      </c>
    </row>
    <row r="432">
      <c r="A432" s="39" t="str">
        <f>IF(AND($L432*1&gt;=$G$3,$L432*1&lt;=$G$4,$I432*$J432&gt;0,OR($I432&lt;&gt;$I433,$L432-$L433&gt;25),$I432/POW(10,$J432)*MAXIFS(Token!$B:$B,Token!$A:$A,$K432)&gt;0.01),$L432/86400+DATE(1970,1,1)+$G$6,)</f>
        <v/>
      </c>
      <c r="B432" s="27" t="str">
        <f t="shared" si="1"/>
        <v/>
      </c>
      <c r="C432" s="14" t="str">
        <f>IF($A432&lt;&gt;"",MINIFS(Merchant!$A:$A,Merchant!$B:$B,$G$2),)</f>
        <v/>
      </c>
      <c r="D432" s="14" t="str">
        <f t="shared" si="2"/>
        <v/>
      </c>
      <c r="E432" s="14" t="str">
        <f t="shared" si="3"/>
        <v/>
      </c>
      <c r="F432" s="7" t="str">
        <f>IF($A432&lt;&gt;"",MAXIFS(Token!$B:$B,Token!$A:$A,$D432),)</f>
        <v/>
      </c>
    </row>
    <row r="433">
      <c r="A433" s="39" t="str">
        <f>IF(AND($L433*1&gt;=$G$3,$L433*1&lt;=$G$4,$I433*$J433&gt;0,OR($I433&lt;&gt;$I434,$L433-$L434&gt;25),$I433/POW(10,$J433)*MAXIFS(Token!$B:$B,Token!$A:$A,$K433)&gt;0.01),$L433/86400+DATE(1970,1,1)+$G$6,)</f>
        <v/>
      </c>
      <c r="B433" s="27" t="str">
        <f t="shared" si="1"/>
        <v/>
      </c>
      <c r="C433" s="14" t="str">
        <f>IF($A433&lt;&gt;"",MINIFS(Merchant!$A:$A,Merchant!$B:$B,$G$2),)</f>
        <v/>
      </c>
      <c r="D433" s="14" t="str">
        <f t="shared" si="2"/>
        <v/>
      </c>
      <c r="E433" s="14" t="str">
        <f t="shared" si="3"/>
        <v/>
      </c>
      <c r="F433" s="7" t="str">
        <f>IF($A433&lt;&gt;"",MAXIFS(Token!$B:$B,Token!$A:$A,$D433),)</f>
        <v/>
      </c>
    </row>
    <row r="434">
      <c r="A434" s="39" t="str">
        <f>IF(AND($L434*1&gt;=$G$3,$L434*1&lt;=$G$4,$I434*$J434&gt;0,OR($I434&lt;&gt;$I435,$L434-$L435&gt;25),$I434/POW(10,$J434)*MAXIFS(Token!$B:$B,Token!$A:$A,$K434)&gt;0.01),$L434/86400+DATE(1970,1,1)+$G$6,)</f>
        <v/>
      </c>
      <c r="B434" s="27" t="str">
        <f t="shared" si="1"/>
        <v/>
      </c>
      <c r="C434" s="14" t="str">
        <f>IF($A434&lt;&gt;"",MINIFS(Merchant!$A:$A,Merchant!$B:$B,$G$2),)</f>
        <v/>
      </c>
      <c r="D434" s="14" t="str">
        <f t="shared" si="2"/>
        <v/>
      </c>
      <c r="E434" s="14" t="str">
        <f t="shared" si="3"/>
        <v/>
      </c>
      <c r="F434" s="7" t="str">
        <f>IF($A434&lt;&gt;"",MAXIFS(Token!$B:$B,Token!$A:$A,$D434),)</f>
        <v/>
      </c>
    </row>
    <row r="435">
      <c r="A435" s="39" t="str">
        <f>IF(AND($L435*1&gt;=$G$3,$L435*1&lt;=$G$4,$I435*$J435&gt;0,OR($I435&lt;&gt;$I436,$L435-$L436&gt;25),$I435/POW(10,$J435)*MAXIFS(Token!$B:$B,Token!$A:$A,$K435)&gt;0.01),$L435/86400+DATE(1970,1,1)+$G$6,)</f>
        <v/>
      </c>
      <c r="B435" s="27" t="str">
        <f t="shared" si="1"/>
        <v/>
      </c>
      <c r="C435" s="14" t="str">
        <f>IF($A435&lt;&gt;"",MINIFS(Merchant!$A:$A,Merchant!$B:$B,$G$2),)</f>
        <v/>
      </c>
      <c r="D435" s="14" t="str">
        <f t="shared" si="2"/>
        <v/>
      </c>
      <c r="E435" s="14" t="str">
        <f t="shared" si="3"/>
        <v/>
      </c>
      <c r="F435" s="7" t="str">
        <f>IF($A435&lt;&gt;"",MAXIFS(Token!$B:$B,Token!$A:$A,$D435),)</f>
        <v/>
      </c>
    </row>
    <row r="436">
      <c r="A436" s="39" t="str">
        <f>IF(AND($L436*1&gt;=$G$3,$L436*1&lt;=$G$4,$I436*$J436&gt;0,OR($I436&lt;&gt;$I437,$L436-$L437&gt;25),$I436/POW(10,$J436)*MAXIFS(Token!$B:$B,Token!$A:$A,$K436)&gt;0.01),$L436/86400+DATE(1970,1,1)+$G$6,)</f>
        <v/>
      </c>
      <c r="B436" s="27" t="str">
        <f t="shared" si="1"/>
        <v/>
      </c>
      <c r="C436" s="14" t="str">
        <f>IF($A436&lt;&gt;"",MINIFS(Merchant!$A:$A,Merchant!$B:$B,$G$2),)</f>
        <v/>
      </c>
      <c r="D436" s="14" t="str">
        <f t="shared" si="2"/>
        <v/>
      </c>
      <c r="E436" s="14" t="str">
        <f t="shared" si="3"/>
        <v/>
      </c>
      <c r="F436" s="7" t="str">
        <f>IF($A436&lt;&gt;"",MAXIFS(Token!$B:$B,Token!$A:$A,$D436),)</f>
        <v/>
      </c>
    </row>
    <row r="437">
      <c r="A437" s="39" t="str">
        <f>IF(AND($L437*1&gt;=$G$3,$L437*1&lt;=$G$4,$I437*$J437&gt;0,OR($I437&lt;&gt;$I438,$L437-$L438&gt;25),$I437/POW(10,$J437)*MAXIFS(Token!$B:$B,Token!$A:$A,$K437)&gt;0.01),$L437/86400+DATE(1970,1,1)+$G$6,)</f>
        <v/>
      </c>
      <c r="B437" s="27" t="str">
        <f t="shared" si="1"/>
        <v/>
      </c>
      <c r="C437" s="14" t="str">
        <f>IF($A437&lt;&gt;"",MINIFS(Merchant!$A:$A,Merchant!$B:$B,$G$2),)</f>
        <v/>
      </c>
      <c r="D437" s="14" t="str">
        <f t="shared" si="2"/>
        <v/>
      </c>
      <c r="E437" s="14" t="str">
        <f t="shared" si="3"/>
        <v/>
      </c>
      <c r="F437" s="7" t="str">
        <f>IF($A437&lt;&gt;"",MAXIFS(Token!$B:$B,Token!$A:$A,$D437),)</f>
        <v/>
      </c>
    </row>
    <row r="438">
      <c r="A438" s="39" t="str">
        <f>IF(AND($L438*1&gt;=$G$3,$L438*1&lt;=$G$4,$I438*$J438&gt;0,OR($I438&lt;&gt;$I439,$L438-$L439&gt;25),$I438/POW(10,$J438)*MAXIFS(Token!$B:$B,Token!$A:$A,$K438)&gt;0.01),$L438/86400+DATE(1970,1,1)+$G$6,)</f>
        <v/>
      </c>
      <c r="B438" s="27" t="str">
        <f t="shared" si="1"/>
        <v/>
      </c>
      <c r="C438" s="14" t="str">
        <f>IF($A438&lt;&gt;"",MINIFS(Merchant!$A:$A,Merchant!$B:$B,$G$2),)</f>
        <v/>
      </c>
      <c r="D438" s="14" t="str">
        <f t="shared" si="2"/>
        <v/>
      </c>
      <c r="E438" s="14" t="str">
        <f t="shared" si="3"/>
        <v/>
      </c>
      <c r="F438" s="7" t="str">
        <f>IF($A438&lt;&gt;"",MAXIFS(Token!$B:$B,Token!$A:$A,$D438),)</f>
        <v/>
      </c>
    </row>
    <row r="439">
      <c r="A439" s="39" t="str">
        <f>IF(AND($L439*1&gt;=$G$3,$L439*1&lt;=$G$4,$I439*$J439&gt;0,OR($I439&lt;&gt;$I440,$L439-$L440&gt;25),$I439/POW(10,$J439)*MAXIFS(Token!$B:$B,Token!$A:$A,$K439)&gt;0.01),$L439/86400+DATE(1970,1,1)+$G$6,)</f>
        <v/>
      </c>
      <c r="B439" s="27" t="str">
        <f t="shared" si="1"/>
        <v/>
      </c>
      <c r="C439" s="14" t="str">
        <f>IF($A439&lt;&gt;"",MINIFS(Merchant!$A:$A,Merchant!$B:$B,$G$2),)</f>
        <v/>
      </c>
      <c r="D439" s="14" t="str">
        <f t="shared" si="2"/>
        <v/>
      </c>
      <c r="E439" s="14" t="str">
        <f t="shared" si="3"/>
        <v/>
      </c>
      <c r="F439" s="7" t="str">
        <f>IF($A439&lt;&gt;"",MAXIFS(Token!$B:$B,Token!$A:$A,$D439),)</f>
        <v/>
      </c>
    </row>
    <row r="440">
      <c r="A440" s="39" t="str">
        <f>IF(AND($L440*1&gt;=$G$3,$L440*1&lt;=$G$4,$I440*$J440&gt;0,OR($I440&lt;&gt;$I441,$L440-$L441&gt;25),$I440/POW(10,$J440)*MAXIFS(Token!$B:$B,Token!$A:$A,$K440)&gt;0.01),$L440/86400+DATE(1970,1,1)+$G$6,)</f>
        <v/>
      </c>
      <c r="B440" s="27" t="str">
        <f t="shared" si="1"/>
        <v/>
      </c>
      <c r="C440" s="14" t="str">
        <f>IF($A440&lt;&gt;"",MINIFS(Merchant!$A:$A,Merchant!$B:$B,$G$2),)</f>
        <v/>
      </c>
      <c r="D440" s="14" t="str">
        <f t="shared" si="2"/>
        <v/>
      </c>
      <c r="E440" s="14" t="str">
        <f t="shared" si="3"/>
        <v/>
      </c>
      <c r="F440" s="7" t="str">
        <f>IF($A440&lt;&gt;"",MAXIFS(Token!$B:$B,Token!$A:$A,$D440),)</f>
        <v/>
      </c>
    </row>
    <row r="441">
      <c r="A441" s="39" t="str">
        <f>IF(AND($L441*1&gt;=$G$3,$L441*1&lt;=$G$4,$I441*$J441&gt;0,OR($I441&lt;&gt;$I442,$L441-$L442&gt;25),$I441/POW(10,$J441)*MAXIFS(Token!$B:$B,Token!$A:$A,$K441)&gt;0.01),$L441/86400+DATE(1970,1,1)+$G$6,)</f>
        <v/>
      </c>
      <c r="B441" s="27" t="str">
        <f t="shared" si="1"/>
        <v/>
      </c>
      <c r="C441" s="14" t="str">
        <f>IF($A441&lt;&gt;"",MINIFS(Merchant!$A:$A,Merchant!$B:$B,$G$2),)</f>
        <v/>
      </c>
      <c r="D441" s="14" t="str">
        <f t="shared" si="2"/>
        <v/>
      </c>
      <c r="E441" s="14" t="str">
        <f t="shared" si="3"/>
        <v/>
      </c>
      <c r="F441" s="7" t="str">
        <f>IF($A441&lt;&gt;"",MAXIFS(Token!$B:$B,Token!$A:$A,$D441),)</f>
        <v/>
      </c>
    </row>
    <row r="442">
      <c r="A442" s="39" t="str">
        <f>IF(AND($L442*1&gt;=$G$3,$L442*1&lt;=$G$4,$I442*$J442&gt;0,OR($I442&lt;&gt;$I443,$L442-$L443&gt;25),$I442/POW(10,$J442)*MAXIFS(Token!$B:$B,Token!$A:$A,$K442)&gt;0.01),$L442/86400+DATE(1970,1,1)+$G$6,)</f>
        <v/>
      </c>
      <c r="B442" s="27" t="str">
        <f t="shared" si="1"/>
        <v/>
      </c>
      <c r="C442" s="14" t="str">
        <f>IF($A442&lt;&gt;"",MINIFS(Merchant!$A:$A,Merchant!$B:$B,$G$2),)</f>
        <v/>
      </c>
      <c r="D442" s="14" t="str">
        <f t="shared" si="2"/>
        <v/>
      </c>
      <c r="E442" s="14" t="str">
        <f t="shared" si="3"/>
        <v/>
      </c>
      <c r="F442" s="7" t="str">
        <f>IF($A442&lt;&gt;"",MAXIFS(Token!$B:$B,Token!$A:$A,$D442),)</f>
        <v/>
      </c>
    </row>
    <row r="443">
      <c r="A443" s="39" t="str">
        <f>IF(AND($L443*1&gt;=$G$3,$L443*1&lt;=$G$4,$I443*$J443&gt;0,OR($I443&lt;&gt;$I444,$L443-$L444&gt;25),$I443/POW(10,$J443)*MAXIFS(Token!$B:$B,Token!$A:$A,$K443)&gt;0.01),$L443/86400+DATE(1970,1,1)+$G$6,)</f>
        <v/>
      </c>
      <c r="B443" s="27" t="str">
        <f t="shared" si="1"/>
        <v/>
      </c>
      <c r="C443" s="14" t="str">
        <f>IF($A443&lt;&gt;"",MINIFS(Merchant!$A:$A,Merchant!$B:$B,$G$2),)</f>
        <v/>
      </c>
      <c r="D443" s="14" t="str">
        <f t="shared" si="2"/>
        <v/>
      </c>
      <c r="E443" s="14" t="str">
        <f t="shared" si="3"/>
        <v/>
      </c>
      <c r="F443" s="7" t="str">
        <f>IF($A443&lt;&gt;"",MAXIFS(Token!$B:$B,Token!$A:$A,$D443),)</f>
        <v/>
      </c>
    </row>
    <row r="444">
      <c r="A444" s="39" t="str">
        <f>IF(AND($L444*1&gt;=$G$3,$L444*1&lt;=$G$4,$I444*$J444&gt;0,OR($I444&lt;&gt;$I445,$L444-$L445&gt;25),$I444/POW(10,$J444)*MAXIFS(Token!$B:$B,Token!$A:$A,$K444)&gt;0.01),$L444/86400+DATE(1970,1,1)+$G$6,)</f>
        <v/>
      </c>
      <c r="B444" s="27" t="str">
        <f t="shared" si="1"/>
        <v/>
      </c>
      <c r="C444" s="14" t="str">
        <f>IF($A444&lt;&gt;"",MINIFS(Merchant!$A:$A,Merchant!$B:$B,$G$2),)</f>
        <v/>
      </c>
      <c r="D444" s="14" t="str">
        <f t="shared" si="2"/>
        <v/>
      </c>
      <c r="E444" s="14" t="str">
        <f t="shared" si="3"/>
        <v/>
      </c>
      <c r="F444" s="7" t="str">
        <f>IF($A444&lt;&gt;"",MAXIFS(Token!$B:$B,Token!$A:$A,$D444),)</f>
        <v/>
      </c>
    </row>
    <row r="445">
      <c r="A445" s="39" t="str">
        <f>IF(AND($L445*1&gt;=$G$3,$L445*1&lt;=$G$4,$I445*$J445&gt;0,OR($I445&lt;&gt;$I446,$L445-$L446&gt;25),$I445/POW(10,$J445)*MAXIFS(Token!$B:$B,Token!$A:$A,$K445)&gt;0.01),$L445/86400+DATE(1970,1,1)+$G$6,)</f>
        <v/>
      </c>
      <c r="B445" s="27" t="str">
        <f t="shared" si="1"/>
        <v/>
      </c>
      <c r="C445" s="14" t="str">
        <f>IF($A445&lt;&gt;"",MINIFS(Merchant!$A:$A,Merchant!$B:$B,$G$2),)</f>
        <v/>
      </c>
      <c r="D445" s="14" t="str">
        <f t="shared" si="2"/>
        <v/>
      </c>
      <c r="E445" s="14" t="str">
        <f t="shared" si="3"/>
        <v/>
      </c>
      <c r="F445" s="7" t="str">
        <f>IF($A445&lt;&gt;"",MAXIFS(Token!$B:$B,Token!$A:$A,$D445),)</f>
        <v/>
      </c>
    </row>
    <row r="446">
      <c r="A446" s="39" t="str">
        <f>IF(AND($L446*1&gt;=$G$3,$L446*1&lt;=$G$4,$I446*$J446&gt;0,OR($I446&lt;&gt;$I447,$L446-$L447&gt;25),$I446/POW(10,$J446)*MAXIFS(Token!$B:$B,Token!$A:$A,$K446)&gt;0.01),$L446/86400+DATE(1970,1,1)+$G$6,)</f>
        <v/>
      </c>
      <c r="B446" s="27" t="str">
        <f t="shared" si="1"/>
        <v/>
      </c>
      <c r="C446" s="14" t="str">
        <f>IF($A446&lt;&gt;"",MINIFS(Merchant!$A:$A,Merchant!$B:$B,$G$2),)</f>
        <v/>
      </c>
      <c r="D446" s="14" t="str">
        <f t="shared" si="2"/>
        <v/>
      </c>
      <c r="E446" s="14" t="str">
        <f t="shared" si="3"/>
        <v/>
      </c>
      <c r="F446" s="7" t="str">
        <f>IF($A446&lt;&gt;"",MAXIFS(Token!$B:$B,Token!$A:$A,$D446),)</f>
        <v/>
      </c>
    </row>
    <row r="447">
      <c r="A447" s="39" t="str">
        <f>IF(AND($L447*1&gt;=$G$3,$L447*1&lt;=$G$4,$I447*$J447&gt;0,OR($I447&lt;&gt;$I448,$L447-$L448&gt;25),$I447/POW(10,$J447)*MAXIFS(Token!$B:$B,Token!$A:$A,$K447)&gt;0.01),$L447/86400+DATE(1970,1,1)+$G$6,)</f>
        <v/>
      </c>
      <c r="B447" s="27" t="str">
        <f t="shared" si="1"/>
        <v/>
      </c>
      <c r="C447" s="14" t="str">
        <f>IF($A447&lt;&gt;"",MINIFS(Merchant!$A:$A,Merchant!$B:$B,$G$2),)</f>
        <v/>
      </c>
      <c r="D447" s="14" t="str">
        <f t="shared" si="2"/>
        <v/>
      </c>
      <c r="E447" s="14" t="str">
        <f t="shared" si="3"/>
        <v/>
      </c>
      <c r="F447" s="7" t="str">
        <f>IF($A447&lt;&gt;"",MAXIFS(Token!$B:$B,Token!$A:$A,$D447),)</f>
        <v/>
      </c>
    </row>
    <row r="448">
      <c r="A448" s="39" t="str">
        <f>IF(AND($L448*1&gt;=$G$3,$L448*1&lt;=$G$4,$I448*$J448&gt;0,OR($I448&lt;&gt;$I449,$L448-$L449&gt;25),$I448/POW(10,$J448)*MAXIFS(Token!$B:$B,Token!$A:$A,$K448)&gt;0.01),$L448/86400+DATE(1970,1,1)+$G$6,)</f>
        <v/>
      </c>
      <c r="B448" s="27" t="str">
        <f t="shared" si="1"/>
        <v/>
      </c>
      <c r="C448" s="14" t="str">
        <f>IF($A448&lt;&gt;"",MINIFS(Merchant!$A:$A,Merchant!$B:$B,$G$2),)</f>
        <v/>
      </c>
      <c r="D448" s="14" t="str">
        <f t="shared" si="2"/>
        <v/>
      </c>
      <c r="E448" s="14" t="str">
        <f t="shared" si="3"/>
        <v/>
      </c>
      <c r="F448" s="7" t="str">
        <f>IF($A448&lt;&gt;"",MAXIFS(Token!$B:$B,Token!$A:$A,$D448),)</f>
        <v/>
      </c>
    </row>
    <row r="449">
      <c r="A449" s="39" t="str">
        <f>IF(AND($L449*1&gt;=$G$3,$L449*1&lt;=$G$4,$I449*$J449&gt;0,OR($I449&lt;&gt;$I450,$L449-$L450&gt;25),$I449/POW(10,$J449)*MAXIFS(Token!$B:$B,Token!$A:$A,$K449)&gt;0.01),$L449/86400+DATE(1970,1,1)+$G$6,)</f>
        <v/>
      </c>
      <c r="B449" s="27" t="str">
        <f t="shared" si="1"/>
        <v/>
      </c>
      <c r="C449" s="14" t="str">
        <f>IF($A449&lt;&gt;"",MINIFS(Merchant!$A:$A,Merchant!$B:$B,$G$2),)</f>
        <v/>
      </c>
      <c r="D449" s="14" t="str">
        <f t="shared" si="2"/>
        <v/>
      </c>
      <c r="E449" s="14" t="str">
        <f t="shared" si="3"/>
        <v/>
      </c>
      <c r="F449" s="7" t="str">
        <f>IF($A449&lt;&gt;"",MAXIFS(Token!$B:$B,Token!$A:$A,$D449),)</f>
        <v/>
      </c>
    </row>
    <row r="450">
      <c r="A450" s="39" t="str">
        <f>IF(AND($L450*1&gt;=$G$3,$L450*1&lt;=$G$4,$I450*$J450&gt;0,OR($I450&lt;&gt;$I451,$L450-$L451&gt;25),$I450/POW(10,$J450)*MAXIFS(Token!$B:$B,Token!$A:$A,$K450)&gt;0.01),$L450/86400+DATE(1970,1,1)+$G$6,)</f>
        <v/>
      </c>
      <c r="B450" s="27" t="str">
        <f t="shared" si="1"/>
        <v/>
      </c>
      <c r="C450" s="14" t="str">
        <f>IF($A450&lt;&gt;"",MINIFS(Merchant!$A:$A,Merchant!$B:$B,$G$2),)</f>
        <v/>
      </c>
      <c r="D450" s="14" t="str">
        <f t="shared" si="2"/>
        <v/>
      </c>
      <c r="E450" s="14" t="str">
        <f t="shared" si="3"/>
        <v/>
      </c>
      <c r="F450" s="7" t="str">
        <f>IF($A450&lt;&gt;"",MAXIFS(Token!$B:$B,Token!$A:$A,$D450),)</f>
        <v/>
      </c>
    </row>
    <row r="451">
      <c r="A451" s="39" t="str">
        <f>IF(AND($L451*1&gt;=$G$3,$L451*1&lt;=$G$4,$I451*$J451&gt;0,OR($I451&lt;&gt;$I452,$L451-$L452&gt;25),$I451/POW(10,$J451)*MAXIFS(Token!$B:$B,Token!$A:$A,$K451)&gt;0.01),$L451/86400+DATE(1970,1,1)+$G$6,)</f>
        <v/>
      </c>
      <c r="B451" s="27" t="str">
        <f t="shared" si="1"/>
        <v/>
      </c>
      <c r="C451" s="14" t="str">
        <f>IF($A451&lt;&gt;"",MINIFS(Merchant!$A:$A,Merchant!$B:$B,$G$2),)</f>
        <v/>
      </c>
      <c r="D451" s="14" t="str">
        <f t="shared" si="2"/>
        <v/>
      </c>
      <c r="E451" s="14" t="str">
        <f t="shared" si="3"/>
        <v/>
      </c>
      <c r="F451" s="7" t="str">
        <f>IF($A451&lt;&gt;"",MAXIFS(Token!$B:$B,Token!$A:$A,$D451),)</f>
        <v/>
      </c>
    </row>
    <row r="452">
      <c r="A452" s="39" t="str">
        <f>IF(AND($L452*1&gt;=$G$3,$L452*1&lt;=$G$4,$I452*$J452&gt;0,OR($I452&lt;&gt;$I453,$L452-$L453&gt;25),$I452/POW(10,$J452)*MAXIFS(Token!$B:$B,Token!$A:$A,$K452)&gt;0.01),$L452/86400+DATE(1970,1,1)+$G$6,)</f>
        <v/>
      </c>
      <c r="B452" s="27" t="str">
        <f t="shared" si="1"/>
        <v/>
      </c>
      <c r="C452" s="14" t="str">
        <f>IF($A452&lt;&gt;"",MINIFS(Merchant!$A:$A,Merchant!$B:$B,$G$2),)</f>
        <v/>
      </c>
      <c r="D452" s="14" t="str">
        <f t="shared" si="2"/>
        <v/>
      </c>
      <c r="E452" s="14" t="str">
        <f t="shared" si="3"/>
        <v/>
      </c>
      <c r="F452" s="7" t="str">
        <f>IF($A452&lt;&gt;"",MAXIFS(Token!$B:$B,Token!$A:$A,$D452),)</f>
        <v/>
      </c>
    </row>
    <row r="453">
      <c r="A453" s="39" t="str">
        <f>IF(AND($L453*1&gt;=$G$3,$L453*1&lt;=$G$4,$I453*$J453&gt;0,OR($I453&lt;&gt;$I454,$L453-$L454&gt;25),$I453/POW(10,$J453)*MAXIFS(Token!$B:$B,Token!$A:$A,$K453)&gt;0.01),$L453/86400+DATE(1970,1,1)+$G$6,)</f>
        <v/>
      </c>
      <c r="B453" s="27" t="str">
        <f t="shared" si="1"/>
        <v/>
      </c>
      <c r="C453" s="14" t="str">
        <f>IF($A453&lt;&gt;"",MINIFS(Merchant!$A:$A,Merchant!$B:$B,$G$2),)</f>
        <v/>
      </c>
      <c r="D453" s="14" t="str">
        <f t="shared" si="2"/>
        <v/>
      </c>
      <c r="E453" s="14" t="str">
        <f t="shared" si="3"/>
        <v/>
      </c>
      <c r="F453" s="7" t="str">
        <f>IF($A453&lt;&gt;"",MAXIFS(Token!$B:$B,Token!$A:$A,$D453),)</f>
        <v/>
      </c>
    </row>
    <row r="454">
      <c r="A454" s="39" t="str">
        <f>IF(AND($L454*1&gt;=$G$3,$L454*1&lt;=$G$4,$I454*$J454&gt;0,OR($I454&lt;&gt;$I455,$L454-$L455&gt;25),$I454/POW(10,$J454)*MAXIFS(Token!$B:$B,Token!$A:$A,$K454)&gt;0.01),$L454/86400+DATE(1970,1,1)+$G$6,)</f>
        <v/>
      </c>
      <c r="B454" s="27" t="str">
        <f t="shared" si="1"/>
        <v/>
      </c>
      <c r="C454" s="14" t="str">
        <f>IF($A454&lt;&gt;"",MINIFS(Merchant!$A:$A,Merchant!$B:$B,$G$2),)</f>
        <v/>
      </c>
      <c r="D454" s="14" t="str">
        <f t="shared" si="2"/>
        <v/>
      </c>
      <c r="E454" s="14" t="str">
        <f t="shared" si="3"/>
        <v/>
      </c>
      <c r="F454" s="7" t="str">
        <f>IF($A454&lt;&gt;"",MAXIFS(Token!$B:$B,Token!$A:$A,$D454),)</f>
        <v/>
      </c>
    </row>
    <row r="455">
      <c r="A455" s="39" t="str">
        <f>IF(AND($L455*1&gt;=$G$3,$L455*1&lt;=$G$4,$I455*$J455&gt;0,OR($I455&lt;&gt;$I456,$L455-$L456&gt;25),$I455/POW(10,$J455)*MAXIFS(Token!$B:$B,Token!$A:$A,$K455)&gt;0.01),$L455/86400+DATE(1970,1,1)+$G$6,)</f>
        <v/>
      </c>
      <c r="B455" s="27" t="str">
        <f t="shared" si="1"/>
        <v/>
      </c>
      <c r="C455" s="14" t="str">
        <f>IF($A455&lt;&gt;"",MINIFS(Merchant!$A:$A,Merchant!$B:$B,$G$2),)</f>
        <v/>
      </c>
      <c r="D455" s="14" t="str">
        <f t="shared" si="2"/>
        <v/>
      </c>
      <c r="E455" s="14" t="str">
        <f t="shared" si="3"/>
        <v/>
      </c>
      <c r="F455" s="7" t="str">
        <f>IF($A455&lt;&gt;"",MAXIFS(Token!$B:$B,Token!$A:$A,$D455),)</f>
        <v/>
      </c>
    </row>
    <row r="456">
      <c r="A456" s="39" t="str">
        <f>IF(AND($L456*1&gt;=$G$3,$L456*1&lt;=$G$4,$I456*$J456&gt;0,OR($I456&lt;&gt;$I457,$L456-$L457&gt;25),$I456/POW(10,$J456)*MAXIFS(Token!$B:$B,Token!$A:$A,$K456)&gt;0.01),$L456/86400+DATE(1970,1,1)+$G$6,)</f>
        <v/>
      </c>
      <c r="B456" s="27" t="str">
        <f t="shared" si="1"/>
        <v/>
      </c>
      <c r="C456" s="14" t="str">
        <f>IF($A456&lt;&gt;"",MINIFS(Merchant!$A:$A,Merchant!$B:$B,$G$2),)</f>
        <v/>
      </c>
      <c r="D456" s="14" t="str">
        <f t="shared" si="2"/>
        <v/>
      </c>
      <c r="E456" s="14" t="str">
        <f t="shared" si="3"/>
        <v/>
      </c>
      <c r="F456" s="7" t="str">
        <f>IF($A456&lt;&gt;"",MAXIFS(Token!$B:$B,Token!$A:$A,$D456),)</f>
        <v/>
      </c>
    </row>
    <row r="457">
      <c r="A457" s="39" t="str">
        <f>IF(AND($L457*1&gt;=$G$3,$L457*1&lt;=$G$4,$I457*$J457&gt;0,OR($I457&lt;&gt;$I458,$L457-$L458&gt;25),$I457/POW(10,$J457)*MAXIFS(Token!$B:$B,Token!$A:$A,$K457)&gt;0.01),$L457/86400+DATE(1970,1,1)+$G$6,)</f>
        <v/>
      </c>
      <c r="B457" s="27" t="str">
        <f t="shared" si="1"/>
        <v/>
      </c>
      <c r="C457" s="14" t="str">
        <f>IF($A457&lt;&gt;"",MINIFS(Merchant!$A:$A,Merchant!$B:$B,$G$2),)</f>
        <v/>
      </c>
      <c r="D457" s="14" t="str">
        <f t="shared" si="2"/>
        <v/>
      </c>
      <c r="E457" s="14" t="str">
        <f t="shared" si="3"/>
        <v/>
      </c>
      <c r="F457" s="7" t="str">
        <f>IF($A457&lt;&gt;"",MAXIFS(Token!$B:$B,Token!$A:$A,$D457),)</f>
        <v/>
      </c>
    </row>
    <row r="458">
      <c r="A458" s="39" t="str">
        <f>IF(AND($L458*1&gt;=$G$3,$L458*1&lt;=$G$4,$I458*$J458&gt;0,OR($I458&lt;&gt;$I459,$L458-$L459&gt;25),$I458/POW(10,$J458)*MAXIFS(Token!$B:$B,Token!$A:$A,$K458)&gt;0.01),$L458/86400+DATE(1970,1,1)+$G$6,)</f>
        <v/>
      </c>
      <c r="B458" s="27" t="str">
        <f t="shared" si="1"/>
        <v/>
      </c>
      <c r="C458" s="14" t="str">
        <f>IF($A458&lt;&gt;"",MINIFS(Merchant!$A:$A,Merchant!$B:$B,$G$2),)</f>
        <v/>
      </c>
      <c r="D458" s="14" t="str">
        <f t="shared" si="2"/>
        <v/>
      </c>
      <c r="E458" s="14" t="str">
        <f t="shared" si="3"/>
        <v/>
      </c>
      <c r="F458" s="7" t="str">
        <f>IF($A458&lt;&gt;"",MAXIFS(Token!$B:$B,Token!$A:$A,$D458),)</f>
        <v/>
      </c>
    </row>
    <row r="459">
      <c r="A459" s="39" t="str">
        <f>IF(AND($L459*1&gt;=$G$3,$L459*1&lt;=$G$4,$I459*$J459&gt;0,OR($I459&lt;&gt;$I460,$L459-$L460&gt;25),$I459/POW(10,$J459)*MAXIFS(Token!$B:$B,Token!$A:$A,$K459)&gt;0.01),$L459/86400+DATE(1970,1,1)+$G$6,)</f>
        <v/>
      </c>
      <c r="B459" s="27" t="str">
        <f t="shared" si="1"/>
        <v/>
      </c>
      <c r="C459" s="14" t="str">
        <f>IF($A459&lt;&gt;"",MINIFS(Merchant!$A:$A,Merchant!$B:$B,$G$2),)</f>
        <v/>
      </c>
      <c r="D459" s="14" t="str">
        <f t="shared" si="2"/>
        <v/>
      </c>
      <c r="E459" s="14" t="str">
        <f t="shared" si="3"/>
        <v/>
      </c>
      <c r="F459" s="7" t="str">
        <f>IF($A459&lt;&gt;"",MAXIFS(Token!$B:$B,Token!$A:$A,$D459),)</f>
        <v/>
      </c>
    </row>
    <row r="460">
      <c r="A460" s="39" t="str">
        <f>IF(AND($L460*1&gt;=$G$3,$L460*1&lt;=$G$4,$I460*$J460&gt;0,OR($I460&lt;&gt;$I461,$L460-$L461&gt;25),$I460/POW(10,$J460)*MAXIFS(Token!$B:$B,Token!$A:$A,$K460)&gt;0.01),$L460/86400+DATE(1970,1,1)+$G$6,)</f>
        <v/>
      </c>
      <c r="B460" s="27" t="str">
        <f t="shared" si="1"/>
        <v/>
      </c>
      <c r="C460" s="14" t="str">
        <f>IF($A460&lt;&gt;"",MINIFS(Merchant!$A:$A,Merchant!$B:$B,$G$2),)</f>
        <v/>
      </c>
      <c r="D460" s="14" t="str">
        <f t="shared" si="2"/>
        <v/>
      </c>
      <c r="E460" s="14" t="str">
        <f t="shared" si="3"/>
        <v/>
      </c>
      <c r="F460" s="7" t="str">
        <f>IF($A460&lt;&gt;"",MAXIFS(Token!$B:$B,Token!$A:$A,$D460),)</f>
        <v/>
      </c>
    </row>
    <row r="461">
      <c r="A461" s="39" t="str">
        <f>IF(AND($L461*1&gt;=$G$3,$L461*1&lt;=$G$4,$I461*$J461&gt;0,OR($I461&lt;&gt;$I462,$L461-$L462&gt;25),$I461/POW(10,$J461)*MAXIFS(Token!$B:$B,Token!$A:$A,$K461)&gt;0.01),$L461/86400+DATE(1970,1,1)+$G$6,)</f>
        <v/>
      </c>
      <c r="B461" s="27" t="str">
        <f t="shared" si="1"/>
        <v/>
      </c>
      <c r="C461" s="14" t="str">
        <f>IF($A461&lt;&gt;"",MINIFS(Merchant!$A:$A,Merchant!$B:$B,$G$2),)</f>
        <v/>
      </c>
      <c r="D461" s="14" t="str">
        <f t="shared" si="2"/>
        <v/>
      </c>
      <c r="E461" s="14" t="str">
        <f t="shared" si="3"/>
        <v/>
      </c>
      <c r="F461" s="7" t="str">
        <f>IF($A461&lt;&gt;"",MAXIFS(Token!$B:$B,Token!$A:$A,$D461),)</f>
        <v/>
      </c>
    </row>
    <row r="462">
      <c r="A462" s="39" t="str">
        <f>IF(AND($L462*1&gt;=$G$3,$L462*1&lt;=$G$4,$I462*$J462&gt;0,OR($I462&lt;&gt;$I463,$L462-$L463&gt;25),$I462/POW(10,$J462)*MAXIFS(Token!$B:$B,Token!$A:$A,$K462)&gt;0.01),$L462/86400+DATE(1970,1,1)+$G$6,)</f>
        <v/>
      </c>
      <c r="B462" s="27" t="str">
        <f t="shared" si="1"/>
        <v/>
      </c>
      <c r="C462" s="14" t="str">
        <f>IF($A462&lt;&gt;"",MINIFS(Merchant!$A:$A,Merchant!$B:$B,$G$2),)</f>
        <v/>
      </c>
      <c r="D462" s="14" t="str">
        <f t="shared" si="2"/>
        <v/>
      </c>
      <c r="E462" s="14" t="str">
        <f t="shared" si="3"/>
        <v/>
      </c>
      <c r="F462" s="7" t="str">
        <f>IF($A462&lt;&gt;"",MAXIFS(Token!$B:$B,Token!$A:$A,$D462),)</f>
        <v/>
      </c>
    </row>
    <row r="463">
      <c r="A463" s="39" t="str">
        <f>IF(AND($L463*1&gt;=$G$3,$L463*1&lt;=$G$4,$I463*$J463&gt;0,OR($I463&lt;&gt;$I464,$L463-$L464&gt;25),$I463/POW(10,$J463)*MAXIFS(Token!$B:$B,Token!$A:$A,$K463)&gt;0.01),$L463/86400+DATE(1970,1,1)+$G$6,)</f>
        <v/>
      </c>
      <c r="B463" s="27" t="str">
        <f t="shared" si="1"/>
        <v/>
      </c>
      <c r="C463" s="14" t="str">
        <f>IF($A463&lt;&gt;"",MINIFS(Merchant!$A:$A,Merchant!$B:$B,$G$2),)</f>
        <v/>
      </c>
      <c r="D463" s="14" t="str">
        <f t="shared" si="2"/>
        <v/>
      </c>
      <c r="E463" s="14" t="str">
        <f t="shared" si="3"/>
        <v/>
      </c>
      <c r="F463" s="7" t="str">
        <f>IF($A463&lt;&gt;"",MAXIFS(Token!$B:$B,Token!$A:$A,$D463),)</f>
        <v/>
      </c>
    </row>
    <row r="464">
      <c r="A464" s="39" t="str">
        <f>IF(AND($L464*1&gt;=$G$3,$L464*1&lt;=$G$4,$I464*$J464&gt;0,OR($I464&lt;&gt;$I465,$L464-$L465&gt;25),$I464/POW(10,$J464)*MAXIFS(Token!$B:$B,Token!$A:$A,$K464)&gt;0.01),$L464/86400+DATE(1970,1,1)+$G$6,)</f>
        <v/>
      </c>
      <c r="B464" s="27" t="str">
        <f t="shared" si="1"/>
        <v/>
      </c>
      <c r="C464" s="14" t="str">
        <f>IF($A464&lt;&gt;"",MINIFS(Merchant!$A:$A,Merchant!$B:$B,$G$2),)</f>
        <v/>
      </c>
      <c r="D464" s="14" t="str">
        <f t="shared" si="2"/>
        <v/>
      </c>
      <c r="E464" s="14" t="str">
        <f t="shared" si="3"/>
        <v/>
      </c>
      <c r="F464" s="7" t="str">
        <f>IF($A464&lt;&gt;"",MAXIFS(Token!$B:$B,Token!$A:$A,$D464),)</f>
        <v/>
      </c>
    </row>
    <row r="465">
      <c r="A465" s="39" t="str">
        <f>IF(AND($L465*1&gt;=$G$3,$L465*1&lt;=$G$4,$I465*$J465&gt;0,OR($I465&lt;&gt;$I466,$L465-$L466&gt;25),$I465/POW(10,$J465)*MAXIFS(Token!$B:$B,Token!$A:$A,$K465)&gt;0.01),$L465/86400+DATE(1970,1,1)+$G$6,)</f>
        <v/>
      </c>
      <c r="B465" s="27" t="str">
        <f t="shared" si="1"/>
        <v/>
      </c>
      <c r="C465" s="14" t="str">
        <f>IF($A465&lt;&gt;"",MINIFS(Merchant!$A:$A,Merchant!$B:$B,$G$2),)</f>
        <v/>
      </c>
      <c r="D465" s="14" t="str">
        <f t="shared" si="2"/>
        <v/>
      </c>
      <c r="E465" s="14" t="str">
        <f t="shared" si="3"/>
        <v/>
      </c>
      <c r="F465" s="7" t="str">
        <f>IF($A465&lt;&gt;"",MAXIFS(Token!$B:$B,Token!$A:$A,$D465),)</f>
        <v/>
      </c>
    </row>
    <row r="466">
      <c r="A466" s="39" t="str">
        <f>IF(AND($L466*1&gt;=$G$3,$L466*1&lt;=$G$4,$I466*$J466&gt;0,OR($I466&lt;&gt;$I467,$L466-$L467&gt;25),$I466/POW(10,$J466)*MAXIFS(Token!$B:$B,Token!$A:$A,$K466)&gt;0.01),$L466/86400+DATE(1970,1,1)+$G$6,)</f>
        <v/>
      </c>
      <c r="B466" s="27" t="str">
        <f t="shared" si="1"/>
        <v/>
      </c>
      <c r="C466" s="14" t="str">
        <f>IF($A466&lt;&gt;"",MINIFS(Merchant!$A:$A,Merchant!$B:$B,$G$2),)</f>
        <v/>
      </c>
      <c r="D466" s="14" t="str">
        <f t="shared" si="2"/>
        <v/>
      </c>
      <c r="E466" s="14" t="str">
        <f t="shared" si="3"/>
        <v/>
      </c>
      <c r="F466" s="7" t="str">
        <f>IF($A466&lt;&gt;"",MAXIFS(Token!$B:$B,Token!$A:$A,$D466),)</f>
        <v/>
      </c>
    </row>
    <row r="467">
      <c r="A467" s="39" t="str">
        <f>IF(AND($L467*1&gt;=$G$3,$L467*1&lt;=$G$4,$I467*$J467&gt;0,OR($I467&lt;&gt;$I468,$L467-$L468&gt;25),$I467/POW(10,$J467)*MAXIFS(Token!$B:$B,Token!$A:$A,$K467)&gt;0.01),$L467/86400+DATE(1970,1,1)+$G$6,)</f>
        <v/>
      </c>
      <c r="B467" s="27" t="str">
        <f t="shared" si="1"/>
        <v/>
      </c>
      <c r="C467" s="14" t="str">
        <f>IF($A467&lt;&gt;"",MINIFS(Merchant!$A:$A,Merchant!$B:$B,$G$2),)</f>
        <v/>
      </c>
      <c r="D467" s="14" t="str">
        <f t="shared" si="2"/>
        <v/>
      </c>
      <c r="E467" s="14" t="str">
        <f t="shared" si="3"/>
        <v/>
      </c>
      <c r="F467" s="7" t="str">
        <f>IF($A467&lt;&gt;"",MAXIFS(Token!$B:$B,Token!$A:$A,$D467),)</f>
        <v/>
      </c>
    </row>
    <row r="468">
      <c r="A468" s="39" t="str">
        <f>IF(AND($L468*1&gt;=$G$3,$L468*1&lt;=$G$4,$I468*$J468&gt;0,OR($I468&lt;&gt;$I469,$L468-$L469&gt;25),$I468/POW(10,$J468)*MAXIFS(Token!$B:$B,Token!$A:$A,$K468)&gt;0.01),$L468/86400+DATE(1970,1,1)+$G$6,)</f>
        <v/>
      </c>
      <c r="B468" s="27" t="str">
        <f t="shared" si="1"/>
        <v/>
      </c>
      <c r="C468" s="14" t="str">
        <f>IF($A468&lt;&gt;"",MINIFS(Merchant!$A:$A,Merchant!$B:$B,$G$2),)</f>
        <v/>
      </c>
      <c r="D468" s="14" t="str">
        <f t="shared" si="2"/>
        <v/>
      </c>
      <c r="E468" s="14" t="str">
        <f t="shared" si="3"/>
        <v/>
      </c>
      <c r="F468" s="7" t="str">
        <f>IF($A468&lt;&gt;"",MAXIFS(Token!$B:$B,Token!$A:$A,$D468),)</f>
        <v/>
      </c>
    </row>
    <row r="469">
      <c r="A469" s="39" t="str">
        <f>IF(AND($L469*1&gt;=$G$3,$L469*1&lt;=$G$4,$I469*$J469&gt;0,OR($I469&lt;&gt;$I470,$L469-$L470&gt;25),$I469/POW(10,$J469)*MAXIFS(Token!$B:$B,Token!$A:$A,$K469)&gt;0.01),$L469/86400+DATE(1970,1,1)+$G$6,)</f>
        <v/>
      </c>
      <c r="B469" s="27" t="str">
        <f t="shared" si="1"/>
        <v/>
      </c>
      <c r="C469" s="14" t="str">
        <f>IF($A469&lt;&gt;"",MINIFS(Merchant!$A:$A,Merchant!$B:$B,$G$2),)</f>
        <v/>
      </c>
      <c r="D469" s="14" t="str">
        <f t="shared" si="2"/>
        <v/>
      </c>
      <c r="E469" s="14" t="str">
        <f t="shared" si="3"/>
        <v/>
      </c>
      <c r="F469" s="7" t="str">
        <f>IF($A469&lt;&gt;"",MAXIFS(Token!$B:$B,Token!$A:$A,$D469),)</f>
        <v/>
      </c>
    </row>
    <row r="470">
      <c r="A470" s="39" t="str">
        <f>IF(AND($L470*1&gt;=$G$3,$L470*1&lt;=$G$4,$I470*$J470&gt;0,OR($I470&lt;&gt;$I471,$L470-$L471&gt;25),$I470/POW(10,$J470)*MAXIFS(Token!$B:$B,Token!$A:$A,$K470)&gt;0.01),$L470/86400+DATE(1970,1,1)+$G$6,)</f>
        <v/>
      </c>
      <c r="B470" s="27" t="str">
        <f t="shared" si="1"/>
        <v/>
      </c>
      <c r="C470" s="14" t="str">
        <f>IF($A470&lt;&gt;"",MINIFS(Merchant!$A:$A,Merchant!$B:$B,$G$2),)</f>
        <v/>
      </c>
      <c r="D470" s="14" t="str">
        <f t="shared" si="2"/>
        <v/>
      </c>
      <c r="E470" s="14" t="str">
        <f t="shared" si="3"/>
        <v/>
      </c>
      <c r="F470" s="7" t="str">
        <f>IF($A470&lt;&gt;"",MAXIFS(Token!$B:$B,Token!$A:$A,$D470),)</f>
        <v/>
      </c>
    </row>
    <row r="471">
      <c r="A471" s="39" t="str">
        <f>IF(AND($L471*1&gt;=$G$3,$L471*1&lt;=$G$4,$I471*$J471&gt;0,OR($I471&lt;&gt;$I472,$L471-$L472&gt;25),$I471/POW(10,$J471)*MAXIFS(Token!$B:$B,Token!$A:$A,$K471)&gt;0.01),$L471/86400+DATE(1970,1,1)+$G$6,)</f>
        <v/>
      </c>
      <c r="B471" s="27" t="str">
        <f t="shared" si="1"/>
        <v/>
      </c>
      <c r="C471" s="14" t="str">
        <f>IF($A471&lt;&gt;"",MINIFS(Merchant!$A:$A,Merchant!$B:$B,$G$2),)</f>
        <v/>
      </c>
      <c r="D471" s="14" t="str">
        <f t="shared" si="2"/>
        <v/>
      </c>
      <c r="E471" s="14" t="str">
        <f t="shared" si="3"/>
        <v/>
      </c>
      <c r="F471" s="7" t="str">
        <f>IF($A471&lt;&gt;"",MAXIFS(Token!$B:$B,Token!$A:$A,$D471),)</f>
        <v/>
      </c>
    </row>
    <row r="472">
      <c r="A472" s="39" t="str">
        <f>IF(AND($L472*1&gt;=$G$3,$L472*1&lt;=$G$4,$I472*$J472&gt;0,OR($I472&lt;&gt;$I473,$L472-$L473&gt;25),$I472/POW(10,$J472)*MAXIFS(Token!$B:$B,Token!$A:$A,$K472)&gt;0.01),$L472/86400+DATE(1970,1,1)+$G$6,)</f>
        <v/>
      </c>
      <c r="B472" s="27" t="str">
        <f t="shared" si="1"/>
        <v/>
      </c>
      <c r="C472" s="14" t="str">
        <f>IF($A472&lt;&gt;"",MINIFS(Merchant!$A:$A,Merchant!$B:$B,$G$2),)</f>
        <v/>
      </c>
      <c r="D472" s="14" t="str">
        <f t="shared" si="2"/>
        <v/>
      </c>
      <c r="E472" s="14" t="str">
        <f t="shared" si="3"/>
        <v/>
      </c>
      <c r="F472" s="7" t="str">
        <f>IF($A472&lt;&gt;"",MAXIFS(Token!$B:$B,Token!$A:$A,$D472),)</f>
        <v/>
      </c>
    </row>
    <row r="473">
      <c r="A473" s="39" t="str">
        <f>IF(AND($L473*1&gt;=$G$3,$L473*1&lt;=$G$4,$I473*$J473&gt;0,OR($I473&lt;&gt;$I474,$L473-$L474&gt;25),$I473/POW(10,$J473)*MAXIFS(Token!$B:$B,Token!$A:$A,$K473)&gt;0.01),$L473/86400+DATE(1970,1,1)+$G$6,)</f>
        <v/>
      </c>
      <c r="B473" s="27" t="str">
        <f t="shared" si="1"/>
        <v/>
      </c>
      <c r="C473" s="14" t="str">
        <f>IF($A473&lt;&gt;"",MINIFS(Merchant!$A:$A,Merchant!$B:$B,$G$2),)</f>
        <v/>
      </c>
      <c r="D473" s="14" t="str">
        <f t="shared" si="2"/>
        <v/>
      </c>
      <c r="E473" s="14" t="str">
        <f t="shared" si="3"/>
        <v/>
      </c>
      <c r="F473" s="7" t="str">
        <f>IF($A473&lt;&gt;"",MAXIFS(Token!$B:$B,Token!$A:$A,$D473),)</f>
        <v/>
      </c>
    </row>
    <row r="474">
      <c r="A474" s="39" t="str">
        <f>IF(AND($L474*1&gt;=$G$3,$L474*1&lt;=$G$4,$I474*$J474&gt;0,OR($I474&lt;&gt;$I475,$L474-$L475&gt;25),$I474/POW(10,$J474)*MAXIFS(Token!$B:$B,Token!$A:$A,$K474)&gt;0.01),$L474/86400+DATE(1970,1,1)+$G$6,)</f>
        <v/>
      </c>
      <c r="B474" s="27" t="str">
        <f t="shared" si="1"/>
        <v/>
      </c>
      <c r="C474" s="14" t="str">
        <f>IF($A474&lt;&gt;"",MINIFS(Merchant!$A:$A,Merchant!$B:$B,$G$2),)</f>
        <v/>
      </c>
      <c r="D474" s="14" t="str">
        <f t="shared" si="2"/>
        <v/>
      </c>
      <c r="E474" s="14" t="str">
        <f t="shared" si="3"/>
        <v/>
      </c>
      <c r="F474" s="7" t="str">
        <f>IF($A474&lt;&gt;"",MAXIFS(Token!$B:$B,Token!$A:$A,$D474),)</f>
        <v/>
      </c>
    </row>
    <row r="475">
      <c r="A475" s="39" t="str">
        <f>IF(AND($L475*1&gt;=$G$3,$L475*1&lt;=$G$4,$I475*$J475&gt;0,OR($I475&lt;&gt;$I476,$L475-$L476&gt;25),$I475/POW(10,$J475)*MAXIFS(Token!$B:$B,Token!$A:$A,$K475)&gt;0.01),$L475/86400+DATE(1970,1,1)+$G$6,)</f>
        <v/>
      </c>
      <c r="B475" s="27" t="str">
        <f t="shared" si="1"/>
        <v/>
      </c>
      <c r="C475" s="14" t="str">
        <f>IF($A475&lt;&gt;"",MINIFS(Merchant!$A:$A,Merchant!$B:$B,$G$2),)</f>
        <v/>
      </c>
      <c r="D475" s="14" t="str">
        <f t="shared" si="2"/>
        <v/>
      </c>
      <c r="E475" s="14" t="str">
        <f t="shared" si="3"/>
        <v/>
      </c>
      <c r="F475" s="7" t="str">
        <f>IF($A475&lt;&gt;"",MAXIFS(Token!$B:$B,Token!$A:$A,$D475),)</f>
        <v/>
      </c>
    </row>
    <row r="476">
      <c r="A476" s="39" t="str">
        <f>IF(AND($L476*1&gt;=$G$3,$L476*1&lt;=$G$4,$I476*$J476&gt;0,OR($I476&lt;&gt;$I477,$L476-$L477&gt;25),$I476/POW(10,$J476)*MAXIFS(Token!$B:$B,Token!$A:$A,$K476)&gt;0.01),$L476/86400+DATE(1970,1,1)+$G$6,)</f>
        <v/>
      </c>
      <c r="B476" s="27" t="str">
        <f t="shared" si="1"/>
        <v/>
      </c>
      <c r="C476" s="14" t="str">
        <f>IF($A476&lt;&gt;"",MINIFS(Merchant!$A:$A,Merchant!$B:$B,$G$2),)</f>
        <v/>
      </c>
      <c r="D476" s="14" t="str">
        <f t="shared" si="2"/>
        <v/>
      </c>
      <c r="E476" s="14" t="str">
        <f t="shared" si="3"/>
        <v/>
      </c>
      <c r="F476" s="7" t="str">
        <f>IF($A476&lt;&gt;"",MAXIFS(Token!$B:$B,Token!$A:$A,$D476),)</f>
        <v/>
      </c>
    </row>
    <row r="477">
      <c r="A477" s="39" t="str">
        <f>IF(AND($L477*1&gt;=$G$3,$L477*1&lt;=$G$4,$I477*$J477&gt;0,OR($I477&lt;&gt;$I478,$L477-$L478&gt;25),$I477/POW(10,$J477)*MAXIFS(Token!$B:$B,Token!$A:$A,$K477)&gt;0.01),$L477/86400+DATE(1970,1,1)+$G$6,)</f>
        <v/>
      </c>
      <c r="B477" s="27" t="str">
        <f t="shared" si="1"/>
        <v/>
      </c>
      <c r="C477" s="14" t="str">
        <f>IF($A477&lt;&gt;"",MINIFS(Merchant!$A:$A,Merchant!$B:$B,$G$2),)</f>
        <v/>
      </c>
      <c r="D477" s="14" t="str">
        <f t="shared" si="2"/>
        <v/>
      </c>
      <c r="E477" s="14" t="str">
        <f t="shared" si="3"/>
        <v/>
      </c>
      <c r="F477" s="7" t="str">
        <f>IF($A477&lt;&gt;"",MAXIFS(Token!$B:$B,Token!$A:$A,$D477),)</f>
        <v/>
      </c>
    </row>
    <row r="478">
      <c r="A478" s="39" t="str">
        <f>IF(AND($L478*1&gt;=$G$3,$L478*1&lt;=$G$4,$I478*$J478&gt;0,OR($I478&lt;&gt;$I479,$L478-$L479&gt;25),$I478/POW(10,$J478)*MAXIFS(Token!$B:$B,Token!$A:$A,$K478)&gt;0.01),$L478/86400+DATE(1970,1,1)+$G$6,)</f>
        <v/>
      </c>
      <c r="B478" s="27" t="str">
        <f t="shared" si="1"/>
        <v/>
      </c>
      <c r="C478" s="14" t="str">
        <f>IF($A478&lt;&gt;"",MINIFS(Merchant!$A:$A,Merchant!$B:$B,$G$2),)</f>
        <v/>
      </c>
      <c r="D478" s="14" t="str">
        <f t="shared" si="2"/>
        <v/>
      </c>
      <c r="E478" s="14" t="str">
        <f t="shared" si="3"/>
        <v/>
      </c>
      <c r="F478" s="7" t="str">
        <f>IF($A478&lt;&gt;"",MAXIFS(Token!$B:$B,Token!$A:$A,$D478),)</f>
        <v/>
      </c>
    </row>
    <row r="479">
      <c r="A479" s="39" t="str">
        <f>IF(AND($L479*1&gt;=$G$3,$L479*1&lt;=$G$4,$I479*$J479&gt;0,OR($I479&lt;&gt;$I480,$L479-$L480&gt;25),$I479/POW(10,$J479)*MAXIFS(Token!$B:$B,Token!$A:$A,$K479)&gt;0.01),$L479/86400+DATE(1970,1,1)+$G$6,)</f>
        <v/>
      </c>
      <c r="B479" s="27" t="str">
        <f t="shared" si="1"/>
        <v/>
      </c>
      <c r="C479" s="14" t="str">
        <f>IF($A479&lt;&gt;"",MINIFS(Merchant!$A:$A,Merchant!$B:$B,$G$2),)</f>
        <v/>
      </c>
      <c r="D479" s="14" t="str">
        <f t="shared" si="2"/>
        <v/>
      </c>
      <c r="E479" s="14" t="str">
        <f t="shared" si="3"/>
        <v/>
      </c>
      <c r="F479" s="7" t="str">
        <f>IF($A479&lt;&gt;"",MAXIFS(Token!$B:$B,Token!$A:$A,$D479),)</f>
        <v/>
      </c>
    </row>
    <row r="480">
      <c r="A480" s="39" t="str">
        <f>IF(AND($L480*1&gt;=$G$3,$L480*1&lt;=$G$4,$I480*$J480&gt;0,OR($I480&lt;&gt;$I481,$L480-$L481&gt;25),$I480/POW(10,$J480)*MAXIFS(Token!$B:$B,Token!$A:$A,$K480)&gt;0.01),$L480/86400+DATE(1970,1,1)+$G$6,)</f>
        <v/>
      </c>
      <c r="B480" s="27" t="str">
        <f t="shared" si="1"/>
        <v/>
      </c>
      <c r="C480" s="14" t="str">
        <f>IF($A480&lt;&gt;"",MINIFS(Merchant!$A:$A,Merchant!$B:$B,$G$2),)</f>
        <v/>
      </c>
      <c r="D480" s="14" t="str">
        <f t="shared" si="2"/>
        <v/>
      </c>
      <c r="E480" s="14" t="str">
        <f t="shared" si="3"/>
        <v/>
      </c>
      <c r="F480" s="7" t="str">
        <f>IF($A480&lt;&gt;"",MAXIFS(Token!$B:$B,Token!$A:$A,$D480),)</f>
        <v/>
      </c>
    </row>
    <row r="481">
      <c r="A481" s="39" t="str">
        <f>IF(AND($L481*1&gt;=$G$3,$L481*1&lt;=$G$4,$I481*$J481&gt;0,OR($I481&lt;&gt;$I482,$L481-$L482&gt;25),$I481/POW(10,$J481)*MAXIFS(Token!$B:$B,Token!$A:$A,$K481)&gt;0.01),$L481/86400+DATE(1970,1,1)+$G$6,)</f>
        <v/>
      </c>
      <c r="B481" s="27" t="str">
        <f t="shared" si="1"/>
        <v/>
      </c>
      <c r="C481" s="14" t="str">
        <f>IF($A481&lt;&gt;"",MINIFS(Merchant!$A:$A,Merchant!$B:$B,$G$2),)</f>
        <v/>
      </c>
      <c r="D481" s="14" t="str">
        <f t="shared" si="2"/>
        <v/>
      </c>
      <c r="E481" s="14" t="str">
        <f t="shared" si="3"/>
        <v/>
      </c>
      <c r="F481" s="7" t="str">
        <f>IF($A481&lt;&gt;"",MAXIFS(Token!$B:$B,Token!$A:$A,$D481),)</f>
        <v/>
      </c>
    </row>
    <row r="482">
      <c r="A482" s="39" t="str">
        <f>IF(AND($L482*1&gt;=$G$3,$L482*1&lt;=$G$4,$I482*$J482&gt;0,OR($I482&lt;&gt;$I483,$L482-$L483&gt;25),$I482/POW(10,$J482)*MAXIFS(Token!$B:$B,Token!$A:$A,$K482)&gt;0.01),$L482/86400+DATE(1970,1,1)+$G$6,)</f>
        <v/>
      </c>
      <c r="B482" s="27" t="str">
        <f t="shared" si="1"/>
        <v/>
      </c>
      <c r="C482" s="14" t="str">
        <f>IF($A482&lt;&gt;"",MINIFS(Merchant!$A:$A,Merchant!$B:$B,$G$2),)</f>
        <v/>
      </c>
      <c r="D482" s="14" t="str">
        <f t="shared" si="2"/>
        <v/>
      </c>
      <c r="E482" s="14" t="str">
        <f t="shared" si="3"/>
        <v/>
      </c>
      <c r="F482" s="7" t="str">
        <f>IF($A482&lt;&gt;"",MAXIFS(Token!$B:$B,Token!$A:$A,$D482),)</f>
        <v/>
      </c>
    </row>
    <row r="483">
      <c r="A483" s="39" t="str">
        <f>IF(AND($L483*1&gt;=$G$3,$L483*1&lt;=$G$4,$I483*$J483&gt;0,OR($I483&lt;&gt;$I484,$L483-$L484&gt;25),$I483/POW(10,$J483)*MAXIFS(Token!$B:$B,Token!$A:$A,$K483)&gt;0.01),$L483/86400+DATE(1970,1,1)+$G$6,)</f>
        <v/>
      </c>
      <c r="B483" s="27" t="str">
        <f t="shared" si="1"/>
        <v/>
      </c>
      <c r="C483" s="14" t="str">
        <f>IF($A483&lt;&gt;"",MINIFS(Merchant!$A:$A,Merchant!$B:$B,$G$2),)</f>
        <v/>
      </c>
      <c r="D483" s="14" t="str">
        <f t="shared" si="2"/>
        <v/>
      </c>
      <c r="E483" s="14" t="str">
        <f t="shared" si="3"/>
        <v/>
      </c>
      <c r="F483" s="7" t="str">
        <f>IF($A483&lt;&gt;"",MAXIFS(Token!$B:$B,Token!$A:$A,$D483),)</f>
        <v/>
      </c>
    </row>
    <row r="484">
      <c r="A484" s="39" t="str">
        <f>IF(AND($L484*1&gt;=$G$3,$L484*1&lt;=$G$4,$I484*$J484&gt;0,OR($I484&lt;&gt;$I485,$L484-$L485&gt;25),$I484/POW(10,$J484)*MAXIFS(Token!$B:$B,Token!$A:$A,$K484)&gt;0.01),$L484/86400+DATE(1970,1,1)+$G$6,)</f>
        <v/>
      </c>
      <c r="B484" s="27" t="str">
        <f t="shared" si="1"/>
        <v/>
      </c>
      <c r="C484" s="14" t="str">
        <f>IF($A484&lt;&gt;"",MINIFS(Merchant!$A:$A,Merchant!$B:$B,$G$2),)</f>
        <v/>
      </c>
      <c r="D484" s="14" t="str">
        <f t="shared" si="2"/>
        <v/>
      </c>
      <c r="E484" s="14" t="str">
        <f t="shared" si="3"/>
        <v/>
      </c>
      <c r="F484" s="7" t="str">
        <f>IF($A484&lt;&gt;"",MAXIFS(Token!$B:$B,Token!$A:$A,$D484),)</f>
        <v/>
      </c>
    </row>
    <row r="485">
      <c r="A485" s="39" t="str">
        <f>IF(AND($L485*1&gt;=$G$3,$L485*1&lt;=$G$4,$I485*$J485&gt;0,OR($I485&lt;&gt;$I486,$L485-$L486&gt;25),$I485/POW(10,$J485)*MAXIFS(Token!$B:$B,Token!$A:$A,$K485)&gt;0.01),$L485/86400+DATE(1970,1,1)+$G$6,)</f>
        <v/>
      </c>
      <c r="B485" s="27" t="str">
        <f t="shared" si="1"/>
        <v/>
      </c>
      <c r="C485" s="14" t="str">
        <f>IF($A485&lt;&gt;"",MINIFS(Merchant!$A:$A,Merchant!$B:$B,$G$2),)</f>
        <v/>
      </c>
      <c r="D485" s="14" t="str">
        <f t="shared" si="2"/>
        <v/>
      </c>
      <c r="E485" s="14" t="str">
        <f t="shared" si="3"/>
        <v/>
      </c>
      <c r="F485" s="7" t="str">
        <f>IF($A485&lt;&gt;"",MAXIFS(Token!$B:$B,Token!$A:$A,$D485),)</f>
        <v/>
      </c>
    </row>
    <row r="486">
      <c r="A486" s="39" t="str">
        <f>IF(AND($L486*1&gt;=$G$3,$L486*1&lt;=$G$4,$I486*$J486&gt;0,OR($I486&lt;&gt;$I487,$L486-$L487&gt;25),$I486/POW(10,$J486)*MAXIFS(Token!$B:$B,Token!$A:$A,$K486)&gt;0.01),$L486/86400+DATE(1970,1,1)+$G$6,)</f>
        <v/>
      </c>
      <c r="B486" s="27" t="str">
        <f t="shared" si="1"/>
        <v/>
      </c>
      <c r="C486" s="14" t="str">
        <f>IF($A486&lt;&gt;"",MINIFS(Merchant!$A:$A,Merchant!$B:$B,$G$2),)</f>
        <v/>
      </c>
      <c r="D486" s="14" t="str">
        <f t="shared" si="2"/>
        <v/>
      </c>
      <c r="E486" s="14" t="str">
        <f t="shared" si="3"/>
        <v/>
      </c>
      <c r="F486" s="7" t="str">
        <f>IF($A486&lt;&gt;"",MAXIFS(Token!$B:$B,Token!$A:$A,$D486),)</f>
        <v/>
      </c>
    </row>
    <row r="487">
      <c r="A487" s="39" t="str">
        <f>IF(AND($L487*1&gt;=$G$3,$L487*1&lt;=$G$4,$I487*$J487&gt;0,OR($I487&lt;&gt;$I488,$L487-$L488&gt;25),$I487/POW(10,$J487)*MAXIFS(Token!$B:$B,Token!$A:$A,$K487)&gt;0.01),$L487/86400+DATE(1970,1,1)+$G$6,)</f>
        <v/>
      </c>
      <c r="B487" s="27" t="str">
        <f t="shared" si="1"/>
        <v/>
      </c>
      <c r="C487" s="14" t="str">
        <f>IF($A487&lt;&gt;"",MINIFS(Merchant!$A:$A,Merchant!$B:$B,$G$2),)</f>
        <v/>
      </c>
      <c r="D487" s="14" t="str">
        <f t="shared" si="2"/>
        <v/>
      </c>
      <c r="E487" s="14" t="str">
        <f t="shared" si="3"/>
        <v/>
      </c>
      <c r="F487" s="7" t="str">
        <f>IF($A487&lt;&gt;"",MAXIFS(Token!$B:$B,Token!$A:$A,$D487),)</f>
        <v/>
      </c>
    </row>
    <row r="488">
      <c r="A488" s="39" t="str">
        <f>IF(AND($L488*1&gt;=$G$3,$L488*1&lt;=$G$4,$I488*$J488&gt;0,OR($I488&lt;&gt;$I489,$L488-$L489&gt;25),$I488/POW(10,$J488)*MAXIFS(Token!$B:$B,Token!$A:$A,$K488)&gt;0.01),$L488/86400+DATE(1970,1,1)+$G$6,)</f>
        <v/>
      </c>
      <c r="B488" s="27" t="str">
        <f t="shared" si="1"/>
        <v/>
      </c>
      <c r="C488" s="14" t="str">
        <f>IF($A488&lt;&gt;"",MINIFS(Merchant!$A:$A,Merchant!$B:$B,$G$2),)</f>
        <v/>
      </c>
      <c r="D488" s="14" t="str">
        <f t="shared" si="2"/>
        <v/>
      </c>
      <c r="E488" s="14" t="str">
        <f t="shared" si="3"/>
        <v/>
      </c>
      <c r="F488" s="7" t="str">
        <f>IF($A488&lt;&gt;"",MAXIFS(Token!$B:$B,Token!$A:$A,$D488),)</f>
        <v/>
      </c>
    </row>
    <row r="489">
      <c r="A489" s="39" t="str">
        <f>IF(AND($L489*1&gt;=$G$3,$L489*1&lt;=$G$4,$I489*$J489&gt;0,OR($I489&lt;&gt;$I490,$L489-$L490&gt;25),$I489/POW(10,$J489)*MAXIFS(Token!$B:$B,Token!$A:$A,$K489)&gt;0.01),$L489/86400+DATE(1970,1,1)+$G$6,)</f>
        <v/>
      </c>
      <c r="B489" s="27" t="str">
        <f t="shared" si="1"/>
        <v/>
      </c>
      <c r="C489" s="14" t="str">
        <f>IF($A489&lt;&gt;"",MINIFS(Merchant!$A:$A,Merchant!$B:$B,$G$2),)</f>
        <v/>
      </c>
      <c r="D489" s="14" t="str">
        <f t="shared" si="2"/>
        <v/>
      </c>
      <c r="E489" s="14" t="str">
        <f t="shared" si="3"/>
        <v/>
      </c>
      <c r="F489" s="7" t="str">
        <f>IF($A489&lt;&gt;"",MAXIFS(Token!$B:$B,Token!$A:$A,$D489),)</f>
        <v/>
      </c>
    </row>
    <row r="490">
      <c r="A490" s="39" t="str">
        <f>IF(AND($L490*1&gt;=$G$3,$L490*1&lt;=$G$4,$I490*$J490&gt;0,OR($I490&lt;&gt;$I491,$L490-$L491&gt;25),$I490/POW(10,$J490)*MAXIFS(Token!$B:$B,Token!$A:$A,$K490)&gt;0.01),$L490/86400+DATE(1970,1,1)+$G$6,)</f>
        <v/>
      </c>
      <c r="B490" s="27" t="str">
        <f t="shared" si="1"/>
        <v/>
      </c>
      <c r="C490" s="14" t="str">
        <f>IF($A490&lt;&gt;"",MINIFS(Merchant!$A:$A,Merchant!$B:$B,$G$2),)</f>
        <v/>
      </c>
      <c r="D490" s="14" t="str">
        <f t="shared" si="2"/>
        <v/>
      </c>
      <c r="E490" s="14" t="str">
        <f t="shared" si="3"/>
        <v/>
      </c>
      <c r="F490" s="7" t="str">
        <f>IF($A490&lt;&gt;"",MAXIFS(Token!$B:$B,Token!$A:$A,$D490),)</f>
        <v/>
      </c>
    </row>
    <row r="491">
      <c r="A491" s="39" t="str">
        <f>IF(AND($L491*1&gt;=$G$3,$L491*1&lt;=$G$4,$I491*$J491&gt;0,OR($I491&lt;&gt;$I492,$L491-$L492&gt;25),$I491/POW(10,$J491)*MAXIFS(Token!$B:$B,Token!$A:$A,$K491)&gt;0.01),$L491/86400+DATE(1970,1,1)+$G$6,)</f>
        <v/>
      </c>
      <c r="B491" s="27" t="str">
        <f t="shared" si="1"/>
        <v/>
      </c>
      <c r="C491" s="14" t="str">
        <f>IF($A491&lt;&gt;"",MINIFS(Merchant!$A:$A,Merchant!$B:$B,$G$2),)</f>
        <v/>
      </c>
      <c r="D491" s="14" t="str">
        <f t="shared" si="2"/>
        <v/>
      </c>
      <c r="E491" s="14" t="str">
        <f t="shared" si="3"/>
        <v/>
      </c>
      <c r="F491" s="7" t="str">
        <f>IF($A491&lt;&gt;"",MAXIFS(Token!$B:$B,Token!$A:$A,$D491),)</f>
        <v/>
      </c>
    </row>
    <row r="492">
      <c r="A492" s="39" t="str">
        <f>IF(AND($L492*1&gt;=$G$3,$L492*1&lt;=$G$4,$I492*$J492&gt;0,OR($I492&lt;&gt;$I493,$L492-$L493&gt;25),$I492/POW(10,$J492)*MAXIFS(Token!$B:$B,Token!$A:$A,$K492)&gt;0.01),$L492/86400+DATE(1970,1,1)+$G$6,)</f>
        <v/>
      </c>
      <c r="B492" s="27" t="str">
        <f t="shared" si="1"/>
        <v/>
      </c>
      <c r="C492" s="14" t="str">
        <f>IF($A492&lt;&gt;"",MINIFS(Merchant!$A:$A,Merchant!$B:$B,$G$2),)</f>
        <v/>
      </c>
      <c r="D492" s="14" t="str">
        <f t="shared" si="2"/>
        <v/>
      </c>
      <c r="E492" s="14" t="str">
        <f t="shared" si="3"/>
        <v/>
      </c>
      <c r="F492" s="7" t="str">
        <f>IF($A492&lt;&gt;"",MAXIFS(Token!$B:$B,Token!$A:$A,$D492),)</f>
        <v/>
      </c>
    </row>
    <row r="493">
      <c r="A493" s="39" t="str">
        <f>IF(AND($L493*1&gt;=$G$3,$L493*1&lt;=$G$4,$I493*$J493&gt;0,OR($I493&lt;&gt;$I494,$L493-$L494&gt;25),$I493/POW(10,$J493)*MAXIFS(Token!$B:$B,Token!$A:$A,$K493)&gt;0.01),$L493/86400+DATE(1970,1,1)+$G$6,)</f>
        <v/>
      </c>
      <c r="B493" s="27" t="str">
        <f t="shared" si="1"/>
        <v/>
      </c>
      <c r="C493" s="14" t="str">
        <f>IF($A493&lt;&gt;"",MINIFS(Merchant!$A:$A,Merchant!$B:$B,$G$2),)</f>
        <v/>
      </c>
      <c r="D493" s="14" t="str">
        <f t="shared" si="2"/>
        <v/>
      </c>
      <c r="E493" s="14" t="str">
        <f t="shared" si="3"/>
        <v/>
      </c>
      <c r="F493" s="7" t="str">
        <f>IF($A493&lt;&gt;"",MAXIFS(Token!$B:$B,Token!$A:$A,$D493),)</f>
        <v/>
      </c>
    </row>
    <row r="494">
      <c r="A494" s="39" t="str">
        <f>IF(AND($L494*1&gt;=$G$3,$L494*1&lt;=$G$4,$I494*$J494&gt;0,OR($I494&lt;&gt;$I495,$L494-$L495&gt;25),$I494/POW(10,$J494)*MAXIFS(Token!$B:$B,Token!$A:$A,$K494)&gt;0.01),$L494/86400+DATE(1970,1,1)+$G$6,)</f>
        <v/>
      </c>
      <c r="B494" s="27" t="str">
        <f t="shared" si="1"/>
        <v/>
      </c>
      <c r="C494" s="14" t="str">
        <f>IF($A494&lt;&gt;"",MINIFS(Merchant!$A:$A,Merchant!$B:$B,$G$2),)</f>
        <v/>
      </c>
      <c r="D494" s="14" t="str">
        <f t="shared" si="2"/>
        <v/>
      </c>
      <c r="E494" s="14" t="str">
        <f t="shared" si="3"/>
        <v/>
      </c>
      <c r="F494" s="7" t="str">
        <f>IF($A494&lt;&gt;"",MAXIFS(Token!$B:$B,Token!$A:$A,$D494),)</f>
        <v/>
      </c>
    </row>
    <row r="495">
      <c r="A495" s="39" t="str">
        <f>IF(AND($L495*1&gt;=$G$3,$L495*1&lt;=$G$4,$I495*$J495&gt;0,OR($I495&lt;&gt;$I496,$L495-$L496&gt;25),$I495/POW(10,$J495)*MAXIFS(Token!$B:$B,Token!$A:$A,$K495)&gt;0.01),$L495/86400+DATE(1970,1,1)+$G$6,)</f>
        <v/>
      </c>
      <c r="B495" s="27" t="str">
        <f t="shared" si="1"/>
        <v/>
      </c>
      <c r="C495" s="14" t="str">
        <f>IF($A495&lt;&gt;"",MINIFS(Merchant!$A:$A,Merchant!$B:$B,$G$2),)</f>
        <v/>
      </c>
      <c r="D495" s="14" t="str">
        <f t="shared" si="2"/>
        <v/>
      </c>
      <c r="E495" s="14" t="str">
        <f t="shared" si="3"/>
        <v/>
      </c>
      <c r="F495" s="7" t="str">
        <f>IF($A495&lt;&gt;"",MAXIFS(Token!$B:$B,Token!$A:$A,$D495),)</f>
        <v/>
      </c>
    </row>
    <row r="496">
      <c r="A496" s="39" t="str">
        <f>IF(AND($L496*1&gt;=$G$3,$L496*1&lt;=$G$4,$I496*$J496&gt;0,OR($I496&lt;&gt;$I497,$L496-$L497&gt;25),$I496/POW(10,$J496)*MAXIFS(Token!$B:$B,Token!$A:$A,$K496)&gt;0.01),$L496/86400+DATE(1970,1,1)+$G$6,)</f>
        <v/>
      </c>
      <c r="B496" s="27" t="str">
        <f t="shared" si="1"/>
        <v/>
      </c>
      <c r="C496" s="14" t="str">
        <f>IF($A496&lt;&gt;"",MINIFS(Merchant!$A:$A,Merchant!$B:$B,$G$2),)</f>
        <v/>
      </c>
      <c r="D496" s="14" t="str">
        <f t="shared" si="2"/>
        <v/>
      </c>
      <c r="E496" s="14" t="str">
        <f t="shared" si="3"/>
        <v/>
      </c>
      <c r="F496" s="7" t="str">
        <f>IF($A496&lt;&gt;"",MAXIFS(Token!$B:$B,Token!$A:$A,$D496),)</f>
        <v/>
      </c>
    </row>
    <row r="497">
      <c r="A497" s="39" t="str">
        <f>IF(AND($L497*1&gt;=$G$3,$L497*1&lt;=$G$4,$I497*$J497&gt;0,OR($I497&lt;&gt;$I498,$L497-$L498&gt;25),$I497/POW(10,$J497)*MAXIFS(Token!$B:$B,Token!$A:$A,$K497)&gt;0.01),$L497/86400+DATE(1970,1,1)+$G$6,)</f>
        <v/>
      </c>
      <c r="B497" s="27" t="str">
        <f t="shared" si="1"/>
        <v/>
      </c>
      <c r="C497" s="14" t="str">
        <f>IF($A497&lt;&gt;"",MINIFS(Merchant!$A:$A,Merchant!$B:$B,$G$2),)</f>
        <v/>
      </c>
      <c r="D497" s="14" t="str">
        <f t="shared" si="2"/>
        <v/>
      </c>
      <c r="E497" s="14" t="str">
        <f t="shared" si="3"/>
        <v/>
      </c>
      <c r="F497" s="7" t="str">
        <f>IF($A497&lt;&gt;"",MAXIFS(Token!$B:$B,Token!$A:$A,$D497),)</f>
        <v/>
      </c>
    </row>
    <row r="498">
      <c r="A498" s="39" t="str">
        <f>IF(AND($L498*1&gt;=$G$3,$L498*1&lt;=$G$4,$I498*$J498&gt;0,OR($I498&lt;&gt;$I499,$L498-$L499&gt;25),$I498/POW(10,$J498)*MAXIFS(Token!$B:$B,Token!$A:$A,$K498)&gt;0.01),$L498/86400+DATE(1970,1,1)+$G$6,)</f>
        <v/>
      </c>
      <c r="B498" s="27" t="str">
        <f t="shared" si="1"/>
        <v/>
      </c>
      <c r="C498" s="14" t="str">
        <f>IF($A498&lt;&gt;"",MINIFS(Merchant!$A:$A,Merchant!$B:$B,$G$2),)</f>
        <v/>
      </c>
      <c r="D498" s="14" t="str">
        <f t="shared" si="2"/>
        <v/>
      </c>
      <c r="E498" s="14" t="str">
        <f t="shared" si="3"/>
        <v/>
      </c>
      <c r="F498" s="7" t="str">
        <f>IF($A498&lt;&gt;"",MAXIFS(Token!$B:$B,Token!$A:$A,$D498),)</f>
        <v/>
      </c>
    </row>
    <row r="499">
      <c r="A499" s="39" t="str">
        <f>IF(AND($L499*1&gt;=$G$3,$L499*1&lt;=$G$4,$I499*$J499&gt;0,OR($I499&lt;&gt;$I500,$L499-$L500&gt;25),$I499/POW(10,$J499)*MAXIFS(Token!$B:$B,Token!$A:$A,$K499)&gt;0.01),$L499/86400+DATE(1970,1,1)+$G$6,)</f>
        <v/>
      </c>
      <c r="B499" s="27" t="str">
        <f t="shared" si="1"/>
        <v/>
      </c>
      <c r="C499" s="14" t="str">
        <f>IF($A499&lt;&gt;"",MINIFS(Merchant!$A:$A,Merchant!$B:$B,$G$2),)</f>
        <v/>
      </c>
      <c r="D499" s="14" t="str">
        <f t="shared" si="2"/>
        <v/>
      </c>
      <c r="E499" s="14" t="str">
        <f t="shared" si="3"/>
        <v/>
      </c>
      <c r="F499" s="7" t="str">
        <f>IF($A499&lt;&gt;"",MAXIFS(Token!$B:$B,Token!$A:$A,$D499),)</f>
        <v/>
      </c>
    </row>
    <row r="500">
      <c r="A500" s="39" t="str">
        <f>IF(AND($L500*1&gt;=$G$3,$L500*1&lt;=$G$4,$I500*$J500&gt;0,OR($I500&lt;&gt;$I501,$L500-$L501&gt;25),$I500/POW(10,$J500)*MAXIFS(Token!$B:$B,Token!$A:$A,$K500)&gt;0.01),$L500/86400+DATE(1970,1,1)+$G$6,)</f>
        <v/>
      </c>
      <c r="B500" s="27" t="str">
        <f t="shared" si="1"/>
        <v/>
      </c>
      <c r="C500" s="14" t="str">
        <f>IF($A500&lt;&gt;"",MINIFS(Merchant!$A:$A,Merchant!$B:$B,$G$2),)</f>
        <v/>
      </c>
      <c r="D500" s="14" t="str">
        <f t="shared" si="2"/>
        <v/>
      </c>
      <c r="E500" s="14" t="str">
        <f t="shared" si="3"/>
        <v/>
      </c>
      <c r="F500" s="7" t="str">
        <f>IF($A500&lt;&gt;"",MAXIFS(Token!$B:$B,Token!$A:$A,$D500),)</f>
        <v/>
      </c>
    </row>
    <row r="501">
      <c r="A501" s="39" t="str">
        <f>IF(AND($L501*1&gt;=$G$3,$L501*1&lt;=$G$4,$I501*$J501&gt;0,OR($I501&lt;&gt;$I502,$L501-$L502&gt;25),$I501/POW(10,$J501)*MAXIFS(Token!$B:$B,Token!$A:$A,$K501)&gt;0.01),$L501/86400+DATE(1970,1,1)+$G$6,)</f>
        <v/>
      </c>
      <c r="B501" s="27" t="str">
        <f t="shared" si="1"/>
        <v/>
      </c>
      <c r="C501" s="14" t="str">
        <f>IF($A501&lt;&gt;"",MINIFS(Merchant!$A:$A,Merchant!$B:$B,$G$2),)</f>
        <v/>
      </c>
      <c r="D501" s="14" t="str">
        <f t="shared" si="2"/>
        <v/>
      </c>
      <c r="E501" s="14" t="str">
        <f t="shared" si="3"/>
        <v/>
      </c>
      <c r="F501" s="7" t="str">
        <f>IF($A501&lt;&gt;"",MAXIFS(Token!$B:$B,Token!$A:$A,$D501),)</f>
        <v/>
      </c>
    </row>
    <row r="502">
      <c r="A502" s="39" t="str">
        <f>IF(AND($L502*1&gt;=$G$3,$L502*1&lt;=$G$4,$I502*$J502&gt;0,OR($I502&lt;&gt;$I503,$L502-$L503&gt;25),$I502/POW(10,$J502)*MAXIFS(Token!$B:$B,Token!$A:$A,$K502)&gt;0.01),$L502/86400+DATE(1970,1,1)+$G$6,)</f>
        <v/>
      </c>
      <c r="B502" s="27" t="str">
        <f t="shared" si="1"/>
        <v/>
      </c>
      <c r="C502" s="14" t="str">
        <f>IF($A502&lt;&gt;"",MINIFS(Merchant!$A:$A,Merchant!$B:$B,$G$2),)</f>
        <v/>
      </c>
      <c r="D502" s="14" t="str">
        <f t="shared" si="2"/>
        <v/>
      </c>
      <c r="E502" s="14" t="str">
        <f t="shared" si="3"/>
        <v/>
      </c>
      <c r="F502" s="7" t="str">
        <f>IF($A502&lt;&gt;"",MAXIFS(Token!$B:$B,Token!$A:$A,$D502),)</f>
        <v/>
      </c>
    </row>
    <row r="503">
      <c r="A503" s="39" t="str">
        <f>IF(AND($L503*1&gt;=$G$3,$L503*1&lt;=$G$4,$I503*$J503&gt;0,OR($I503&lt;&gt;$I504,$L503-$L504&gt;25),$I503/POW(10,$J503)*MAXIFS(Token!$B:$B,Token!$A:$A,$K503)&gt;0.01),$L503/86400+DATE(1970,1,1)+$G$6,)</f>
        <v/>
      </c>
      <c r="B503" s="27" t="str">
        <f t="shared" si="1"/>
        <v/>
      </c>
      <c r="C503" s="14" t="str">
        <f>IF($A503&lt;&gt;"",MINIFS(Merchant!$A:$A,Merchant!$B:$B,$G$2),)</f>
        <v/>
      </c>
      <c r="D503" s="14" t="str">
        <f t="shared" si="2"/>
        <v/>
      </c>
      <c r="E503" s="14" t="str">
        <f t="shared" si="3"/>
        <v/>
      </c>
      <c r="F503" s="7" t="str">
        <f>IF($A503&lt;&gt;"",MAXIFS(Token!$B:$B,Token!$A:$A,$D503),)</f>
        <v/>
      </c>
    </row>
    <row r="504">
      <c r="A504" s="39" t="str">
        <f>IF(AND($L504*1&gt;=$G$3,$L504*1&lt;=$G$4,$I504*$J504&gt;0,OR($I504&lt;&gt;$I505,$L504-$L505&gt;25),$I504/POW(10,$J504)*MAXIFS(Token!$B:$B,Token!$A:$A,$K504)&gt;0.01),$L504/86400+DATE(1970,1,1)+$G$6,)</f>
        <v/>
      </c>
      <c r="B504" s="27" t="str">
        <f t="shared" si="1"/>
        <v/>
      </c>
      <c r="C504" s="14" t="str">
        <f>IF($A504&lt;&gt;"",MINIFS(Merchant!$A:$A,Merchant!$B:$B,$G$2),)</f>
        <v/>
      </c>
      <c r="D504" s="14" t="str">
        <f t="shared" si="2"/>
        <v/>
      </c>
      <c r="E504" s="14" t="str">
        <f t="shared" si="3"/>
        <v/>
      </c>
      <c r="F504" s="7" t="str">
        <f>IF($A504&lt;&gt;"",MAXIFS(Token!$B:$B,Token!$A:$A,$D504),)</f>
        <v/>
      </c>
    </row>
    <row r="505">
      <c r="A505" s="39" t="str">
        <f>IF(AND($L505*1&gt;=$G$3,$L505*1&lt;=$G$4,$I505*$J505&gt;0,OR($I505&lt;&gt;$I506,$L505-$L506&gt;25),$I505/POW(10,$J505)*MAXIFS(Token!$B:$B,Token!$A:$A,$K505)&gt;0.01),$L505/86400+DATE(1970,1,1)+$G$6,)</f>
        <v/>
      </c>
      <c r="B505" s="27" t="str">
        <f t="shared" si="1"/>
        <v/>
      </c>
      <c r="C505" s="14" t="str">
        <f>IF($A505&lt;&gt;"",MINIFS(Merchant!$A:$A,Merchant!$B:$B,$G$2),)</f>
        <v/>
      </c>
      <c r="D505" s="14" t="str">
        <f t="shared" si="2"/>
        <v/>
      </c>
      <c r="E505" s="14" t="str">
        <f t="shared" si="3"/>
        <v/>
      </c>
      <c r="F505" s="7" t="str">
        <f>IF($A505&lt;&gt;"",MAXIFS(Token!$B:$B,Token!$A:$A,$D505),)</f>
        <v/>
      </c>
    </row>
    <row r="506">
      <c r="A506" s="39" t="str">
        <f>IF(AND($L506*1&gt;=$G$3,$L506*1&lt;=$G$4,$I506*$J506&gt;0,OR($I506&lt;&gt;$I507,$L506-$L507&gt;25),$I506/POW(10,$J506)*MAXIFS(Token!$B:$B,Token!$A:$A,$K506)&gt;0.01),$L506/86400+DATE(1970,1,1)+$G$6,)</f>
        <v/>
      </c>
      <c r="B506" s="27" t="str">
        <f t="shared" si="1"/>
        <v/>
      </c>
      <c r="C506" s="14" t="str">
        <f>IF($A506&lt;&gt;"",MINIFS(Merchant!$A:$A,Merchant!$B:$B,$G$2),)</f>
        <v/>
      </c>
      <c r="D506" s="14" t="str">
        <f t="shared" si="2"/>
        <v/>
      </c>
      <c r="E506" s="14" t="str">
        <f t="shared" si="3"/>
        <v/>
      </c>
      <c r="F506" s="7" t="str">
        <f>IF($A506&lt;&gt;"",MAXIFS(Token!$B:$B,Token!$A:$A,$D506),)</f>
        <v/>
      </c>
    </row>
    <row r="507">
      <c r="A507" s="39" t="str">
        <f>IF(AND($L507*1&gt;=$G$3,$L507*1&lt;=$G$4,$I507*$J507&gt;0,OR($I507&lt;&gt;$I508,$L507-$L508&gt;25),$I507/POW(10,$J507)*MAXIFS(Token!$B:$B,Token!$A:$A,$K507)&gt;0.01),$L507/86400+DATE(1970,1,1)+$G$6,)</f>
        <v/>
      </c>
      <c r="B507" s="27" t="str">
        <f t="shared" si="1"/>
        <v/>
      </c>
      <c r="C507" s="14" t="str">
        <f>IF($A507&lt;&gt;"",MINIFS(Merchant!$A:$A,Merchant!$B:$B,$G$2),)</f>
        <v/>
      </c>
      <c r="D507" s="14" t="str">
        <f t="shared" si="2"/>
        <v/>
      </c>
      <c r="E507" s="14" t="str">
        <f t="shared" si="3"/>
        <v/>
      </c>
      <c r="F507" s="7" t="str">
        <f>IF($A507&lt;&gt;"",MAXIFS(Token!$B:$B,Token!$A:$A,$D507),)</f>
        <v/>
      </c>
    </row>
    <row r="508">
      <c r="A508" s="39" t="str">
        <f>IF(AND($L508*1&gt;=$G$3,$L508*1&lt;=$G$4,$I508*$J508&gt;0,OR($I508&lt;&gt;$I509,$L508-$L509&gt;25),$I508/POW(10,$J508)*MAXIFS(Token!$B:$B,Token!$A:$A,$K508)&gt;0.01),$L508/86400+DATE(1970,1,1)+$G$6,)</f>
        <v/>
      </c>
      <c r="B508" s="27" t="str">
        <f t="shared" si="1"/>
        <v/>
      </c>
      <c r="C508" s="14" t="str">
        <f>IF($A508&lt;&gt;"",MINIFS(Merchant!$A:$A,Merchant!$B:$B,$G$2),)</f>
        <v/>
      </c>
      <c r="D508" s="14" t="str">
        <f t="shared" si="2"/>
        <v/>
      </c>
      <c r="E508" s="14" t="str">
        <f t="shared" si="3"/>
        <v/>
      </c>
      <c r="F508" s="7" t="str">
        <f>IF($A508&lt;&gt;"",MAXIFS(Token!$B:$B,Token!$A:$A,$D508),)</f>
        <v/>
      </c>
    </row>
    <row r="509">
      <c r="A509" s="39" t="str">
        <f>IF(AND($L509*1&gt;=$G$3,$L509*1&lt;=$G$4,$I509*$J509&gt;0,OR($I509&lt;&gt;$I510,$L509-$L510&gt;25),$I509/POW(10,$J509)*MAXIFS(Token!$B:$B,Token!$A:$A,$K509)&gt;0.01),$L509/86400+DATE(1970,1,1)+$G$6,)</f>
        <v/>
      </c>
      <c r="B509" s="27" t="str">
        <f t="shared" si="1"/>
        <v/>
      </c>
      <c r="C509" s="14" t="str">
        <f>IF($A509&lt;&gt;"",MINIFS(Merchant!$A:$A,Merchant!$B:$B,$G$2),)</f>
        <v/>
      </c>
      <c r="D509" s="14" t="str">
        <f t="shared" si="2"/>
        <v/>
      </c>
      <c r="E509" s="14" t="str">
        <f t="shared" si="3"/>
        <v/>
      </c>
      <c r="F509" s="7" t="str">
        <f>IF($A509&lt;&gt;"",MAXIFS(Token!$B:$B,Token!$A:$A,$D509),)</f>
        <v/>
      </c>
    </row>
    <row r="510">
      <c r="A510" s="39" t="str">
        <f>IF(AND($L510*1&gt;=$G$3,$L510*1&lt;=$G$4,$I510*$J510&gt;0,OR($I510&lt;&gt;$I511,$L510-$L511&gt;25),$I510/POW(10,$J510)*MAXIFS(Token!$B:$B,Token!$A:$A,$K510)&gt;0.01),$L510/86400+DATE(1970,1,1)+$G$6,)</f>
        <v/>
      </c>
      <c r="B510" s="27" t="str">
        <f t="shared" si="1"/>
        <v/>
      </c>
      <c r="C510" s="14" t="str">
        <f>IF($A510&lt;&gt;"",MINIFS(Merchant!$A:$A,Merchant!$B:$B,$G$2),)</f>
        <v/>
      </c>
      <c r="D510" s="14" t="str">
        <f t="shared" si="2"/>
        <v/>
      </c>
      <c r="E510" s="14" t="str">
        <f t="shared" si="3"/>
        <v/>
      </c>
      <c r="F510" s="7" t="str">
        <f>IF($A510&lt;&gt;"",MAXIFS(Token!$B:$B,Token!$A:$A,$D510),)</f>
        <v/>
      </c>
    </row>
    <row r="511">
      <c r="A511" s="39" t="str">
        <f>IF(AND($L511*1&gt;=$G$3,$L511*1&lt;=$G$4,$I511*$J511&gt;0,OR($I511&lt;&gt;$I512,$L511-$L512&gt;25),$I511/POW(10,$J511)*MAXIFS(Token!$B:$B,Token!$A:$A,$K511)&gt;0.01),$L511/86400+DATE(1970,1,1)+$G$6,)</f>
        <v/>
      </c>
      <c r="B511" s="27" t="str">
        <f t="shared" si="1"/>
        <v/>
      </c>
      <c r="C511" s="14" t="str">
        <f>IF($A511&lt;&gt;"",MINIFS(Merchant!$A:$A,Merchant!$B:$B,$G$2),)</f>
        <v/>
      </c>
      <c r="D511" s="14" t="str">
        <f t="shared" si="2"/>
        <v/>
      </c>
      <c r="E511" s="14" t="str">
        <f t="shared" si="3"/>
        <v/>
      </c>
      <c r="F511" s="7" t="str">
        <f>IF($A511&lt;&gt;"",MAXIFS(Token!$B:$B,Token!$A:$A,$D511),)</f>
        <v/>
      </c>
    </row>
    <row r="512">
      <c r="A512" s="39" t="str">
        <f>IF(AND($L512*1&gt;=$G$3,$L512*1&lt;=$G$4,$I512*$J512&gt;0,OR($I512&lt;&gt;$I513,$L512-$L513&gt;25),$I512/POW(10,$J512)*MAXIFS(Token!$B:$B,Token!$A:$A,$K512)&gt;0.01),$L512/86400+DATE(1970,1,1)+$G$6,)</f>
        <v/>
      </c>
      <c r="B512" s="27" t="str">
        <f t="shared" si="1"/>
        <v/>
      </c>
      <c r="C512" s="14" t="str">
        <f>IF($A512&lt;&gt;"",MINIFS(Merchant!$A:$A,Merchant!$B:$B,$G$2),)</f>
        <v/>
      </c>
      <c r="D512" s="14" t="str">
        <f t="shared" si="2"/>
        <v/>
      </c>
      <c r="E512" s="14" t="str">
        <f t="shared" si="3"/>
        <v/>
      </c>
      <c r="F512" s="7" t="str">
        <f>IF($A512&lt;&gt;"",MAXIFS(Token!$B:$B,Token!$A:$A,$D512),)</f>
        <v/>
      </c>
    </row>
    <row r="513">
      <c r="A513" s="39" t="str">
        <f>IF(AND($L513*1&gt;=$G$3,$L513*1&lt;=$G$4,$I513*$J513&gt;0,OR($I513&lt;&gt;$I514,$L513-$L514&gt;25),$I513/POW(10,$J513)*MAXIFS(Token!$B:$B,Token!$A:$A,$K513)&gt;0.01),$L513/86400+DATE(1970,1,1)+$G$6,)</f>
        <v/>
      </c>
      <c r="B513" s="27" t="str">
        <f t="shared" si="1"/>
        <v/>
      </c>
      <c r="C513" s="14" t="str">
        <f>IF($A513&lt;&gt;"",MINIFS(Merchant!$A:$A,Merchant!$B:$B,$G$2),)</f>
        <v/>
      </c>
      <c r="D513" s="14" t="str">
        <f t="shared" si="2"/>
        <v/>
      </c>
      <c r="E513" s="14" t="str">
        <f t="shared" si="3"/>
        <v/>
      </c>
      <c r="F513" s="7" t="str">
        <f>IF($A513&lt;&gt;"",MAXIFS(Token!$B:$B,Token!$A:$A,$D513),)</f>
        <v/>
      </c>
    </row>
    <row r="514">
      <c r="A514" s="39" t="str">
        <f>IF(AND($L514*1&gt;=$G$3,$L514*1&lt;=$G$4,$I514*$J514&gt;0,OR($I514&lt;&gt;$I515,$L514-$L515&gt;25),$I514/POW(10,$J514)*MAXIFS(Token!$B:$B,Token!$A:$A,$K514)&gt;0.01),$L514/86400+DATE(1970,1,1)+$G$6,)</f>
        <v/>
      </c>
      <c r="B514" s="27" t="str">
        <f t="shared" si="1"/>
        <v/>
      </c>
      <c r="C514" s="14" t="str">
        <f>IF($A514&lt;&gt;"",MINIFS(Merchant!$A:$A,Merchant!$B:$B,$G$2),)</f>
        <v/>
      </c>
      <c r="D514" s="14" t="str">
        <f t="shared" si="2"/>
        <v/>
      </c>
      <c r="E514" s="14" t="str">
        <f t="shared" si="3"/>
        <v/>
      </c>
      <c r="F514" s="7" t="str">
        <f>IF($A514&lt;&gt;"",MAXIFS(Token!$B:$B,Token!$A:$A,$D514),)</f>
        <v/>
      </c>
    </row>
    <row r="515">
      <c r="A515" s="39" t="str">
        <f>IF(AND($L515*1&gt;=$G$3,$L515*1&lt;=$G$4,$I515*$J515&gt;0,OR($I515&lt;&gt;$I516,$L515-$L516&gt;25),$I515/POW(10,$J515)*MAXIFS(Token!$B:$B,Token!$A:$A,$K515)&gt;0.01),$L515/86400+DATE(1970,1,1)+$G$6,)</f>
        <v/>
      </c>
      <c r="B515" s="27" t="str">
        <f t="shared" si="1"/>
        <v/>
      </c>
      <c r="C515" s="14" t="str">
        <f>IF($A515&lt;&gt;"",MINIFS(Merchant!$A:$A,Merchant!$B:$B,$G$2),)</f>
        <v/>
      </c>
      <c r="D515" s="14" t="str">
        <f t="shared" si="2"/>
        <v/>
      </c>
      <c r="E515" s="14" t="str">
        <f t="shared" si="3"/>
        <v/>
      </c>
      <c r="F515" s="7" t="str">
        <f>IF($A515&lt;&gt;"",MAXIFS(Token!$B:$B,Token!$A:$A,$D515),)</f>
        <v/>
      </c>
    </row>
    <row r="516">
      <c r="A516" s="39" t="str">
        <f>IF(AND($L516*1&gt;=$G$3,$L516*1&lt;=$G$4,$I516*$J516&gt;0,OR($I516&lt;&gt;$I517,$L516-$L517&gt;25),$I516/POW(10,$J516)*MAXIFS(Token!$B:$B,Token!$A:$A,$K516)&gt;0.01),$L516/86400+DATE(1970,1,1)+$G$6,)</f>
        <v/>
      </c>
      <c r="B516" s="27" t="str">
        <f t="shared" si="1"/>
        <v/>
      </c>
      <c r="C516" s="14" t="str">
        <f>IF($A516&lt;&gt;"",MINIFS(Merchant!$A:$A,Merchant!$B:$B,$G$2),)</f>
        <v/>
      </c>
      <c r="D516" s="14" t="str">
        <f t="shared" si="2"/>
        <v/>
      </c>
      <c r="E516" s="14" t="str">
        <f t="shared" si="3"/>
        <v/>
      </c>
      <c r="F516" s="7" t="str">
        <f>IF($A516&lt;&gt;"",MAXIFS(Token!$B:$B,Token!$A:$A,$D516),)</f>
        <v/>
      </c>
    </row>
    <row r="517">
      <c r="A517" s="39" t="str">
        <f>IF(AND($L517*1&gt;=$G$3,$L517*1&lt;=$G$4,$I517*$J517&gt;0,OR($I517&lt;&gt;$I518,$L517-$L518&gt;25),$I517/POW(10,$J517)*MAXIFS(Token!$B:$B,Token!$A:$A,$K517)&gt;0.01),$L517/86400+DATE(1970,1,1)+$G$6,)</f>
        <v/>
      </c>
      <c r="B517" s="27" t="str">
        <f t="shared" si="1"/>
        <v/>
      </c>
      <c r="C517" s="14" t="str">
        <f>IF($A517&lt;&gt;"",MINIFS(Merchant!$A:$A,Merchant!$B:$B,$G$2),)</f>
        <v/>
      </c>
      <c r="D517" s="14" t="str">
        <f t="shared" si="2"/>
        <v/>
      </c>
      <c r="E517" s="14" t="str">
        <f t="shared" si="3"/>
        <v/>
      </c>
      <c r="F517" s="7" t="str">
        <f>IF($A517&lt;&gt;"",MAXIFS(Token!$B:$B,Token!$A:$A,$D517),)</f>
        <v/>
      </c>
    </row>
    <row r="518">
      <c r="A518" s="39" t="str">
        <f>IF(AND($L518*1&gt;=$G$3,$L518*1&lt;=$G$4,$I518*$J518&gt;0,OR($I518&lt;&gt;$I519,$L518-$L519&gt;25),$I518/POW(10,$J518)*MAXIFS(Token!$B:$B,Token!$A:$A,$K518)&gt;0.01),$L518/86400+DATE(1970,1,1)+$G$6,)</f>
        <v/>
      </c>
      <c r="B518" s="27" t="str">
        <f t="shared" si="1"/>
        <v/>
      </c>
      <c r="C518" s="14" t="str">
        <f>IF($A518&lt;&gt;"",MINIFS(Merchant!$A:$A,Merchant!$B:$B,$G$2),)</f>
        <v/>
      </c>
      <c r="D518" s="14" t="str">
        <f t="shared" si="2"/>
        <v/>
      </c>
      <c r="E518" s="14" t="str">
        <f t="shared" si="3"/>
        <v/>
      </c>
      <c r="F518" s="7" t="str">
        <f>IF($A518&lt;&gt;"",MAXIFS(Token!$B:$B,Token!$A:$A,$D518),)</f>
        <v/>
      </c>
    </row>
    <row r="519">
      <c r="A519" s="39" t="str">
        <f>IF(AND($L519*1&gt;=$G$3,$L519*1&lt;=$G$4,$I519*$J519&gt;0,OR($I519&lt;&gt;$I520,$L519-$L520&gt;25),$I519/POW(10,$J519)*MAXIFS(Token!$B:$B,Token!$A:$A,$K519)&gt;0.01),$L519/86400+DATE(1970,1,1)+$G$6,)</f>
        <v/>
      </c>
      <c r="B519" s="27" t="str">
        <f t="shared" si="1"/>
        <v/>
      </c>
      <c r="C519" s="14" t="str">
        <f>IF($A519&lt;&gt;"",MINIFS(Merchant!$A:$A,Merchant!$B:$B,$G$2),)</f>
        <v/>
      </c>
      <c r="D519" s="14" t="str">
        <f t="shared" si="2"/>
        <v/>
      </c>
      <c r="E519" s="14" t="str">
        <f t="shared" si="3"/>
        <v/>
      </c>
      <c r="F519" s="7" t="str">
        <f>IF($A519&lt;&gt;"",MAXIFS(Token!$B:$B,Token!$A:$A,$D519),)</f>
        <v/>
      </c>
    </row>
    <row r="520">
      <c r="A520" s="39" t="str">
        <f>IF(AND($L520*1&gt;=$G$3,$L520*1&lt;=$G$4,$I520*$J520&gt;0,OR($I520&lt;&gt;$I521,$L520-$L521&gt;25),$I520/POW(10,$J520)*MAXIFS(Token!$B:$B,Token!$A:$A,$K520)&gt;0.01),$L520/86400+DATE(1970,1,1)+$G$6,)</f>
        <v/>
      </c>
      <c r="B520" s="27" t="str">
        <f t="shared" si="1"/>
        <v/>
      </c>
      <c r="C520" s="14" t="str">
        <f>IF($A520&lt;&gt;"",MINIFS(Merchant!$A:$A,Merchant!$B:$B,$G$2),)</f>
        <v/>
      </c>
      <c r="D520" s="14" t="str">
        <f t="shared" si="2"/>
        <v/>
      </c>
      <c r="E520" s="14" t="str">
        <f t="shared" si="3"/>
        <v/>
      </c>
      <c r="F520" s="7" t="str">
        <f>IF($A520&lt;&gt;"",MAXIFS(Token!$B:$B,Token!$A:$A,$D520),)</f>
        <v/>
      </c>
    </row>
    <row r="521">
      <c r="A521" s="39" t="str">
        <f>IF(AND($L521*1&gt;=$G$3,$L521*1&lt;=$G$4,$I521*$J521&gt;0,OR($I521&lt;&gt;$I522,$L521-$L522&gt;25),$I521/POW(10,$J521)*MAXIFS(Token!$B:$B,Token!$A:$A,$K521)&gt;0.01),$L521/86400+DATE(1970,1,1)+$G$6,)</f>
        <v/>
      </c>
      <c r="B521" s="27" t="str">
        <f t="shared" si="1"/>
        <v/>
      </c>
      <c r="C521" s="14" t="str">
        <f>IF($A521&lt;&gt;"",MINIFS(Merchant!$A:$A,Merchant!$B:$B,$G$2),)</f>
        <v/>
      </c>
      <c r="D521" s="14" t="str">
        <f t="shared" si="2"/>
        <v/>
      </c>
      <c r="E521" s="14" t="str">
        <f t="shared" si="3"/>
        <v/>
      </c>
      <c r="F521" s="7" t="str">
        <f>IF($A521&lt;&gt;"",MAXIFS(Token!$B:$B,Token!$A:$A,$D521),)</f>
        <v/>
      </c>
    </row>
    <row r="522">
      <c r="A522" s="39" t="str">
        <f>IF(AND($L522*1&gt;=$G$3,$L522*1&lt;=$G$4,$I522*$J522&gt;0,OR($I522&lt;&gt;$I523,$L522-$L523&gt;25),$I522/POW(10,$J522)*MAXIFS(Token!$B:$B,Token!$A:$A,$K522)&gt;0.01),$L522/86400+DATE(1970,1,1)+$G$6,)</f>
        <v/>
      </c>
      <c r="B522" s="27" t="str">
        <f t="shared" si="1"/>
        <v/>
      </c>
      <c r="C522" s="14" t="str">
        <f>IF($A522&lt;&gt;"",MINIFS(Merchant!$A:$A,Merchant!$B:$B,$G$2),)</f>
        <v/>
      </c>
      <c r="D522" s="14" t="str">
        <f t="shared" si="2"/>
        <v/>
      </c>
      <c r="E522" s="14" t="str">
        <f t="shared" si="3"/>
        <v/>
      </c>
      <c r="F522" s="7" t="str">
        <f>IF($A522&lt;&gt;"",MAXIFS(Token!$B:$B,Token!$A:$A,$D522),)</f>
        <v/>
      </c>
    </row>
    <row r="523">
      <c r="A523" s="39" t="str">
        <f>IF(AND($L523*1&gt;=$G$3,$L523*1&lt;=$G$4,$I523*$J523&gt;0,OR($I523&lt;&gt;$I524,$L523-$L524&gt;25),$I523/POW(10,$J523)*MAXIFS(Token!$B:$B,Token!$A:$A,$K523)&gt;0.01),$L523/86400+DATE(1970,1,1)+$G$6,)</f>
        <v/>
      </c>
      <c r="B523" s="27" t="str">
        <f t="shared" si="1"/>
        <v/>
      </c>
      <c r="C523" s="14" t="str">
        <f>IF($A523&lt;&gt;"",MINIFS(Merchant!$A:$A,Merchant!$B:$B,$G$2),)</f>
        <v/>
      </c>
      <c r="D523" s="14" t="str">
        <f t="shared" si="2"/>
        <v/>
      </c>
      <c r="E523" s="14" t="str">
        <f t="shared" si="3"/>
        <v/>
      </c>
      <c r="F523" s="7" t="str">
        <f>IF($A523&lt;&gt;"",MAXIFS(Token!$B:$B,Token!$A:$A,$D523),)</f>
        <v/>
      </c>
    </row>
    <row r="524">
      <c r="A524" s="39" t="str">
        <f>IF(AND($L524*1&gt;=$G$3,$L524*1&lt;=$G$4,$I524*$J524&gt;0,OR($I524&lt;&gt;$I525,$L524-$L525&gt;25),$I524/POW(10,$J524)*MAXIFS(Token!$B:$B,Token!$A:$A,$K524)&gt;0.01),$L524/86400+DATE(1970,1,1)+$G$6,)</f>
        <v/>
      </c>
      <c r="B524" s="27" t="str">
        <f t="shared" si="1"/>
        <v/>
      </c>
      <c r="C524" s="14" t="str">
        <f>IF($A524&lt;&gt;"",MINIFS(Merchant!$A:$A,Merchant!$B:$B,$G$2),)</f>
        <v/>
      </c>
      <c r="D524" s="14" t="str">
        <f t="shared" si="2"/>
        <v/>
      </c>
      <c r="E524" s="14" t="str">
        <f t="shared" si="3"/>
        <v/>
      </c>
      <c r="F524" s="7" t="str">
        <f>IF($A524&lt;&gt;"",MAXIFS(Token!$B:$B,Token!$A:$A,$D524),)</f>
        <v/>
      </c>
    </row>
    <row r="525">
      <c r="A525" s="39" t="str">
        <f>IF(AND($L525*1&gt;=$G$3,$L525*1&lt;=$G$4,$I525*$J525&gt;0,OR($I525&lt;&gt;$I526,$L525-$L526&gt;25),$I525/POW(10,$J525)*MAXIFS(Token!$B:$B,Token!$A:$A,$K525)&gt;0.01),$L525/86400+DATE(1970,1,1)+$G$6,)</f>
        <v/>
      </c>
      <c r="B525" s="27" t="str">
        <f t="shared" si="1"/>
        <v/>
      </c>
      <c r="C525" s="14" t="str">
        <f>IF($A525&lt;&gt;"",MINIFS(Merchant!$A:$A,Merchant!$B:$B,$G$2),)</f>
        <v/>
      </c>
      <c r="D525" s="14" t="str">
        <f t="shared" si="2"/>
        <v/>
      </c>
      <c r="E525" s="14" t="str">
        <f t="shared" si="3"/>
        <v/>
      </c>
      <c r="F525" s="7" t="str">
        <f>IF($A525&lt;&gt;"",MAXIFS(Token!$B:$B,Token!$A:$A,$D525),)</f>
        <v/>
      </c>
    </row>
    <row r="526">
      <c r="A526" s="39" t="str">
        <f>IF(AND($L526*1&gt;=$G$3,$L526*1&lt;=$G$4,$I526*$J526&gt;0,OR($I526&lt;&gt;$I527,$L526-$L527&gt;25),$I526/POW(10,$J526)*MAXIFS(Token!$B:$B,Token!$A:$A,$K526)&gt;0.01),$L526/86400+DATE(1970,1,1)+$G$6,)</f>
        <v/>
      </c>
      <c r="B526" s="27" t="str">
        <f t="shared" si="1"/>
        <v/>
      </c>
      <c r="C526" s="14" t="str">
        <f>IF($A526&lt;&gt;"",MINIFS(Merchant!$A:$A,Merchant!$B:$B,$G$2),)</f>
        <v/>
      </c>
      <c r="D526" s="14" t="str">
        <f t="shared" si="2"/>
        <v/>
      </c>
      <c r="E526" s="14" t="str">
        <f t="shared" si="3"/>
        <v/>
      </c>
      <c r="F526" s="7" t="str">
        <f>IF($A526&lt;&gt;"",MAXIFS(Token!$B:$B,Token!$A:$A,$D526),)</f>
        <v/>
      </c>
    </row>
    <row r="527">
      <c r="A527" s="39" t="str">
        <f>IF(AND($L527*1&gt;=$G$3,$L527*1&lt;=$G$4,$I527*$J527&gt;0,OR($I527&lt;&gt;$I528,$L527-$L528&gt;25),$I527/POW(10,$J527)*MAXIFS(Token!$B:$B,Token!$A:$A,$K527)&gt;0.01),$L527/86400+DATE(1970,1,1)+$G$6,)</f>
        <v/>
      </c>
      <c r="B527" s="27" t="str">
        <f t="shared" si="1"/>
        <v/>
      </c>
      <c r="C527" s="14" t="str">
        <f>IF($A527&lt;&gt;"",MINIFS(Merchant!$A:$A,Merchant!$B:$B,$G$2),)</f>
        <v/>
      </c>
      <c r="D527" s="14" t="str">
        <f t="shared" si="2"/>
        <v/>
      </c>
      <c r="E527" s="14" t="str">
        <f t="shared" si="3"/>
        <v/>
      </c>
      <c r="F527" s="7" t="str">
        <f>IF($A527&lt;&gt;"",MAXIFS(Token!$B:$B,Token!$A:$A,$D527),)</f>
        <v/>
      </c>
    </row>
    <row r="528">
      <c r="A528" s="39" t="str">
        <f>IF(AND($L528*1&gt;=$G$3,$L528*1&lt;=$G$4,$I528*$J528&gt;0,OR($I528&lt;&gt;$I529,$L528-$L529&gt;25),$I528/POW(10,$J528)*MAXIFS(Token!$B:$B,Token!$A:$A,$K528)&gt;0.01),$L528/86400+DATE(1970,1,1)+$G$6,)</f>
        <v/>
      </c>
      <c r="B528" s="27" t="str">
        <f t="shared" si="1"/>
        <v/>
      </c>
      <c r="C528" s="14" t="str">
        <f>IF($A528&lt;&gt;"",MINIFS(Merchant!$A:$A,Merchant!$B:$B,$G$2),)</f>
        <v/>
      </c>
      <c r="D528" s="14" t="str">
        <f t="shared" si="2"/>
        <v/>
      </c>
      <c r="E528" s="14" t="str">
        <f t="shared" si="3"/>
        <v/>
      </c>
      <c r="F528" s="7" t="str">
        <f>IF($A528&lt;&gt;"",MAXIFS(Token!$B:$B,Token!$A:$A,$D528),)</f>
        <v/>
      </c>
    </row>
    <row r="529">
      <c r="A529" s="39" t="str">
        <f>IF(AND($L529*1&gt;=$G$3,$L529*1&lt;=$G$4,$I529*$J529&gt;0,OR($I529&lt;&gt;$I530,$L529-$L530&gt;25),$I529/POW(10,$J529)*MAXIFS(Token!$B:$B,Token!$A:$A,$K529)&gt;0.01),$L529/86400+DATE(1970,1,1)+$G$6,)</f>
        <v/>
      </c>
      <c r="B529" s="27" t="str">
        <f t="shared" si="1"/>
        <v/>
      </c>
      <c r="C529" s="14" t="str">
        <f>IF($A529&lt;&gt;"",MINIFS(Merchant!$A:$A,Merchant!$B:$B,$G$2),)</f>
        <v/>
      </c>
      <c r="D529" s="14" t="str">
        <f t="shared" si="2"/>
        <v/>
      </c>
      <c r="E529" s="14" t="str">
        <f t="shared" si="3"/>
        <v/>
      </c>
      <c r="F529" s="7" t="str">
        <f>IF($A529&lt;&gt;"",MAXIFS(Token!$B:$B,Token!$A:$A,$D529),)</f>
        <v/>
      </c>
    </row>
    <row r="530">
      <c r="A530" s="39" t="str">
        <f>IF(AND($L530*1&gt;=$G$3,$L530*1&lt;=$G$4,$I530*$J530&gt;0,OR($I530&lt;&gt;$I531,$L530-$L531&gt;25),$I530/POW(10,$J530)*MAXIFS(Token!$B:$B,Token!$A:$A,$K530)&gt;0.01),$L530/86400+DATE(1970,1,1)+$G$6,)</f>
        <v/>
      </c>
      <c r="B530" s="27" t="str">
        <f t="shared" si="1"/>
        <v/>
      </c>
      <c r="C530" s="14" t="str">
        <f>IF($A530&lt;&gt;"",MINIFS(Merchant!$A:$A,Merchant!$B:$B,$G$2),)</f>
        <v/>
      </c>
      <c r="D530" s="14" t="str">
        <f t="shared" si="2"/>
        <v/>
      </c>
      <c r="E530" s="14" t="str">
        <f t="shared" si="3"/>
        <v/>
      </c>
      <c r="F530" s="7" t="str">
        <f>IF($A530&lt;&gt;"",MAXIFS(Token!$B:$B,Token!$A:$A,$D530),)</f>
        <v/>
      </c>
    </row>
    <row r="531">
      <c r="A531" s="39" t="str">
        <f>IF(AND($L531*1&gt;=$G$3,$L531*1&lt;=$G$4,$I531*$J531&gt;0,OR($I531&lt;&gt;$I532,$L531-$L532&gt;25),$I531/POW(10,$J531)*MAXIFS(Token!$B:$B,Token!$A:$A,$K531)&gt;0.01),$L531/86400+DATE(1970,1,1)+$G$6,)</f>
        <v/>
      </c>
      <c r="B531" s="27" t="str">
        <f t="shared" si="1"/>
        <v/>
      </c>
      <c r="C531" s="14" t="str">
        <f>IF($A531&lt;&gt;"",MINIFS(Merchant!$A:$A,Merchant!$B:$B,$G$2),)</f>
        <v/>
      </c>
      <c r="D531" s="14" t="str">
        <f t="shared" si="2"/>
        <v/>
      </c>
      <c r="E531" s="14" t="str">
        <f t="shared" si="3"/>
        <v/>
      </c>
      <c r="F531" s="7" t="str">
        <f>IF($A531&lt;&gt;"",MAXIFS(Token!$B:$B,Token!$A:$A,$D531),)</f>
        <v/>
      </c>
    </row>
    <row r="532">
      <c r="A532" s="39" t="str">
        <f>IF(AND($L532*1&gt;=$G$3,$L532*1&lt;=$G$4,$I532*$J532&gt;0,OR($I532&lt;&gt;$I533,$L532-$L533&gt;25),$I532/POW(10,$J532)*MAXIFS(Token!$B:$B,Token!$A:$A,$K532)&gt;0.01),$L532/86400+DATE(1970,1,1)+$G$6,)</f>
        <v/>
      </c>
      <c r="B532" s="27" t="str">
        <f t="shared" si="1"/>
        <v/>
      </c>
      <c r="C532" s="14" t="str">
        <f>IF($A532&lt;&gt;"",MINIFS(Merchant!$A:$A,Merchant!$B:$B,$G$2),)</f>
        <v/>
      </c>
      <c r="D532" s="14" t="str">
        <f t="shared" si="2"/>
        <v/>
      </c>
      <c r="E532" s="14" t="str">
        <f t="shared" si="3"/>
        <v/>
      </c>
      <c r="F532" s="7" t="str">
        <f>IF($A532&lt;&gt;"",MAXIFS(Token!$B:$B,Token!$A:$A,$D532),)</f>
        <v/>
      </c>
    </row>
    <row r="533">
      <c r="A533" s="39" t="str">
        <f>IF(AND($L533*1&gt;=$G$3,$L533*1&lt;=$G$4,$I533*$J533&gt;0,OR($I533&lt;&gt;$I534,$L533-$L534&gt;25),$I533/POW(10,$J533)*MAXIFS(Token!$B:$B,Token!$A:$A,$K533)&gt;0.01),$L533/86400+DATE(1970,1,1)+$G$6,)</f>
        <v/>
      </c>
      <c r="B533" s="27" t="str">
        <f t="shared" si="1"/>
        <v/>
      </c>
      <c r="C533" s="14" t="str">
        <f>IF($A533&lt;&gt;"",MINIFS(Merchant!$A:$A,Merchant!$B:$B,$G$2),)</f>
        <v/>
      </c>
      <c r="D533" s="14" t="str">
        <f t="shared" si="2"/>
        <v/>
      </c>
      <c r="E533" s="14" t="str">
        <f t="shared" si="3"/>
        <v/>
      </c>
      <c r="F533" s="7" t="str">
        <f>IF($A533&lt;&gt;"",MAXIFS(Token!$B:$B,Token!$A:$A,$D533),)</f>
        <v/>
      </c>
    </row>
    <row r="534">
      <c r="A534" s="39" t="str">
        <f>IF(AND($L534*1&gt;=$G$3,$L534*1&lt;=$G$4,$I534*$J534&gt;0,OR($I534&lt;&gt;$I535,$L534-$L535&gt;25),$I534/POW(10,$J534)*MAXIFS(Token!$B:$B,Token!$A:$A,$K534)&gt;0.01),$L534/86400+DATE(1970,1,1)+$G$6,)</f>
        <v/>
      </c>
      <c r="B534" s="27" t="str">
        <f t="shared" si="1"/>
        <v/>
      </c>
      <c r="C534" s="14" t="str">
        <f>IF($A534&lt;&gt;"",MINIFS(Merchant!$A:$A,Merchant!$B:$B,$G$2),)</f>
        <v/>
      </c>
      <c r="D534" s="14" t="str">
        <f t="shared" si="2"/>
        <v/>
      </c>
      <c r="E534" s="14" t="str">
        <f t="shared" si="3"/>
        <v/>
      </c>
      <c r="F534" s="7" t="str">
        <f>IF($A534&lt;&gt;"",MAXIFS(Token!$B:$B,Token!$A:$A,$D534),)</f>
        <v/>
      </c>
    </row>
    <row r="535">
      <c r="A535" s="39" t="str">
        <f>IF(AND($L535*1&gt;=$G$3,$L535*1&lt;=$G$4,$I535*$J535&gt;0,OR($I535&lt;&gt;$I536,$L535-$L536&gt;25),$I535/POW(10,$J535)*MAXIFS(Token!$B:$B,Token!$A:$A,$K535)&gt;0.01),$L535/86400+DATE(1970,1,1)+$G$6,)</f>
        <v/>
      </c>
      <c r="B535" s="27" t="str">
        <f t="shared" si="1"/>
        <v/>
      </c>
      <c r="C535" s="14" t="str">
        <f>IF($A535&lt;&gt;"",MINIFS(Merchant!$A:$A,Merchant!$B:$B,$G$2),)</f>
        <v/>
      </c>
      <c r="D535" s="14" t="str">
        <f t="shared" si="2"/>
        <v/>
      </c>
      <c r="E535" s="14" t="str">
        <f t="shared" si="3"/>
        <v/>
      </c>
      <c r="F535" s="7" t="str">
        <f>IF($A535&lt;&gt;"",MAXIFS(Token!$B:$B,Token!$A:$A,$D535),)</f>
        <v/>
      </c>
    </row>
    <row r="536">
      <c r="A536" s="39" t="str">
        <f>IF(AND($L536*1&gt;=$G$3,$L536*1&lt;=$G$4,$I536*$J536&gt;0,OR($I536&lt;&gt;$I537,$L536-$L537&gt;25),$I536/POW(10,$J536)*MAXIFS(Token!$B:$B,Token!$A:$A,$K536)&gt;0.01),$L536/86400+DATE(1970,1,1)+$G$6,)</f>
        <v/>
      </c>
      <c r="B536" s="27" t="str">
        <f t="shared" si="1"/>
        <v/>
      </c>
      <c r="C536" s="14" t="str">
        <f>IF($A536&lt;&gt;"",MINIFS(Merchant!$A:$A,Merchant!$B:$B,$G$2),)</f>
        <v/>
      </c>
      <c r="D536" s="14" t="str">
        <f t="shared" si="2"/>
        <v/>
      </c>
      <c r="E536" s="14" t="str">
        <f t="shared" si="3"/>
        <v/>
      </c>
      <c r="F536" s="7" t="str">
        <f>IF($A536&lt;&gt;"",MAXIFS(Token!$B:$B,Token!$A:$A,$D536),)</f>
        <v/>
      </c>
    </row>
    <row r="537">
      <c r="A537" s="39" t="str">
        <f>IF(AND($L537*1&gt;=$G$3,$L537*1&lt;=$G$4,$I537*$J537&gt;0,OR($I537&lt;&gt;$I538,$L537-$L538&gt;25),$I537/POW(10,$J537)*MAXIFS(Token!$B:$B,Token!$A:$A,$K537)&gt;0.01),$L537/86400+DATE(1970,1,1)+$G$6,)</f>
        <v/>
      </c>
      <c r="B537" s="27" t="str">
        <f t="shared" si="1"/>
        <v/>
      </c>
      <c r="C537" s="14" t="str">
        <f>IF($A537&lt;&gt;"",MINIFS(Merchant!$A:$A,Merchant!$B:$B,$G$2),)</f>
        <v/>
      </c>
      <c r="D537" s="14" t="str">
        <f t="shared" si="2"/>
        <v/>
      </c>
      <c r="E537" s="14" t="str">
        <f t="shared" si="3"/>
        <v/>
      </c>
      <c r="F537" s="7" t="str">
        <f>IF($A537&lt;&gt;"",MAXIFS(Token!$B:$B,Token!$A:$A,$D537),)</f>
        <v/>
      </c>
    </row>
    <row r="538">
      <c r="A538" s="39" t="str">
        <f>IF(AND($L538*1&gt;=$G$3,$L538*1&lt;=$G$4,$I538*$J538&gt;0,OR($I538&lt;&gt;$I539,$L538-$L539&gt;25),$I538/POW(10,$J538)*MAXIFS(Token!$B:$B,Token!$A:$A,$K538)&gt;0.01),$L538/86400+DATE(1970,1,1)+$G$6,)</f>
        <v/>
      </c>
      <c r="B538" s="27" t="str">
        <f t="shared" si="1"/>
        <v/>
      </c>
      <c r="C538" s="14" t="str">
        <f>IF($A538&lt;&gt;"",MINIFS(Merchant!$A:$A,Merchant!$B:$B,$G$2),)</f>
        <v/>
      </c>
      <c r="D538" s="14" t="str">
        <f t="shared" si="2"/>
        <v/>
      </c>
      <c r="E538" s="14" t="str">
        <f t="shared" si="3"/>
        <v/>
      </c>
      <c r="F538" s="7" t="str">
        <f>IF($A538&lt;&gt;"",MAXIFS(Token!$B:$B,Token!$A:$A,$D538),)</f>
        <v/>
      </c>
    </row>
    <row r="539">
      <c r="A539" s="39" t="str">
        <f>IF(AND($L539*1&gt;=$G$3,$L539*1&lt;=$G$4,$I539*$J539&gt;0,OR($I539&lt;&gt;$I540,$L539-$L540&gt;25),$I539/POW(10,$J539)*MAXIFS(Token!$B:$B,Token!$A:$A,$K539)&gt;0.01),$L539/86400+DATE(1970,1,1)+$G$6,)</f>
        <v/>
      </c>
      <c r="B539" s="27" t="str">
        <f t="shared" si="1"/>
        <v/>
      </c>
      <c r="C539" s="14" t="str">
        <f>IF($A539&lt;&gt;"",MINIFS(Merchant!$A:$A,Merchant!$B:$B,$G$2),)</f>
        <v/>
      </c>
      <c r="D539" s="14" t="str">
        <f t="shared" si="2"/>
        <v/>
      </c>
      <c r="E539" s="14" t="str">
        <f t="shared" si="3"/>
        <v/>
      </c>
      <c r="F539" s="7" t="str">
        <f>IF($A539&lt;&gt;"",MAXIFS(Token!$B:$B,Token!$A:$A,$D539),)</f>
        <v/>
      </c>
    </row>
    <row r="540">
      <c r="A540" s="39" t="str">
        <f>IF(AND($L540*1&gt;=$G$3,$L540*1&lt;=$G$4,$I540*$J540&gt;0,OR($I540&lt;&gt;$I541,$L540-$L541&gt;25),$I540/POW(10,$J540)*MAXIFS(Token!$B:$B,Token!$A:$A,$K540)&gt;0.01),$L540/86400+DATE(1970,1,1)+$G$6,)</f>
        <v/>
      </c>
      <c r="B540" s="27" t="str">
        <f t="shared" si="1"/>
        <v/>
      </c>
      <c r="C540" s="14" t="str">
        <f>IF($A540&lt;&gt;"",MINIFS(Merchant!$A:$A,Merchant!$B:$B,$G$2),)</f>
        <v/>
      </c>
      <c r="D540" s="14" t="str">
        <f t="shared" si="2"/>
        <v/>
      </c>
      <c r="E540" s="14" t="str">
        <f t="shared" si="3"/>
        <v/>
      </c>
      <c r="F540" s="7" t="str">
        <f>IF($A540&lt;&gt;"",MAXIFS(Token!$B:$B,Token!$A:$A,$D540),)</f>
        <v/>
      </c>
    </row>
    <row r="541">
      <c r="A541" s="39" t="str">
        <f>IF(AND($L541*1&gt;=$G$3,$L541*1&lt;=$G$4,$I541*$J541&gt;0,OR($I541&lt;&gt;$I542,$L541-$L542&gt;25),$I541/POW(10,$J541)*MAXIFS(Token!$B:$B,Token!$A:$A,$K541)&gt;0.01),$L541/86400+DATE(1970,1,1)+$G$6,)</f>
        <v/>
      </c>
      <c r="B541" s="27" t="str">
        <f t="shared" si="1"/>
        <v/>
      </c>
      <c r="C541" s="14" t="str">
        <f>IF($A541&lt;&gt;"",MINIFS(Merchant!$A:$A,Merchant!$B:$B,$G$2),)</f>
        <v/>
      </c>
      <c r="D541" s="14" t="str">
        <f t="shared" si="2"/>
        <v/>
      </c>
      <c r="E541" s="14" t="str">
        <f t="shared" si="3"/>
        <v/>
      </c>
      <c r="F541" s="7" t="str">
        <f>IF($A541&lt;&gt;"",MAXIFS(Token!$B:$B,Token!$A:$A,$D541),)</f>
        <v/>
      </c>
    </row>
    <row r="542">
      <c r="A542" s="39" t="str">
        <f>IF(AND($L542*1&gt;=$G$3,$L542*1&lt;=$G$4,$I542*$J542&gt;0,OR($I542&lt;&gt;$I543,$L542-$L543&gt;25),$I542/POW(10,$J542)*MAXIFS(Token!$B:$B,Token!$A:$A,$K542)&gt;0.01),$L542/86400+DATE(1970,1,1)+$G$6,)</f>
        <v/>
      </c>
      <c r="B542" s="27" t="str">
        <f t="shared" si="1"/>
        <v/>
      </c>
      <c r="C542" s="14" t="str">
        <f>IF($A542&lt;&gt;"",MINIFS(Merchant!$A:$A,Merchant!$B:$B,$G$2),)</f>
        <v/>
      </c>
      <c r="D542" s="14" t="str">
        <f t="shared" si="2"/>
        <v/>
      </c>
      <c r="E542" s="14" t="str">
        <f t="shared" si="3"/>
        <v/>
      </c>
      <c r="F542" s="7" t="str">
        <f>IF($A542&lt;&gt;"",MAXIFS(Token!$B:$B,Token!$A:$A,$D542),)</f>
        <v/>
      </c>
    </row>
    <row r="543">
      <c r="A543" s="39" t="str">
        <f>IF(AND($L543*1&gt;=$G$3,$L543*1&lt;=$G$4,$I543*$J543&gt;0,OR($I543&lt;&gt;$I544,$L543-$L544&gt;25),$I543/POW(10,$J543)*MAXIFS(Token!$B:$B,Token!$A:$A,$K543)&gt;0.01),$L543/86400+DATE(1970,1,1)+$G$6,)</f>
        <v/>
      </c>
      <c r="B543" s="27" t="str">
        <f t="shared" si="1"/>
        <v/>
      </c>
      <c r="C543" s="14" t="str">
        <f>IF($A543&lt;&gt;"",MINIFS(Merchant!$A:$A,Merchant!$B:$B,$G$2),)</f>
        <v/>
      </c>
      <c r="D543" s="14" t="str">
        <f t="shared" si="2"/>
        <v/>
      </c>
      <c r="E543" s="14" t="str">
        <f t="shared" si="3"/>
        <v/>
      </c>
      <c r="F543" s="7" t="str">
        <f>IF($A543&lt;&gt;"",MAXIFS(Token!$B:$B,Token!$A:$A,$D543),)</f>
        <v/>
      </c>
    </row>
    <row r="544">
      <c r="A544" s="39" t="str">
        <f>IF(AND($L544*1&gt;=$G$3,$L544*1&lt;=$G$4,$I544*$J544&gt;0,OR($I544&lt;&gt;$I545,$L544-$L545&gt;25),$I544/POW(10,$J544)*MAXIFS(Token!$B:$B,Token!$A:$A,$K544)&gt;0.01),$L544/86400+DATE(1970,1,1)+$G$6,)</f>
        <v/>
      </c>
      <c r="B544" s="27" t="str">
        <f t="shared" si="1"/>
        <v/>
      </c>
      <c r="C544" s="14" t="str">
        <f>IF($A544&lt;&gt;"",MINIFS(Merchant!$A:$A,Merchant!$B:$B,$G$2),)</f>
        <v/>
      </c>
      <c r="D544" s="14" t="str">
        <f t="shared" si="2"/>
        <v/>
      </c>
      <c r="E544" s="14" t="str">
        <f t="shared" si="3"/>
        <v/>
      </c>
      <c r="F544" s="7" t="str">
        <f>IF($A544&lt;&gt;"",MAXIFS(Token!$B:$B,Token!$A:$A,$D544),)</f>
        <v/>
      </c>
    </row>
    <row r="545">
      <c r="A545" s="39" t="str">
        <f>IF(AND($L545*1&gt;=$G$3,$L545*1&lt;=$G$4,$I545*$J545&gt;0,OR($I545&lt;&gt;$I546,$L545-$L546&gt;25),$I545/POW(10,$J545)*MAXIFS(Token!$B:$B,Token!$A:$A,$K545)&gt;0.01),$L545/86400+DATE(1970,1,1)+$G$6,)</f>
        <v/>
      </c>
      <c r="B545" s="27" t="str">
        <f t="shared" si="1"/>
        <v/>
      </c>
      <c r="C545" s="14" t="str">
        <f>IF($A545&lt;&gt;"",MINIFS(Merchant!$A:$A,Merchant!$B:$B,$G$2),)</f>
        <v/>
      </c>
      <c r="D545" s="14" t="str">
        <f t="shared" si="2"/>
        <v/>
      </c>
      <c r="E545" s="14" t="str">
        <f t="shared" si="3"/>
        <v/>
      </c>
      <c r="F545" s="7" t="str">
        <f>IF($A545&lt;&gt;"",MAXIFS(Token!$B:$B,Token!$A:$A,$D545),)</f>
        <v/>
      </c>
    </row>
    <row r="546">
      <c r="A546" s="39" t="str">
        <f>IF(AND($L546*1&gt;=$G$3,$L546*1&lt;=$G$4,$I546*$J546&gt;0,OR($I546&lt;&gt;$I547,$L546-$L547&gt;25),$I546/POW(10,$J546)*MAXIFS(Token!$B:$B,Token!$A:$A,$K546)&gt;0.01),$L546/86400+DATE(1970,1,1)+$G$6,)</f>
        <v/>
      </c>
      <c r="B546" s="27" t="str">
        <f t="shared" si="1"/>
        <v/>
      </c>
      <c r="C546" s="14" t="str">
        <f>IF($A546&lt;&gt;"",MINIFS(Merchant!$A:$A,Merchant!$B:$B,$G$2),)</f>
        <v/>
      </c>
      <c r="D546" s="14" t="str">
        <f t="shared" si="2"/>
        <v/>
      </c>
      <c r="E546" s="14" t="str">
        <f t="shared" si="3"/>
        <v/>
      </c>
      <c r="F546" s="7" t="str">
        <f>IF($A546&lt;&gt;"",MAXIFS(Token!$B:$B,Token!$A:$A,$D546),)</f>
        <v/>
      </c>
    </row>
    <row r="547">
      <c r="A547" s="39" t="str">
        <f>IF(AND($L547*1&gt;=$G$3,$L547*1&lt;=$G$4,$I547*$J547&gt;0,OR($I547&lt;&gt;$I548,$L547-$L548&gt;25),$I547/POW(10,$J547)*MAXIFS(Token!$B:$B,Token!$A:$A,$K547)&gt;0.01),$L547/86400+DATE(1970,1,1)+$G$6,)</f>
        <v/>
      </c>
      <c r="B547" s="27" t="str">
        <f t="shared" si="1"/>
        <v/>
      </c>
      <c r="C547" s="14" t="str">
        <f>IF($A547&lt;&gt;"",MINIFS(Merchant!$A:$A,Merchant!$B:$B,$G$2),)</f>
        <v/>
      </c>
      <c r="D547" s="14" t="str">
        <f t="shared" si="2"/>
        <v/>
      </c>
      <c r="E547" s="14" t="str">
        <f t="shared" si="3"/>
        <v/>
      </c>
      <c r="F547" s="7" t="str">
        <f>IF($A547&lt;&gt;"",MAXIFS(Token!$B:$B,Token!$A:$A,$D547),)</f>
        <v/>
      </c>
    </row>
    <row r="548">
      <c r="A548" s="39" t="str">
        <f>IF(AND($L548*1&gt;=$G$3,$L548*1&lt;=$G$4,$I548*$J548&gt;0,OR($I548&lt;&gt;$I549,$L548-$L549&gt;25),$I548/POW(10,$J548)*MAXIFS(Token!$B:$B,Token!$A:$A,$K548)&gt;0.01),$L548/86400+DATE(1970,1,1)+$G$6,)</f>
        <v/>
      </c>
      <c r="B548" s="27" t="str">
        <f t="shared" si="1"/>
        <v/>
      </c>
      <c r="C548" s="14" t="str">
        <f>IF($A548&lt;&gt;"",MINIFS(Merchant!$A:$A,Merchant!$B:$B,$G$2),)</f>
        <v/>
      </c>
      <c r="D548" s="14" t="str">
        <f t="shared" si="2"/>
        <v/>
      </c>
      <c r="E548" s="14" t="str">
        <f t="shared" si="3"/>
        <v/>
      </c>
      <c r="F548" s="7" t="str">
        <f>IF($A548&lt;&gt;"",MAXIFS(Token!$B:$B,Token!$A:$A,$D548),)</f>
        <v/>
      </c>
    </row>
    <row r="549">
      <c r="A549" s="39" t="str">
        <f>IF(AND($L549*1&gt;=$G$3,$L549*1&lt;=$G$4,$I549*$J549&gt;0,OR($I549&lt;&gt;$I550,$L549-$L550&gt;25),$I549/POW(10,$J549)*MAXIFS(Token!$B:$B,Token!$A:$A,$K549)&gt;0.01),$L549/86400+DATE(1970,1,1)+$G$6,)</f>
        <v/>
      </c>
      <c r="B549" s="27" t="str">
        <f t="shared" si="1"/>
        <v/>
      </c>
      <c r="C549" s="14" t="str">
        <f>IF($A549&lt;&gt;"",MINIFS(Merchant!$A:$A,Merchant!$B:$B,$G$2),)</f>
        <v/>
      </c>
      <c r="D549" s="14" t="str">
        <f t="shared" si="2"/>
        <v/>
      </c>
      <c r="E549" s="14" t="str">
        <f t="shared" si="3"/>
        <v/>
      </c>
      <c r="F549" s="7" t="str">
        <f>IF($A549&lt;&gt;"",MAXIFS(Token!$B:$B,Token!$A:$A,$D549),)</f>
        <v/>
      </c>
    </row>
    <row r="550">
      <c r="A550" s="39" t="str">
        <f>IF(AND($L550*1&gt;=$G$3,$L550*1&lt;=$G$4,$I550*$J550&gt;0,OR($I550&lt;&gt;$I551,$L550-$L551&gt;25),$I550/POW(10,$J550)*MAXIFS(Token!$B:$B,Token!$A:$A,$K550)&gt;0.01),$L550/86400+DATE(1970,1,1)+$G$6,)</f>
        <v/>
      </c>
      <c r="B550" s="27" t="str">
        <f t="shared" si="1"/>
        <v/>
      </c>
      <c r="C550" s="14" t="str">
        <f>IF($A550&lt;&gt;"",MINIFS(Merchant!$A:$A,Merchant!$B:$B,$G$2),)</f>
        <v/>
      </c>
      <c r="D550" s="14" t="str">
        <f t="shared" si="2"/>
        <v/>
      </c>
      <c r="E550" s="14" t="str">
        <f t="shared" si="3"/>
        <v/>
      </c>
      <c r="F550" s="7" t="str">
        <f>IF($A550&lt;&gt;"",MAXIFS(Token!$B:$B,Token!$A:$A,$D550),)</f>
        <v/>
      </c>
    </row>
    <row r="551">
      <c r="A551" s="39" t="str">
        <f>IF(AND($L551*1&gt;=$G$3,$L551*1&lt;=$G$4,$I551*$J551&gt;0,OR($I551&lt;&gt;$I552,$L551-$L552&gt;25),$I551/POW(10,$J551)*MAXIFS(Token!$B:$B,Token!$A:$A,$K551)&gt;0.01),$L551/86400+DATE(1970,1,1)+$G$6,)</f>
        <v/>
      </c>
      <c r="B551" s="27" t="str">
        <f t="shared" si="1"/>
        <v/>
      </c>
      <c r="C551" s="14" t="str">
        <f>IF($A551&lt;&gt;"",MINIFS(Merchant!$A:$A,Merchant!$B:$B,$G$2),)</f>
        <v/>
      </c>
      <c r="D551" s="14" t="str">
        <f t="shared" si="2"/>
        <v/>
      </c>
      <c r="E551" s="14" t="str">
        <f t="shared" si="3"/>
        <v/>
      </c>
      <c r="F551" s="7" t="str">
        <f>IF($A551&lt;&gt;"",MAXIFS(Token!$B:$B,Token!$A:$A,$D551),)</f>
        <v/>
      </c>
    </row>
    <row r="552">
      <c r="A552" s="39" t="str">
        <f>IF(AND($L552*1&gt;=$G$3,$L552*1&lt;=$G$4,$I552*$J552&gt;0,OR($I552&lt;&gt;$I553,$L552-$L553&gt;25),$I552/POW(10,$J552)*MAXIFS(Token!$B:$B,Token!$A:$A,$K552)&gt;0.01),$L552/86400+DATE(1970,1,1)+$G$6,)</f>
        <v/>
      </c>
      <c r="B552" s="27" t="str">
        <f t="shared" si="1"/>
        <v/>
      </c>
      <c r="C552" s="14" t="str">
        <f>IF($A552&lt;&gt;"",MINIFS(Merchant!$A:$A,Merchant!$B:$B,$G$2),)</f>
        <v/>
      </c>
      <c r="D552" s="14" t="str">
        <f t="shared" si="2"/>
        <v/>
      </c>
      <c r="E552" s="14" t="str">
        <f t="shared" si="3"/>
        <v/>
      </c>
      <c r="F552" s="7" t="str">
        <f>IF($A552&lt;&gt;"",MAXIFS(Token!$B:$B,Token!$A:$A,$D552),)</f>
        <v/>
      </c>
    </row>
    <row r="553">
      <c r="A553" s="39" t="str">
        <f>IF(AND($L553*1&gt;=$G$3,$L553*1&lt;=$G$4,$I553*$J553&gt;0,OR($I553&lt;&gt;$I554,$L553-$L554&gt;25),$I553/POW(10,$J553)*MAXIFS(Token!$B:$B,Token!$A:$A,$K553)&gt;0.01),$L553/86400+DATE(1970,1,1)+$G$6,)</f>
        <v/>
      </c>
      <c r="B553" s="27" t="str">
        <f t="shared" si="1"/>
        <v/>
      </c>
      <c r="C553" s="14" t="str">
        <f>IF($A553&lt;&gt;"",MINIFS(Merchant!$A:$A,Merchant!$B:$B,$G$2),)</f>
        <v/>
      </c>
      <c r="D553" s="14" t="str">
        <f t="shared" si="2"/>
        <v/>
      </c>
      <c r="E553" s="14" t="str">
        <f t="shared" si="3"/>
        <v/>
      </c>
      <c r="F553" s="7" t="str">
        <f>IF($A553&lt;&gt;"",MAXIFS(Token!$B:$B,Token!$A:$A,$D553),)</f>
        <v/>
      </c>
    </row>
    <row r="554">
      <c r="A554" s="39" t="str">
        <f>IF(AND($L554*1&gt;=$G$3,$L554*1&lt;=$G$4,$I554*$J554&gt;0,OR($I554&lt;&gt;$I555,$L554-$L555&gt;25),$I554/POW(10,$J554)*MAXIFS(Token!$B:$B,Token!$A:$A,$K554)&gt;0.01),$L554/86400+DATE(1970,1,1)+$G$6,)</f>
        <v/>
      </c>
      <c r="B554" s="27" t="str">
        <f t="shared" si="1"/>
        <v/>
      </c>
      <c r="C554" s="14" t="str">
        <f>IF($A554&lt;&gt;"",MINIFS(Merchant!$A:$A,Merchant!$B:$B,$G$2),)</f>
        <v/>
      </c>
      <c r="D554" s="14" t="str">
        <f t="shared" si="2"/>
        <v/>
      </c>
      <c r="E554" s="14" t="str">
        <f t="shared" si="3"/>
        <v/>
      </c>
      <c r="F554" s="7" t="str">
        <f>IF($A554&lt;&gt;"",MAXIFS(Token!$B:$B,Token!$A:$A,$D554),)</f>
        <v/>
      </c>
    </row>
    <row r="555">
      <c r="A555" s="39" t="str">
        <f>IF(AND($L555*1&gt;=$G$3,$L555*1&lt;=$G$4,$I555*$J555&gt;0,OR($I555&lt;&gt;$I556,$L555-$L556&gt;25),$I555/POW(10,$J555)*MAXIFS(Token!$B:$B,Token!$A:$A,$K555)&gt;0.01),$L555/86400+DATE(1970,1,1)+$G$6,)</f>
        <v/>
      </c>
      <c r="B555" s="27" t="str">
        <f t="shared" si="1"/>
        <v/>
      </c>
      <c r="C555" s="14" t="str">
        <f>IF($A555&lt;&gt;"",MINIFS(Merchant!$A:$A,Merchant!$B:$B,$G$2),)</f>
        <v/>
      </c>
      <c r="D555" s="14" t="str">
        <f t="shared" si="2"/>
        <v/>
      </c>
      <c r="E555" s="14" t="str">
        <f t="shared" si="3"/>
        <v/>
      </c>
      <c r="F555" s="7" t="str">
        <f>IF($A555&lt;&gt;"",MAXIFS(Token!$B:$B,Token!$A:$A,$D555),)</f>
        <v/>
      </c>
    </row>
    <row r="556">
      <c r="A556" s="39" t="str">
        <f>IF(AND($L556*1&gt;=$G$3,$L556*1&lt;=$G$4,$I556*$J556&gt;0,OR($I556&lt;&gt;$I557,$L556-$L557&gt;25),$I556/POW(10,$J556)*MAXIFS(Token!$B:$B,Token!$A:$A,$K556)&gt;0.01),$L556/86400+DATE(1970,1,1)+$G$6,)</f>
        <v/>
      </c>
      <c r="B556" s="27" t="str">
        <f t="shared" si="1"/>
        <v/>
      </c>
      <c r="C556" s="14" t="str">
        <f>IF($A556&lt;&gt;"",MINIFS(Merchant!$A:$A,Merchant!$B:$B,$G$2),)</f>
        <v/>
      </c>
      <c r="D556" s="14" t="str">
        <f t="shared" si="2"/>
        <v/>
      </c>
      <c r="E556" s="14" t="str">
        <f t="shared" si="3"/>
        <v/>
      </c>
      <c r="F556" s="7" t="str">
        <f>IF($A556&lt;&gt;"",MAXIFS(Token!$B:$B,Token!$A:$A,$D556),)</f>
        <v/>
      </c>
    </row>
    <row r="557">
      <c r="A557" s="39" t="str">
        <f>IF(AND($L557*1&gt;=$G$3,$L557*1&lt;=$G$4,$I557*$J557&gt;0,OR($I557&lt;&gt;$I558,$L557-$L558&gt;25),$I557/POW(10,$J557)*MAXIFS(Token!$B:$B,Token!$A:$A,$K557)&gt;0.01),$L557/86400+DATE(1970,1,1)+$G$6,)</f>
        <v/>
      </c>
      <c r="B557" s="27" t="str">
        <f t="shared" si="1"/>
        <v/>
      </c>
      <c r="C557" s="14" t="str">
        <f>IF($A557&lt;&gt;"",MINIFS(Merchant!$A:$A,Merchant!$B:$B,$G$2),)</f>
        <v/>
      </c>
      <c r="D557" s="14" t="str">
        <f t="shared" si="2"/>
        <v/>
      </c>
      <c r="E557" s="14" t="str">
        <f t="shared" si="3"/>
        <v/>
      </c>
      <c r="F557" s="7" t="str">
        <f>IF($A557&lt;&gt;"",MAXIFS(Token!$B:$B,Token!$A:$A,$D557),)</f>
        <v/>
      </c>
    </row>
    <row r="558">
      <c r="A558" s="39" t="str">
        <f>IF(AND($L558*1&gt;=$G$3,$L558*1&lt;=$G$4,$I558*$J558&gt;0,OR($I558&lt;&gt;$I559,$L558-$L559&gt;25),$I558/POW(10,$J558)*MAXIFS(Token!$B:$B,Token!$A:$A,$K558)&gt;0.01),$L558/86400+DATE(1970,1,1)+$G$6,)</f>
        <v/>
      </c>
      <c r="B558" s="27" t="str">
        <f t="shared" si="1"/>
        <v/>
      </c>
      <c r="C558" s="14" t="str">
        <f>IF($A558&lt;&gt;"",MINIFS(Merchant!$A:$A,Merchant!$B:$B,$G$2),)</f>
        <v/>
      </c>
      <c r="D558" s="14" t="str">
        <f t="shared" si="2"/>
        <v/>
      </c>
      <c r="E558" s="14" t="str">
        <f t="shared" si="3"/>
        <v/>
      </c>
      <c r="F558" s="7" t="str">
        <f>IF($A558&lt;&gt;"",MAXIFS(Token!$B:$B,Token!$A:$A,$D558),)</f>
        <v/>
      </c>
    </row>
    <row r="559">
      <c r="A559" s="39" t="str">
        <f>IF(AND($L559*1&gt;=$G$3,$L559*1&lt;=$G$4,$I559*$J559&gt;0,OR($I559&lt;&gt;$I560,$L559-$L560&gt;25),$I559/POW(10,$J559)*MAXIFS(Token!$B:$B,Token!$A:$A,$K559)&gt;0.01),$L559/86400+DATE(1970,1,1)+$G$6,)</f>
        <v/>
      </c>
      <c r="B559" s="27" t="str">
        <f t="shared" si="1"/>
        <v/>
      </c>
      <c r="C559" s="14" t="str">
        <f>IF($A559&lt;&gt;"",MINIFS(Merchant!$A:$A,Merchant!$B:$B,$G$2),)</f>
        <v/>
      </c>
      <c r="D559" s="14" t="str">
        <f t="shared" si="2"/>
        <v/>
      </c>
      <c r="E559" s="14" t="str">
        <f t="shared" si="3"/>
        <v/>
      </c>
      <c r="F559" s="7" t="str">
        <f>IF($A559&lt;&gt;"",MAXIFS(Token!$B:$B,Token!$A:$A,$D559),)</f>
        <v/>
      </c>
    </row>
    <row r="560">
      <c r="A560" s="39" t="str">
        <f>IF(AND($L560*1&gt;=$G$3,$L560*1&lt;=$G$4,$I560*$J560&gt;0,OR($I560&lt;&gt;$I561,$L560-$L561&gt;25),$I560/POW(10,$J560)*MAXIFS(Token!$B:$B,Token!$A:$A,$K560)&gt;0.01),$L560/86400+DATE(1970,1,1)+$G$6,)</f>
        <v/>
      </c>
      <c r="B560" s="27" t="str">
        <f t="shared" si="1"/>
        <v/>
      </c>
      <c r="C560" s="14" t="str">
        <f>IF($A560&lt;&gt;"",MINIFS(Merchant!$A:$A,Merchant!$B:$B,$G$2),)</f>
        <v/>
      </c>
      <c r="D560" s="14" t="str">
        <f t="shared" si="2"/>
        <v/>
      </c>
      <c r="E560" s="14" t="str">
        <f t="shared" si="3"/>
        <v/>
      </c>
      <c r="F560" s="7" t="str">
        <f>IF($A560&lt;&gt;"",MAXIFS(Token!$B:$B,Token!$A:$A,$D560),)</f>
        <v/>
      </c>
    </row>
    <row r="561">
      <c r="A561" s="39" t="str">
        <f>IF(AND($L561*1&gt;=$G$3,$L561*1&lt;=$G$4,$I561*$J561&gt;0,OR($I561&lt;&gt;$I562,$L561-$L562&gt;25),$I561/POW(10,$J561)*MAXIFS(Token!$B:$B,Token!$A:$A,$K561)&gt;0.01),$L561/86400+DATE(1970,1,1)+$G$6,)</f>
        <v/>
      </c>
      <c r="B561" s="27" t="str">
        <f t="shared" si="1"/>
        <v/>
      </c>
      <c r="C561" s="14" t="str">
        <f>IF($A561&lt;&gt;"",MINIFS(Merchant!$A:$A,Merchant!$B:$B,$G$2),)</f>
        <v/>
      </c>
      <c r="D561" s="14" t="str">
        <f t="shared" si="2"/>
        <v/>
      </c>
      <c r="E561" s="14" t="str">
        <f t="shared" si="3"/>
        <v/>
      </c>
      <c r="F561" s="7" t="str">
        <f>IF($A561&lt;&gt;"",MAXIFS(Token!$B:$B,Token!$A:$A,$D561),)</f>
        <v/>
      </c>
    </row>
    <row r="562">
      <c r="A562" s="39" t="str">
        <f>IF(AND($L562*1&gt;=$G$3,$L562*1&lt;=$G$4,$I562*$J562&gt;0,OR($I562&lt;&gt;$I563,$L562-$L563&gt;25),$I562/POW(10,$J562)*MAXIFS(Token!$B:$B,Token!$A:$A,$K562)&gt;0.01),$L562/86400+DATE(1970,1,1)+$G$6,)</f>
        <v/>
      </c>
      <c r="B562" s="27" t="str">
        <f t="shared" si="1"/>
        <v/>
      </c>
      <c r="C562" s="14" t="str">
        <f>IF($A562&lt;&gt;"",MINIFS(Merchant!$A:$A,Merchant!$B:$B,$G$2),)</f>
        <v/>
      </c>
      <c r="D562" s="14" t="str">
        <f t="shared" si="2"/>
        <v/>
      </c>
      <c r="E562" s="14" t="str">
        <f t="shared" si="3"/>
        <v/>
      </c>
      <c r="F562" s="7" t="str">
        <f>IF($A562&lt;&gt;"",MAXIFS(Token!$B:$B,Token!$A:$A,$D562),)</f>
        <v/>
      </c>
    </row>
    <row r="563">
      <c r="A563" s="39" t="str">
        <f>IF(AND($L563*1&gt;=$G$3,$L563*1&lt;=$G$4,$I563*$J563&gt;0,OR($I563&lt;&gt;$I564,$L563-$L564&gt;25),$I563/POW(10,$J563)*MAXIFS(Token!$B:$B,Token!$A:$A,$K563)&gt;0.01),$L563/86400+DATE(1970,1,1)+$G$6,)</f>
        <v/>
      </c>
      <c r="B563" s="27" t="str">
        <f t="shared" si="1"/>
        <v/>
      </c>
      <c r="C563" s="14" t="str">
        <f>IF($A563&lt;&gt;"",MINIFS(Merchant!$A:$A,Merchant!$B:$B,$G$2),)</f>
        <v/>
      </c>
      <c r="D563" s="14" t="str">
        <f t="shared" si="2"/>
        <v/>
      </c>
      <c r="E563" s="14" t="str">
        <f t="shared" si="3"/>
        <v/>
      </c>
      <c r="F563" s="7" t="str">
        <f>IF($A563&lt;&gt;"",MAXIFS(Token!$B:$B,Token!$A:$A,$D563),)</f>
        <v/>
      </c>
    </row>
    <row r="564">
      <c r="A564" s="39" t="str">
        <f>IF(AND($L564*1&gt;=$G$3,$L564*1&lt;=$G$4,$I564*$J564&gt;0,OR($I564&lt;&gt;$I565,$L564-$L565&gt;25),$I564/POW(10,$J564)*MAXIFS(Token!$B:$B,Token!$A:$A,$K564)&gt;0.01),$L564/86400+DATE(1970,1,1)+$G$6,)</f>
        <v/>
      </c>
      <c r="B564" s="27" t="str">
        <f t="shared" si="1"/>
        <v/>
      </c>
      <c r="C564" s="14" t="str">
        <f>IF($A564&lt;&gt;"",MINIFS(Merchant!$A:$A,Merchant!$B:$B,$G$2),)</f>
        <v/>
      </c>
      <c r="D564" s="14" t="str">
        <f t="shared" si="2"/>
        <v/>
      </c>
      <c r="E564" s="14" t="str">
        <f t="shared" si="3"/>
        <v/>
      </c>
      <c r="F564" s="7" t="str">
        <f>IF($A564&lt;&gt;"",MAXIFS(Token!$B:$B,Token!$A:$A,$D564),)</f>
        <v/>
      </c>
    </row>
    <row r="565">
      <c r="A565" s="39" t="str">
        <f>IF(AND($L565*1&gt;=$G$3,$L565*1&lt;=$G$4,$I565*$J565&gt;0,OR($I565&lt;&gt;$I566,$L565-$L566&gt;25),$I565/POW(10,$J565)*MAXIFS(Token!$B:$B,Token!$A:$A,$K565)&gt;0.01),$L565/86400+DATE(1970,1,1)+$G$6,)</f>
        <v/>
      </c>
      <c r="B565" s="27" t="str">
        <f t="shared" si="1"/>
        <v/>
      </c>
      <c r="C565" s="14" t="str">
        <f>IF($A565&lt;&gt;"",MINIFS(Merchant!$A:$A,Merchant!$B:$B,$G$2),)</f>
        <v/>
      </c>
      <c r="D565" s="14" t="str">
        <f t="shared" si="2"/>
        <v/>
      </c>
      <c r="E565" s="14" t="str">
        <f t="shared" si="3"/>
        <v/>
      </c>
      <c r="F565" s="7" t="str">
        <f>IF($A565&lt;&gt;"",MAXIFS(Token!$B:$B,Token!$A:$A,$D565),)</f>
        <v/>
      </c>
    </row>
    <row r="566">
      <c r="A566" s="39" t="str">
        <f>IF(AND($L566*1&gt;=$G$3,$L566*1&lt;=$G$4,$I566*$J566&gt;0,OR($I566&lt;&gt;$I567,$L566-$L567&gt;25),$I566/POW(10,$J566)*MAXIFS(Token!$B:$B,Token!$A:$A,$K566)&gt;0.01),$L566/86400+DATE(1970,1,1)+$G$6,)</f>
        <v/>
      </c>
      <c r="B566" s="27" t="str">
        <f t="shared" si="1"/>
        <v/>
      </c>
      <c r="C566" s="14" t="str">
        <f>IF($A566&lt;&gt;"",MINIFS(Merchant!$A:$A,Merchant!$B:$B,$G$2),)</f>
        <v/>
      </c>
      <c r="D566" s="14" t="str">
        <f t="shared" si="2"/>
        <v/>
      </c>
      <c r="E566" s="14" t="str">
        <f t="shared" si="3"/>
        <v/>
      </c>
      <c r="F566" s="7" t="str">
        <f>IF($A566&lt;&gt;"",MAXIFS(Token!$B:$B,Token!$A:$A,$D566),)</f>
        <v/>
      </c>
    </row>
    <row r="567">
      <c r="A567" s="39" t="str">
        <f>IF(AND($L567*1&gt;=$G$3,$L567*1&lt;=$G$4,$I567*$J567&gt;0,OR($I567&lt;&gt;$I568,$L567-$L568&gt;25),$I567/POW(10,$J567)*MAXIFS(Token!$B:$B,Token!$A:$A,$K567)&gt;0.01),$L567/86400+DATE(1970,1,1)+$G$6,)</f>
        <v/>
      </c>
      <c r="B567" s="27" t="str">
        <f t="shared" si="1"/>
        <v/>
      </c>
      <c r="C567" s="14" t="str">
        <f>IF($A567&lt;&gt;"",MINIFS(Merchant!$A:$A,Merchant!$B:$B,$G$2),)</f>
        <v/>
      </c>
      <c r="D567" s="14" t="str">
        <f t="shared" si="2"/>
        <v/>
      </c>
      <c r="E567" s="14" t="str">
        <f t="shared" si="3"/>
        <v/>
      </c>
      <c r="F567" s="7" t="str">
        <f>IF($A567&lt;&gt;"",MAXIFS(Token!$B:$B,Token!$A:$A,$D567),)</f>
        <v/>
      </c>
    </row>
    <row r="568">
      <c r="A568" s="39" t="str">
        <f>IF(AND($L568*1&gt;=$G$3,$L568*1&lt;=$G$4,$I568*$J568&gt;0,OR($I568&lt;&gt;$I569,$L568-$L569&gt;25),$I568/POW(10,$J568)*MAXIFS(Token!$B:$B,Token!$A:$A,$K568)&gt;0.01),$L568/86400+DATE(1970,1,1)+$G$6,)</f>
        <v/>
      </c>
      <c r="B568" s="27" t="str">
        <f t="shared" si="1"/>
        <v/>
      </c>
      <c r="C568" s="14" t="str">
        <f>IF($A568&lt;&gt;"",MINIFS(Merchant!$A:$A,Merchant!$B:$B,$G$2),)</f>
        <v/>
      </c>
      <c r="D568" s="14" t="str">
        <f t="shared" si="2"/>
        <v/>
      </c>
      <c r="E568" s="14" t="str">
        <f t="shared" si="3"/>
        <v/>
      </c>
      <c r="F568" s="7" t="str">
        <f>IF($A568&lt;&gt;"",MAXIFS(Token!$B:$B,Token!$A:$A,$D568),)</f>
        <v/>
      </c>
    </row>
    <row r="569">
      <c r="A569" s="39" t="str">
        <f>IF(AND($L569*1&gt;=$G$3,$L569*1&lt;=$G$4,$I569*$J569&gt;0,OR($I569&lt;&gt;$I570,$L569-$L570&gt;25),$I569/POW(10,$J569)*MAXIFS(Token!$B:$B,Token!$A:$A,$K569)&gt;0.01),$L569/86400+DATE(1970,1,1)+$G$6,)</f>
        <v/>
      </c>
      <c r="B569" s="27" t="str">
        <f t="shared" si="1"/>
        <v/>
      </c>
      <c r="C569" s="14" t="str">
        <f>IF($A569&lt;&gt;"",MINIFS(Merchant!$A:$A,Merchant!$B:$B,$G$2),)</f>
        <v/>
      </c>
      <c r="D569" s="14" t="str">
        <f t="shared" si="2"/>
        <v/>
      </c>
      <c r="E569" s="14" t="str">
        <f t="shared" si="3"/>
        <v/>
      </c>
      <c r="F569" s="7" t="str">
        <f>IF($A569&lt;&gt;"",MAXIFS(Token!$B:$B,Token!$A:$A,$D569),)</f>
        <v/>
      </c>
    </row>
    <row r="570">
      <c r="A570" s="39" t="str">
        <f>IF(AND($L570*1&gt;=$G$3,$L570*1&lt;=$G$4,$I570*$J570&gt;0,OR($I570&lt;&gt;$I571,$L570-$L571&gt;25),$I570/POW(10,$J570)*MAXIFS(Token!$B:$B,Token!$A:$A,$K570)&gt;0.01),$L570/86400+DATE(1970,1,1)+$G$6,)</f>
        <v/>
      </c>
      <c r="B570" s="27" t="str">
        <f t="shared" si="1"/>
        <v/>
      </c>
      <c r="C570" s="14" t="str">
        <f>IF($A570&lt;&gt;"",MINIFS(Merchant!$A:$A,Merchant!$B:$B,$G$2),)</f>
        <v/>
      </c>
      <c r="D570" s="14" t="str">
        <f t="shared" si="2"/>
        <v/>
      </c>
      <c r="E570" s="14" t="str">
        <f t="shared" si="3"/>
        <v/>
      </c>
      <c r="F570" s="7" t="str">
        <f>IF($A570&lt;&gt;"",MAXIFS(Token!$B:$B,Token!$A:$A,$D570),)</f>
        <v/>
      </c>
    </row>
    <row r="571">
      <c r="A571" s="39" t="str">
        <f>IF(AND($L571*1&gt;=$G$3,$L571*1&lt;=$G$4,$I571*$J571&gt;0,OR($I571&lt;&gt;$I572,$L571-$L572&gt;25),$I571/POW(10,$J571)*MAXIFS(Token!$B:$B,Token!$A:$A,$K571)&gt;0.01),$L571/86400+DATE(1970,1,1)+$G$6,)</f>
        <v/>
      </c>
      <c r="B571" s="27" t="str">
        <f t="shared" si="1"/>
        <v/>
      </c>
      <c r="C571" s="14" t="str">
        <f>IF($A571&lt;&gt;"",MINIFS(Merchant!$A:$A,Merchant!$B:$B,$G$2),)</f>
        <v/>
      </c>
      <c r="D571" s="14" t="str">
        <f t="shared" si="2"/>
        <v/>
      </c>
      <c r="E571" s="14" t="str">
        <f t="shared" si="3"/>
        <v/>
      </c>
      <c r="F571" s="7" t="str">
        <f>IF($A571&lt;&gt;"",MAXIFS(Token!$B:$B,Token!$A:$A,$D571),)</f>
        <v/>
      </c>
    </row>
    <row r="572">
      <c r="A572" s="39" t="str">
        <f>IF(AND($L572*1&gt;=$G$3,$L572*1&lt;=$G$4,$I572*$J572&gt;0,OR($I572&lt;&gt;$I573,$L572-$L573&gt;25),$I572/POW(10,$J572)*MAXIFS(Token!$B:$B,Token!$A:$A,$K572)&gt;0.01),$L572/86400+DATE(1970,1,1)+$G$6,)</f>
        <v/>
      </c>
      <c r="B572" s="27" t="str">
        <f t="shared" si="1"/>
        <v/>
      </c>
      <c r="C572" s="14" t="str">
        <f>IF($A572&lt;&gt;"",MINIFS(Merchant!$A:$A,Merchant!$B:$B,$G$2),)</f>
        <v/>
      </c>
      <c r="D572" s="14" t="str">
        <f t="shared" si="2"/>
        <v/>
      </c>
      <c r="E572" s="14" t="str">
        <f t="shared" si="3"/>
        <v/>
      </c>
      <c r="F572" s="7" t="str">
        <f>IF($A572&lt;&gt;"",MAXIFS(Token!$B:$B,Token!$A:$A,$D572),)</f>
        <v/>
      </c>
    </row>
    <row r="573">
      <c r="A573" s="39" t="str">
        <f>IF(AND($L573*1&gt;=$G$3,$L573*1&lt;=$G$4,$I573*$J573&gt;0,OR($I573&lt;&gt;$I574,$L573-$L574&gt;25),$I573/POW(10,$J573)*MAXIFS(Token!$B:$B,Token!$A:$A,$K573)&gt;0.01),$L573/86400+DATE(1970,1,1)+$G$6,)</f>
        <v/>
      </c>
      <c r="B573" s="27" t="str">
        <f t="shared" si="1"/>
        <v/>
      </c>
      <c r="C573" s="14" t="str">
        <f>IF($A573&lt;&gt;"",MINIFS(Merchant!$A:$A,Merchant!$B:$B,$G$2),)</f>
        <v/>
      </c>
      <c r="D573" s="14" t="str">
        <f t="shared" si="2"/>
        <v/>
      </c>
      <c r="E573" s="14" t="str">
        <f t="shared" si="3"/>
        <v/>
      </c>
      <c r="F573" s="7" t="str">
        <f>IF($A573&lt;&gt;"",MAXIFS(Token!$B:$B,Token!$A:$A,$D573),)</f>
        <v/>
      </c>
    </row>
    <row r="574">
      <c r="A574" s="39" t="str">
        <f>IF(AND($L574*1&gt;=$G$3,$L574*1&lt;=$G$4,$I574*$J574&gt;0,OR($I574&lt;&gt;$I575,$L574-$L575&gt;25),$I574/POW(10,$J574)*MAXIFS(Token!$B:$B,Token!$A:$A,$K574)&gt;0.01),$L574/86400+DATE(1970,1,1)+$G$6,)</f>
        <v/>
      </c>
      <c r="B574" s="27" t="str">
        <f t="shared" si="1"/>
        <v/>
      </c>
      <c r="C574" s="14" t="str">
        <f>IF($A574&lt;&gt;"",MINIFS(Merchant!$A:$A,Merchant!$B:$B,$G$2),)</f>
        <v/>
      </c>
      <c r="D574" s="14" t="str">
        <f t="shared" si="2"/>
        <v/>
      </c>
      <c r="E574" s="14" t="str">
        <f t="shared" si="3"/>
        <v/>
      </c>
      <c r="F574" s="7" t="str">
        <f>IF($A574&lt;&gt;"",MAXIFS(Token!$B:$B,Token!$A:$A,$D574),)</f>
        <v/>
      </c>
    </row>
    <row r="575">
      <c r="A575" s="39" t="str">
        <f>IF(AND($L575*1&gt;=$G$3,$L575*1&lt;=$G$4,$I575*$J575&gt;0,OR($I575&lt;&gt;$I576,$L575-$L576&gt;25),$I575/POW(10,$J575)*MAXIFS(Token!$B:$B,Token!$A:$A,$K575)&gt;0.01),$L575/86400+DATE(1970,1,1)+$G$6,)</f>
        <v/>
      </c>
      <c r="B575" s="27" t="str">
        <f t="shared" si="1"/>
        <v/>
      </c>
      <c r="C575" s="14" t="str">
        <f>IF($A575&lt;&gt;"",MINIFS(Merchant!$A:$A,Merchant!$B:$B,$G$2),)</f>
        <v/>
      </c>
      <c r="D575" s="14" t="str">
        <f t="shared" si="2"/>
        <v/>
      </c>
      <c r="E575" s="14" t="str">
        <f t="shared" si="3"/>
        <v/>
      </c>
      <c r="F575" s="7" t="str">
        <f>IF($A575&lt;&gt;"",MAXIFS(Token!$B:$B,Token!$A:$A,$D575),)</f>
        <v/>
      </c>
    </row>
    <row r="576">
      <c r="A576" s="39" t="str">
        <f>IF(AND($L576*1&gt;=$G$3,$L576*1&lt;=$G$4,$I576*$J576&gt;0,OR($I576&lt;&gt;$I577,$L576-$L577&gt;25),$I576/POW(10,$J576)*MAXIFS(Token!$B:$B,Token!$A:$A,$K576)&gt;0.01),$L576/86400+DATE(1970,1,1)+$G$6,)</f>
        <v/>
      </c>
      <c r="B576" s="27" t="str">
        <f t="shared" si="1"/>
        <v/>
      </c>
      <c r="C576" s="14" t="str">
        <f>IF($A576&lt;&gt;"",MINIFS(Merchant!$A:$A,Merchant!$B:$B,$G$2),)</f>
        <v/>
      </c>
      <c r="D576" s="14" t="str">
        <f t="shared" si="2"/>
        <v/>
      </c>
      <c r="E576" s="14" t="str">
        <f t="shared" si="3"/>
        <v/>
      </c>
      <c r="F576" s="7" t="str">
        <f>IF($A576&lt;&gt;"",MAXIFS(Token!$B:$B,Token!$A:$A,$D576),)</f>
        <v/>
      </c>
    </row>
    <row r="577">
      <c r="A577" s="39" t="str">
        <f>IF(AND($L577*1&gt;=$G$3,$L577*1&lt;=$G$4,$I577*$J577&gt;0,OR($I577&lt;&gt;$I578,$L577-$L578&gt;25),$I577/POW(10,$J577)*MAXIFS(Token!$B:$B,Token!$A:$A,$K577)&gt;0.01),$L577/86400+DATE(1970,1,1)+$G$6,)</f>
        <v/>
      </c>
      <c r="B577" s="27" t="str">
        <f t="shared" si="1"/>
        <v/>
      </c>
      <c r="C577" s="14" t="str">
        <f>IF($A577&lt;&gt;"",MINIFS(Merchant!$A:$A,Merchant!$B:$B,$G$2),)</f>
        <v/>
      </c>
      <c r="D577" s="14" t="str">
        <f t="shared" si="2"/>
        <v/>
      </c>
      <c r="E577" s="14" t="str">
        <f t="shared" si="3"/>
        <v/>
      </c>
      <c r="F577" s="7" t="str">
        <f>IF($A577&lt;&gt;"",MAXIFS(Token!$B:$B,Token!$A:$A,$D577),)</f>
        <v/>
      </c>
    </row>
    <row r="578">
      <c r="A578" s="39" t="str">
        <f>IF(AND($L578*1&gt;=$G$3,$L578*1&lt;=$G$4,$I578*$J578&gt;0,OR($I578&lt;&gt;$I579,$L578-$L579&gt;25),$I578/POW(10,$J578)*MAXIFS(Token!$B:$B,Token!$A:$A,$K578)&gt;0.01),$L578/86400+DATE(1970,1,1)+$G$6,)</f>
        <v/>
      </c>
      <c r="B578" s="27" t="str">
        <f t="shared" si="1"/>
        <v/>
      </c>
      <c r="C578" s="14" t="str">
        <f>IF($A578&lt;&gt;"",MINIFS(Merchant!$A:$A,Merchant!$B:$B,$G$2),)</f>
        <v/>
      </c>
      <c r="D578" s="14" t="str">
        <f t="shared" si="2"/>
        <v/>
      </c>
      <c r="E578" s="14" t="str">
        <f t="shared" si="3"/>
        <v/>
      </c>
      <c r="F578" s="7" t="str">
        <f>IF($A578&lt;&gt;"",MAXIFS(Token!$B:$B,Token!$A:$A,$D578),)</f>
        <v/>
      </c>
    </row>
    <row r="579">
      <c r="A579" s="39" t="str">
        <f>IF(AND($L579*1&gt;=$G$3,$L579*1&lt;=$G$4,$I579*$J579&gt;0,OR($I579&lt;&gt;$I580,$L579-$L580&gt;25),$I579/POW(10,$J579)*MAXIFS(Token!$B:$B,Token!$A:$A,$K579)&gt;0.01),$L579/86400+DATE(1970,1,1)+$G$6,)</f>
        <v/>
      </c>
      <c r="B579" s="27" t="str">
        <f t="shared" si="1"/>
        <v/>
      </c>
      <c r="C579" s="14" t="str">
        <f>IF($A579&lt;&gt;"",MINIFS(Merchant!$A:$A,Merchant!$B:$B,$G$2),)</f>
        <v/>
      </c>
      <c r="D579" s="14" t="str">
        <f t="shared" si="2"/>
        <v/>
      </c>
      <c r="E579" s="14" t="str">
        <f t="shared" si="3"/>
        <v/>
      </c>
      <c r="F579" s="7" t="str">
        <f>IF($A579&lt;&gt;"",MAXIFS(Token!$B:$B,Token!$A:$A,$D579),)</f>
        <v/>
      </c>
    </row>
    <row r="580">
      <c r="A580" s="39" t="str">
        <f>IF(AND($L580*1&gt;=$G$3,$L580*1&lt;=$G$4,$I580*$J580&gt;0,OR($I580&lt;&gt;$I581,$L580-$L581&gt;25),$I580/POW(10,$J580)*MAXIFS(Token!$B:$B,Token!$A:$A,$K580)&gt;0.01),$L580/86400+DATE(1970,1,1)+$G$6,)</f>
        <v/>
      </c>
      <c r="B580" s="27" t="str">
        <f t="shared" si="1"/>
        <v/>
      </c>
      <c r="C580" s="14" t="str">
        <f>IF($A580&lt;&gt;"",MINIFS(Merchant!$A:$A,Merchant!$B:$B,$G$2),)</f>
        <v/>
      </c>
      <c r="D580" s="14" t="str">
        <f t="shared" si="2"/>
        <v/>
      </c>
      <c r="E580" s="14" t="str">
        <f t="shared" si="3"/>
        <v/>
      </c>
      <c r="F580" s="7" t="str">
        <f>IF($A580&lt;&gt;"",MAXIFS(Token!$B:$B,Token!$A:$A,$D580),)</f>
        <v/>
      </c>
    </row>
    <row r="581">
      <c r="A581" s="39" t="str">
        <f>IF(AND($L581*1&gt;=$G$3,$L581*1&lt;=$G$4,$I581*$J581&gt;0,OR($I581&lt;&gt;$I582,$L581-$L582&gt;25),$I581/POW(10,$J581)*MAXIFS(Token!$B:$B,Token!$A:$A,$K581)&gt;0.01),$L581/86400+DATE(1970,1,1)+$G$6,)</f>
        <v/>
      </c>
      <c r="B581" s="27" t="str">
        <f t="shared" si="1"/>
        <v/>
      </c>
      <c r="C581" s="14" t="str">
        <f>IF($A581&lt;&gt;"",MINIFS(Merchant!$A:$A,Merchant!$B:$B,$G$2),)</f>
        <v/>
      </c>
      <c r="D581" s="14" t="str">
        <f t="shared" si="2"/>
        <v/>
      </c>
      <c r="E581" s="14" t="str">
        <f t="shared" si="3"/>
        <v/>
      </c>
      <c r="F581" s="7" t="str">
        <f>IF($A581&lt;&gt;"",MAXIFS(Token!$B:$B,Token!$A:$A,$D581),)</f>
        <v/>
      </c>
    </row>
    <row r="582">
      <c r="A582" s="39" t="str">
        <f>IF(AND($L582*1&gt;=$G$3,$L582*1&lt;=$G$4,$I582*$J582&gt;0,OR($I582&lt;&gt;$I583,$L582-$L583&gt;25),$I582/POW(10,$J582)*MAXIFS(Token!$B:$B,Token!$A:$A,$K582)&gt;0.01),$L582/86400+DATE(1970,1,1)+$G$6,)</f>
        <v/>
      </c>
      <c r="B582" s="27" t="str">
        <f t="shared" si="1"/>
        <v/>
      </c>
      <c r="C582" s="14" t="str">
        <f>IF($A582&lt;&gt;"",MINIFS(Merchant!$A:$A,Merchant!$B:$B,$G$2),)</f>
        <v/>
      </c>
      <c r="D582" s="14" t="str">
        <f t="shared" si="2"/>
        <v/>
      </c>
      <c r="E582" s="14" t="str">
        <f t="shared" si="3"/>
        <v/>
      </c>
      <c r="F582" s="7" t="str">
        <f>IF($A582&lt;&gt;"",MAXIFS(Token!$B:$B,Token!$A:$A,$D582),)</f>
        <v/>
      </c>
    </row>
    <row r="583">
      <c r="A583" s="39" t="str">
        <f>IF(AND($L583*1&gt;=$G$3,$L583*1&lt;=$G$4,$I583*$J583&gt;0,OR($I583&lt;&gt;$I584,$L583-$L584&gt;25),$I583/POW(10,$J583)*MAXIFS(Token!$B:$B,Token!$A:$A,$K583)&gt;0.01),$L583/86400+DATE(1970,1,1)+$G$6,)</f>
        <v/>
      </c>
      <c r="B583" s="27" t="str">
        <f t="shared" si="1"/>
        <v/>
      </c>
      <c r="C583" s="14" t="str">
        <f>IF($A583&lt;&gt;"",MINIFS(Merchant!$A:$A,Merchant!$B:$B,$G$2),)</f>
        <v/>
      </c>
      <c r="D583" s="14" t="str">
        <f t="shared" si="2"/>
        <v/>
      </c>
      <c r="E583" s="14" t="str">
        <f t="shared" si="3"/>
        <v/>
      </c>
      <c r="F583" s="7" t="str">
        <f>IF($A583&lt;&gt;"",MAXIFS(Token!$B:$B,Token!$A:$A,$D583),)</f>
        <v/>
      </c>
    </row>
    <row r="584">
      <c r="A584" s="39" t="str">
        <f>IF(AND($L584*1&gt;=$G$3,$L584*1&lt;=$G$4,$I584*$J584&gt;0,OR($I584&lt;&gt;$I585,$L584-$L585&gt;25),$I584/POW(10,$J584)*MAXIFS(Token!$B:$B,Token!$A:$A,$K584)&gt;0.01),$L584/86400+DATE(1970,1,1)+$G$6,)</f>
        <v/>
      </c>
      <c r="B584" s="27" t="str">
        <f t="shared" si="1"/>
        <v/>
      </c>
      <c r="C584" s="14" t="str">
        <f>IF($A584&lt;&gt;"",MINIFS(Merchant!$A:$A,Merchant!$B:$B,$G$2),)</f>
        <v/>
      </c>
      <c r="D584" s="14" t="str">
        <f t="shared" si="2"/>
        <v/>
      </c>
      <c r="E584" s="14" t="str">
        <f t="shared" si="3"/>
        <v/>
      </c>
      <c r="F584" s="7" t="str">
        <f>IF($A584&lt;&gt;"",MAXIFS(Token!$B:$B,Token!$A:$A,$D584),)</f>
        <v/>
      </c>
    </row>
    <row r="585">
      <c r="A585" s="39" t="str">
        <f>IF(AND($L585*1&gt;=$G$3,$L585*1&lt;=$G$4,$I585*$J585&gt;0,OR($I585&lt;&gt;$I586,$L585-$L586&gt;25),$I585/POW(10,$J585)*MAXIFS(Token!$B:$B,Token!$A:$A,$K585)&gt;0.01),$L585/86400+DATE(1970,1,1)+$G$6,)</f>
        <v/>
      </c>
      <c r="B585" s="27" t="str">
        <f t="shared" si="1"/>
        <v/>
      </c>
      <c r="C585" s="14" t="str">
        <f>IF($A585&lt;&gt;"",MINIFS(Merchant!$A:$A,Merchant!$B:$B,$G$2),)</f>
        <v/>
      </c>
      <c r="D585" s="14" t="str">
        <f t="shared" si="2"/>
        <v/>
      </c>
      <c r="E585" s="14" t="str">
        <f t="shared" si="3"/>
        <v/>
      </c>
      <c r="F585" s="7" t="str">
        <f>IF($A585&lt;&gt;"",MAXIFS(Token!$B:$B,Token!$A:$A,$D585),)</f>
        <v/>
      </c>
    </row>
    <row r="586">
      <c r="A586" s="39" t="str">
        <f>IF(AND($L586*1&gt;=$G$3,$L586*1&lt;=$G$4,$I586*$J586&gt;0,OR($I586&lt;&gt;$I587,$L586-$L587&gt;25),$I586/POW(10,$J586)*MAXIFS(Token!$B:$B,Token!$A:$A,$K586)&gt;0.01),$L586/86400+DATE(1970,1,1)+$G$6,)</f>
        <v/>
      </c>
      <c r="B586" s="27" t="str">
        <f t="shared" si="1"/>
        <v/>
      </c>
      <c r="C586" s="14" t="str">
        <f>IF($A586&lt;&gt;"",MINIFS(Merchant!$A:$A,Merchant!$B:$B,$G$2),)</f>
        <v/>
      </c>
      <c r="D586" s="14" t="str">
        <f t="shared" si="2"/>
        <v/>
      </c>
      <c r="E586" s="14" t="str">
        <f t="shared" si="3"/>
        <v/>
      </c>
      <c r="F586" s="7" t="str">
        <f>IF($A586&lt;&gt;"",MAXIFS(Token!$B:$B,Token!$A:$A,$D586),)</f>
        <v/>
      </c>
    </row>
    <row r="587">
      <c r="A587" s="39" t="str">
        <f>IF(AND($L587*1&gt;=$G$3,$L587*1&lt;=$G$4,$I587*$J587&gt;0,OR($I587&lt;&gt;$I588,$L587-$L588&gt;25),$I587/POW(10,$J587)*MAXIFS(Token!$B:$B,Token!$A:$A,$K587)&gt;0.01),$L587/86400+DATE(1970,1,1)+$G$6,)</f>
        <v/>
      </c>
      <c r="B587" s="27" t="str">
        <f t="shared" si="1"/>
        <v/>
      </c>
      <c r="C587" s="14" t="str">
        <f>IF($A587&lt;&gt;"",MINIFS(Merchant!$A:$A,Merchant!$B:$B,$G$2),)</f>
        <v/>
      </c>
      <c r="D587" s="14" t="str">
        <f t="shared" si="2"/>
        <v/>
      </c>
      <c r="E587" s="14" t="str">
        <f t="shared" si="3"/>
        <v/>
      </c>
      <c r="F587" s="7" t="str">
        <f>IF($A587&lt;&gt;"",MAXIFS(Token!$B:$B,Token!$A:$A,$D587),)</f>
        <v/>
      </c>
    </row>
    <row r="588">
      <c r="A588" s="39" t="str">
        <f>IF(AND($L588*1&gt;=$G$3,$L588*1&lt;=$G$4,$I588*$J588&gt;0,OR($I588&lt;&gt;$I589,$L588-$L589&gt;25),$I588/POW(10,$J588)*MAXIFS(Token!$B:$B,Token!$A:$A,$K588)&gt;0.01),$L588/86400+DATE(1970,1,1)+$G$6,)</f>
        <v/>
      </c>
      <c r="B588" s="27" t="str">
        <f t="shared" si="1"/>
        <v/>
      </c>
      <c r="C588" s="14" t="str">
        <f>IF($A588&lt;&gt;"",MINIFS(Merchant!$A:$A,Merchant!$B:$B,$G$2),)</f>
        <v/>
      </c>
      <c r="D588" s="14" t="str">
        <f t="shared" si="2"/>
        <v/>
      </c>
      <c r="E588" s="14" t="str">
        <f t="shared" si="3"/>
        <v/>
      </c>
      <c r="F588" s="7" t="str">
        <f>IF($A588&lt;&gt;"",MAXIFS(Token!$B:$B,Token!$A:$A,$D588),)</f>
        <v/>
      </c>
    </row>
    <row r="589">
      <c r="A589" s="39" t="str">
        <f>IF(AND($L589*1&gt;=$G$3,$L589*1&lt;=$G$4,$I589*$J589&gt;0,OR($I589&lt;&gt;$I590,$L589-$L590&gt;25),$I589/POW(10,$J589)*MAXIFS(Token!$B:$B,Token!$A:$A,$K589)&gt;0.01),$L589/86400+DATE(1970,1,1)+$G$6,)</f>
        <v/>
      </c>
      <c r="B589" s="27" t="str">
        <f t="shared" si="1"/>
        <v/>
      </c>
      <c r="C589" s="14" t="str">
        <f>IF($A589&lt;&gt;"",MINIFS(Merchant!$A:$A,Merchant!$B:$B,$G$2),)</f>
        <v/>
      </c>
      <c r="D589" s="14" t="str">
        <f t="shared" si="2"/>
        <v/>
      </c>
      <c r="E589" s="14" t="str">
        <f t="shared" si="3"/>
        <v/>
      </c>
      <c r="F589" s="7" t="str">
        <f>IF($A589&lt;&gt;"",MAXIFS(Token!$B:$B,Token!$A:$A,$D589),)</f>
        <v/>
      </c>
    </row>
    <row r="590">
      <c r="A590" s="39" t="str">
        <f>IF(AND($L590*1&gt;=$G$3,$L590*1&lt;=$G$4,$I590*$J590&gt;0,OR($I590&lt;&gt;$I591,$L590-$L591&gt;25),$I590/POW(10,$J590)*MAXIFS(Token!$B:$B,Token!$A:$A,$K590)&gt;0.01),$L590/86400+DATE(1970,1,1)+$G$6,)</f>
        <v/>
      </c>
      <c r="B590" s="27" t="str">
        <f t="shared" si="1"/>
        <v/>
      </c>
      <c r="C590" s="14" t="str">
        <f>IF($A590&lt;&gt;"",MINIFS(Merchant!$A:$A,Merchant!$B:$B,$G$2),)</f>
        <v/>
      </c>
      <c r="D590" s="14" t="str">
        <f t="shared" si="2"/>
        <v/>
      </c>
      <c r="E590" s="14" t="str">
        <f t="shared" si="3"/>
        <v/>
      </c>
      <c r="F590" s="7" t="str">
        <f>IF($A590&lt;&gt;"",MAXIFS(Token!$B:$B,Token!$A:$A,$D590),)</f>
        <v/>
      </c>
    </row>
    <row r="591">
      <c r="A591" s="39" t="str">
        <f>IF(AND($L591*1&gt;=$G$3,$L591*1&lt;=$G$4,$I591*$J591&gt;0,OR($I591&lt;&gt;$I592,$L591-$L592&gt;25),$I591/POW(10,$J591)*MAXIFS(Token!$B:$B,Token!$A:$A,$K591)&gt;0.01),$L591/86400+DATE(1970,1,1)+$G$6,)</f>
        <v/>
      </c>
      <c r="B591" s="27" t="str">
        <f t="shared" si="1"/>
        <v/>
      </c>
      <c r="C591" s="14" t="str">
        <f>IF($A591&lt;&gt;"",MINIFS(Merchant!$A:$A,Merchant!$B:$B,$G$2),)</f>
        <v/>
      </c>
      <c r="D591" s="14" t="str">
        <f t="shared" si="2"/>
        <v/>
      </c>
      <c r="E591" s="14" t="str">
        <f t="shared" si="3"/>
        <v/>
      </c>
      <c r="F591" s="7" t="str">
        <f>IF($A591&lt;&gt;"",MAXIFS(Token!$B:$B,Token!$A:$A,$D591),)</f>
        <v/>
      </c>
    </row>
    <row r="592">
      <c r="A592" s="39" t="str">
        <f>IF(AND($L592*1&gt;=$G$3,$L592*1&lt;=$G$4,$I592*$J592&gt;0,OR($I592&lt;&gt;$I593,$L592-$L593&gt;25),$I592/POW(10,$J592)*MAXIFS(Token!$B:$B,Token!$A:$A,$K592)&gt;0.01),$L592/86400+DATE(1970,1,1)+$G$6,)</f>
        <v/>
      </c>
      <c r="B592" s="27" t="str">
        <f t="shared" si="1"/>
        <v/>
      </c>
      <c r="C592" s="14" t="str">
        <f>IF($A592&lt;&gt;"",MINIFS(Merchant!$A:$A,Merchant!$B:$B,$G$2),)</f>
        <v/>
      </c>
      <c r="D592" s="14" t="str">
        <f t="shared" si="2"/>
        <v/>
      </c>
      <c r="E592" s="14" t="str">
        <f t="shared" si="3"/>
        <v/>
      </c>
      <c r="F592" s="7" t="str">
        <f>IF($A592&lt;&gt;"",MAXIFS(Token!$B:$B,Token!$A:$A,$D592),)</f>
        <v/>
      </c>
    </row>
    <row r="593">
      <c r="A593" s="39" t="str">
        <f>IF(AND($L593*1&gt;=$G$3,$L593*1&lt;=$G$4,$I593*$J593&gt;0,OR($I593&lt;&gt;$I594,$L593-$L594&gt;25),$I593/POW(10,$J593)*MAXIFS(Token!$B:$B,Token!$A:$A,$K593)&gt;0.01),$L593/86400+DATE(1970,1,1)+$G$6,)</f>
        <v/>
      </c>
      <c r="B593" s="27" t="str">
        <f t="shared" si="1"/>
        <v/>
      </c>
      <c r="C593" s="14" t="str">
        <f>IF($A593&lt;&gt;"",MINIFS(Merchant!$A:$A,Merchant!$B:$B,$G$2),)</f>
        <v/>
      </c>
      <c r="D593" s="14" t="str">
        <f t="shared" si="2"/>
        <v/>
      </c>
      <c r="E593" s="14" t="str">
        <f t="shared" si="3"/>
        <v/>
      </c>
      <c r="F593" s="7" t="str">
        <f>IF($A593&lt;&gt;"",MAXIFS(Token!$B:$B,Token!$A:$A,$D593),)</f>
        <v/>
      </c>
    </row>
    <row r="594">
      <c r="A594" s="39" t="str">
        <f>IF(AND($L594*1&gt;=$G$3,$L594*1&lt;=$G$4,$I594*$J594&gt;0,OR($I594&lt;&gt;$I595,$L594-$L595&gt;25),$I594/POW(10,$J594)*MAXIFS(Token!$B:$B,Token!$A:$A,$K594)&gt;0.01),$L594/86400+DATE(1970,1,1)+$G$6,)</f>
        <v/>
      </c>
      <c r="B594" s="27" t="str">
        <f t="shared" si="1"/>
        <v/>
      </c>
      <c r="C594" s="14" t="str">
        <f>IF($A594&lt;&gt;"",MINIFS(Merchant!$A:$A,Merchant!$B:$B,$G$2),)</f>
        <v/>
      </c>
      <c r="D594" s="14" t="str">
        <f t="shared" si="2"/>
        <v/>
      </c>
      <c r="E594" s="14" t="str">
        <f t="shared" si="3"/>
        <v/>
      </c>
      <c r="F594" s="7" t="str">
        <f>IF($A594&lt;&gt;"",MAXIFS(Token!$B:$B,Token!$A:$A,$D594),)</f>
        <v/>
      </c>
    </row>
    <row r="595">
      <c r="A595" s="39" t="str">
        <f>IF(AND($L595*1&gt;=$G$3,$L595*1&lt;=$G$4,$I595*$J595&gt;0,OR($I595&lt;&gt;$I596,$L595-$L596&gt;25),$I595/POW(10,$J595)*MAXIFS(Token!$B:$B,Token!$A:$A,$K595)&gt;0.01),$L595/86400+DATE(1970,1,1)+$G$6,)</f>
        <v/>
      </c>
      <c r="B595" s="27" t="str">
        <f t="shared" si="1"/>
        <v/>
      </c>
      <c r="C595" s="14" t="str">
        <f>IF($A595&lt;&gt;"",MINIFS(Merchant!$A:$A,Merchant!$B:$B,$G$2),)</f>
        <v/>
      </c>
      <c r="D595" s="14" t="str">
        <f t="shared" si="2"/>
        <v/>
      </c>
      <c r="E595" s="14" t="str">
        <f t="shared" si="3"/>
        <v/>
      </c>
      <c r="F595" s="7" t="str">
        <f>IF($A595&lt;&gt;"",MAXIFS(Token!$B:$B,Token!$A:$A,$D595),)</f>
        <v/>
      </c>
    </row>
    <row r="596">
      <c r="A596" s="39" t="str">
        <f>IF(AND($L596*1&gt;=$G$3,$L596*1&lt;=$G$4,$I596*$J596&gt;0,OR($I596&lt;&gt;$I597,$L596-$L597&gt;25),$I596/POW(10,$J596)*MAXIFS(Token!$B:$B,Token!$A:$A,$K596)&gt;0.01),$L596/86400+DATE(1970,1,1)+$G$6,)</f>
        <v/>
      </c>
      <c r="B596" s="27" t="str">
        <f t="shared" si="1"/>
        <v/>
      </c>
      <c r="C596" s="14" t="str">
        <f>IF($A596&lt;&gt;"",MINIFS(Merchant!$A:$A,Merchant!$B:$B,$G$2),)</f>
        <v/>
      </c>
      <c r="D596" s="14" t="str">
        <f t="shared" si="2"/>
        <v/>
      </c>
      <c r="E596" s="14" t="str">
        <f t="shared" si="3"/>
        <v/>
      </c>
      <c r="F596" s="7" t="str">
        <f>IF($A596&lt;&gt;"",MAXIFS(Token!$B:$B,Token!$A:$A,$D596),)</f>
        <v/>
      </c>
    </row>
    <row r="597">
      <c r="A597" s="39" t="str">
        <f>IF(AND($L597*1&gt;=$G$3,$L597*1&lt;=$G$4,$I597*$J597&gt;0,OR($I597&lt;&gt;$I598,$L597-$L598&gt;25),$I597/POW(10,$J597)*MAXIFS(Token!$B:$B,Token!$A:$A,$K597)&gt;0.01),$L597/86400+DATE(1970,1,1)+$G$6,)</f>
        <v/>
      </c>
      <c r="B597" s="27" t="str">
        <f t="shared" si="1"/>
        <v/>
      </c>
      <c r="C597" s="14" t="str">
        <f>IF($A597&lt;&gt;"",MINIFS(Merchant!$A:$A,Merchant!$B:$B,$G$2),)</f>
        <v/>
      </c>
      <c r="D597" s="14" t="str">
        <f t="shared" si="2"/>
        <v/>
      </c>
      <c r="E597" s="14" t="str">
        <f t="shared" si="3"/>
        <v/>
      </c>
      <c r="F597" s="7" t="str">
        <f>IF($A597&lt;&gt;"",MAXIFS(Token!$B:$B,Token!$A:$A,$D597),)</f>
        <v/>
      </c>
    </row>
    <row r="598">
      <c r="A598" s="39" t="str">
        <f>IF(AND($L598*1&gt;=$G$3,$L598*1&lt;=$G$4,$I598*$J598&gt;0,OR($I598&lt;&gt;$I599,$L598-$L599&gt;25),$I598/POW(10,$J598)*MAXIFS(Token!$B:$B,Token!$A:$A,$K598)&gt;0.01),$L598/86400+DATE(1970,1,1)+$G$6,)</f>
        <v/>
      </c>
      <c r="B598" s="27" t="str">
        <f t="shared" si="1"/>
        <v/>
      </c>
      <c r="C598" s="14" t="str">
        <f>IF($A598&lt;&gt;"",MINIFS(Merchant!$A:$A,Merchant!$B:$B,$G$2),)</f>
        <v/>
      </c>
      <c r="D598" s="14" t="str">
        <f t="shared" si="2"/>
        <v/>
      </c>
      <c r="E598" s="14" t="str">
        <f t="shared" si="3"/>
        <v/>
      </c>
      <c r="F598" s="7" t="str">
        <f>IF($A598&lt;&gt;"",MAXIFS(Token!$B:$B,Token!$A:$A,$D598),)</f>
        <v/>
      </c>
    </row>
    <row r="599">
      <c r="A599" s="39" t="str">
        <f>IF(AND($L599*1&gt;=$G$3,$L599*1&lt;=$G$4,$I599*$J599&gt;0,OR($I599&lt;&gt;$I600,$L599-$L600&gt;25),$I599/POW(10,$J599)*MAXIFS(Token!$B:$B,Token!$A:$A,$K599)&gt;0.01),$L599/86400+DATE(1970,1,1)+$G$6,)</f>
        <v/>
      </c>
      <c r="B599" s="27" t="str">
        <f t="shared" si="1"/>
        <v/>
      </c>
      <c r="C599" s="14" t="str">
        <f>IF($A599&lt;&gt;"",MINIFS(Merchant!$A:$A,Merchant!$B:$B,$G$2),)</f>
        <v/>
      </c>
      <c r="D599" s="14" t="str">
        <f t="shared" si="2"/>
        <v/>
      </c>
      <c r="E599" s="14" t="str">
        <f t="shared" si="3"/>
        <v/>
      </c>
      <c r="F599" s="7" t="str">
        <f>IF($A599&lt;&gt;"",MAXIFS(Token!$B:$B,Token!$A:$A,$D599),)</f>
        <v/>
      </c>
    </row>
    <row r="600">
      <c r="A600" s="39" t="str">
        <f>IF(AND($L600*1&gt;=$G$3,$L600*1&lt;=$G$4,$I600*$J600&gt;0,OR($I600&lt;&gt;$I601,$L600-$L601&gt;25),$I600/POW(10,$J600)*MAXIFS(Token!$B:$B,Token!$A:$A,$K600)&gt;0.01),$L600/86400+DATE(1970,1,1)+$G$6,)</f>
        <v/>
      </c>
      <c r="B600" s="27" t="str">
        <f t="shared" si="1"/>
        <v/>
      </c>
      <c r="C600" s="14" t="str">
        <f>IF($A600&lt;&gt;"",MINIFS(Merchant!$A:$A,Merchant!$B:$B,$G$2),)</f>
        <v/>
      </c>
      <c r="D600" s="14" t="str">
        <f t="shared" si="2"/>
        <v/>
      </c>
      <c r="E600" s="14" t="str">
        <f t="shared" si="3"/>
        <v/>
      </c>
      <c r="F600" s="7" t="str">
        <f>IF($A600&lt;&gt;"",MAXIFS(Token!$B:$B,Token!$A:$A,$D600),)</f>
        <v/>
      </c>
    </row>
    <row r="601">
      <c r="A601" s="39" t="str">
        <f>IF(AND($L601*1&gt;=$G$3,$L601*1&lt;=$G$4,$I601*$J601&gt;0,OR($I601&lt;&gt;$I602,$L601-$L602&gt;25),$I601/POW(10,$J601)*MAXIFS(Token!$B:$B,Token!$A:$A,$K601)&gt;0.01),$L601/86400+DATE(1970,1,1)+$G$6,)</f>
        <v/>
      </c>
      <c r="B601" s="27" t="str">
        <f t="shared" si="1"/>
        <v/>
      </c>
      <c r="C601" s="14" t="str">
        <f>IF($A601&lt;&gt;"",MINIFS(Merchant!$A:$A,Merchant!$B:$B,$G$2),)</f>
        <v/>
      </c>
      <c r="D601" s="14" t="str">
        <f t="shared" si="2"/>
        <v/>
      </c>
      <c r="E601" s="14" t="str">
        <f t="shared" si="3"/>
        <v/>
      </c>
      <c r="F601" s="7" t="str">
        <f>IF($A601&lt;&gt;"",MAXIFS(Token!$B:$B,Token!$A:$A,$D601),)</f>
        <v/>
      </c>
    </row>
    <row r="602">
      <c r="A602" s="39" t="str">
        <f>IF(AND($L602*1&gt;=$G$3,$L602*1&lt;=$G$4,$I602*$J602&gt;0,OR($I602&lt;&gt;$I603,$L602-$L603&gt;25),$I602/POW(10,$J602)*MAXIFS(Token!$B:$B,Token!$A:$A,$K602)&gt;0.01),$L602/86400+DATE(1970,1,1)+$G$6,)</f>
        <v/>
      </c>
      <c r="B602" s="27" t="str">
        <f t="shared" si="1"/>
        <v/>
      </c>
      <c r="C602" s="14" t="str">
        <f>IF($A602&lt;&gt;"",MINIFS(Merchant!$A:$A,Merchant!$B:$B,$G$2),)</f>
        <v/>
      </c>
      <c r="D602" s="14" t="str">
        <f t="shared" si="2"/>
        <v/>
      </c>
      <c r="E602" s="14" t="str">
        <f t="shared" si="3"/>
        <v/>
      </c>
      <c r="F602" s="7" t="str">
        <f>IF($A602&lt;&gt;"",MAXIFS(Token!$B:$B,Token!$A:$A,$D602),)</f>
        <v/>
      </c>
    </row>
    <row r="603">
      <c r="A603" s="39" t="str">
        <f>IF(AND($L603*1&gt;=$G$3,$L603*1&lt;=$G$4,$I603*$J603&gt;0,OR($I603&lt;&gt;$I604,$L603-$L604&gt;25),$I603/POW(10,$J603)*MAXIFS(Token!$B:$B,Token!$A:$A,$K603)&gt;0.01),$L603/86400+DATE(1970,1,1)+$G$6,)</f>
        <v/>
      </c>
      <c r="B603" s="27" t="str">
        <f t="shared" si="1"/>
        <v/>
      </c>
      <c r="C603" s="14" t="str">
        <f>IF($A603&lt;&gt;"",MINIFS(Merchant!$A:$A,Merchant!$B:$B,$G$2),)</f>
        <v/>
      </c>
      <c r="D603" s="14" t="str">
        <f t="shared" si="2"/>
        <v/>
      </c>
      <c r="E603" s="14" t="str">
        <f t="shared" si="3"/>
        <v/>
      </c>
      <c r="F603" s="7" t="str">
        <f>IF($A603&lt;&gt;"",MAXIFS(Token!$B:$B,Token!$A:$A,$D603),)</f>
        <v/>
      </c>
    </row>
    <row r="604">
      <c r="A604" s="39" t="str">
        <f>IF(AND($L604*1&gt;=$G$3,$L604*1&lt;=$G$4,$I604*$J604&gt;0,OR($I604&lt;&gt;$I605,$L604-$L605&gt;25),$I604/POW(10,$J604)*MAXIFS(Token!$B:$B,Token!$A:$A,$K604)&gt;0.01),$L604/86400+DATE(1970,1,1)+$G$6,)</f>
        <v/>
      </c>
      <c r="B604" s="27" t="str">
        <f t="shared" si="1"/>
        <v/>
      </c>
      <c r="C604" s="14" t="str">
        <f>IF($A604&lt;&gt;"",MINIFS(Merchant!$A:$A,Merchant!$B:$B,$G$2),)</f>
        <v/>
      </c>
      <c r="D604" s="14" t="str">
        <f t="shared" si="2"/>
        <v/>
      </c>
      <c r="E604" s="14" t="str">
        <f t="shared" si="3"/>
        <v/>
      </c>
      <c r="F604" s="7" t="str">
        <f>IF($A604&lt;&gt;"",MAXIFS(Token!$B:$B,Token!$A:$A,$D604),)</f>
        <v/>
      </c>
    </row>
    <row r="605">
      <c r="A605" s="39" t="str">
        <f>IF(AND($L605*1&gt;=$G$3,$L605*1&lt;=$G$4,$I605*$J605&gt;0,OR($I605&lt;&gt;$I606,$L605-$L606&gt;25),$I605/POW(10,$J605)*MAXIFS(Token!$B:$B,Token!$A:$A,$K605)&gt;0.01),$L605/86400+DATE(1970,1,1)+$G$6,)</f>
        <v/>
      </c>
      <c r="B605" s="27" t="str">
        <f t="shared" si="1"/>
        <v/>
      </c>
      <c r="C605" s="14" t="str">
        <f>IF($A605&lt;&gt;"",MINIFS(Merchant!$A:$A,Merchant!$B:$B,$G$2),)</f>
        <v/>
      </c>
      <c r="D605" s="14" t="str">
        <f t="shared" si="2"/>
        <v/>
      </c>
      <c r="E605" s="14" t="str">
        <f t="shared" si="3"/>
        <v/>
      </c>
      <c r="F605" s="7" t="str">
        <f>IF($A605&lt;&gt;"",MAXIFS(Token!$B:$B,Token!$A:$A,$D605),)</f>
        <v/>
      </c>
    </row>
    <row r="606">
      <c r="A606" s="39" t="str">
        <f>IF(AND($L606*1&gt;=$G$3,$L606*1&lt;=$G$4,$I606*$J606&gt;0,OR($I606&lt;&gt;$I607,$L606-$L607&gt;25),$I606/POW(10,$J606)*MAXIFS(Token!$B:$B,Token!$A:$A,$K606)&gt;0.01),$L606/86400+DATE(1970,1,1)+$G$6,)</f>
        <v/>
      </c>
      <c r="B606" s="27" t="str">
        <f t="shared" si="1"/>
        <v/>
      </c>
      <c r="C606" s="14" t="str">
        <f>IF($A606&lt;&gt;"",MINIFS(Merchant!$A:$A,Merchant!$B:$B,$G$2),)</f>
        <v/>
      </c>
      <c r="D606" s="14" t="str">
        <f t="shared" si="2"/>
        <v/>
      </c>
      <c r="E606" s="14" t="str">
        <f t="shared" si="3"/>
        <v/>
      </c>
      <c r="F606" s="7" t="str">
        <f>IF($A606&lt;&gt;"",MAXIFS(Token!$B:$B,Token!$A:$A,$D606),)</f>
        <v/>
      </c>
    </row>
    <row r="607">
      <c r="A607" s="39" t="str">
        <f>IF(AND($L607*1&gt;=$G$3,$L607*1&lt;=$G$4,$I607*$J607&gt;0,OR($I607&lt;&gt;$I608,$L607-$L608&gt;25),$I607/POW(10,$J607)*MAXIFS(Token!$B:$B,Token!$A:$A,$K607)&gt;0.01),$L607/86400+DATE(1970,1,1)+$G$6,)</f>
        <v/>
      </c>
      <c r="B607" s="27" t="str">
        <f t="shared" si="1"/>
        <v/>
      </c>
      <c r="C607" s="14" t="str">
        <f>IF($A607&lt;&gt;"",MINIFS(Merchant!$A:$A,Merchant!$B:$B,$G$2),)</f>
        <v/>
      </c>
      <c r="D607" s="14" t="str">
        <f t="shared" si="2"/>
        <v/>
      </c>
      <c r="E607" s="14" t="str">
        <f t="shared" si="3"/>
        <v/>
      </c>
      <c r="F607" s="7" t="str">
        <f>IF($A607&lt;&gt;"",MAXIFS(Token!$B:$B,Token!$A:$A,$D607),)</f>
        <v/>
      </c>
    </row>
    <row r="608">
      <c r="A608" s="39" t="str">
        <f>IF(AND($L608*1&gt;=$G$3,$L608*1&lt;=$G$4,$I608*$J608&gt;0,OR($I608&lt;&gt;$I609,$L608-$L609&gt;25),$I608/POW(10,$J608)*MAXIFS(Token!$B:$B,Token!$A:$A,$K608)&gt;0.01),$L608/86400+DATE(1970,1,1)+$G$6,)</f>
        <v/>
      </c>
      <c r="B608" s="27" t="str">
        <f t="shared" si="1"/>
        <v/>
      </c>
      <c r="C608" s="14" t="str">
        <f>IF($A608&lt;&gt;"",MINIFS(Merchant!$A:$A,Merchant!$B:$B,$G$2),)</f>
        <v/>
      </c>
      <c r="D608" s="14" t="str">
        <f t="shared" si="2"/>
        <v/>
      </c>
      <c r="E608" s="14" t="str">
        <f t="shared" si="3"/>
        <v/>
      </c>
      <c r="F608" s="7" t="str">
        <f>IF($A608&lt;&gt;"",MAXIFS(Token!$B:$B,Token!$A:$A,$D608),)</f>
        <v/>
      </c>
    </row>
    <row r="609">
      <c r="A609" s="39" t="str">
        <f>IF(AND($L609*1&gt;=$G$3,$L609*1&lt;=$G$4,$I609*$J609&gt;0,OR($I609&lt;&gt;$I610,$L609-$L610&gt;25),$I609/POW(10,$J609)*MAXIFS(Token!$B:$B,Token!$A:$A,$K609)&gt;0.01),$L609/86400+DATE(1970,1,1)+$G$6,)</f>
        <v/>
      </c>
      <c r="B609" s="27" t="str">
        <f t="shared" si="1"/>
        <v/>
      </c>
      <c r="C609" s="14" t="str">
        <f>IF($A609&lt;&gt;"",MINIFS(Merchant!$A:$A,Merchant!$B:$B,$G$2),)</f>
        <v/>
      </c>
      <c r="D609" s="14" t="str">
        <f t="shared" si="2"/>
        <v/>
      </c>
      <c r="E609" s="14" t="str">
        <f t="shared" si="3"/>
        <v/>
      </c>
      <c r="F609" s="7" t="str">
        <f>IF($A609&lt;&gt;"",MAXIFS(Token!$B:$B,Token!$A:$A,$D609),)</f>
        <v/>
      </c>
    </row>
    <row r="610">
      <c r="A610" s="39" t="str">
        <f>IF(AND($L610*1&gt;=$G$3,$L610*1&lt;=$G$4,$I610*$J610&gt;0,OR($I610&lt;&gt;$I611,$L610-$L611&gt;25),$I610/POW(10,$J610)*MAXIFS(Token!$B:$B,Token!$A:$A,$K610)&gt;0.01),$L610/86400+DATE(1970,1,1)+$G$6,)</f>
        <v/>
      </c>
      <c r="B610" s="27" t="str">
        <f t="shared" si="1"/>
        <v/>
      </c>
      <c r="C610" s="14" t="str">
        <f>IF($A610&lt;&gt;"",MINIFS(Merchant!$A:$A,Merchant!$B:$B,$G$2),)</f>
        <v/>
      </c>
      <c r="D610" s="14" t="str">
        <f t="shared" si="2"/>
        <v/>
      </c>
      <c r="E610" s="14" t="str">
        <f t="shared" si="3"/>
        <v/>
      </c>
      <c r="F610" s="7" t="str">
        <f>IF($A610&lt;&gt;"",MAXIFS(Token!$B:$B,Token!$A:$A,$D610),)</f>
        <v/>
      </c>
    </row>
    <row r="611">
      <c r="A611" s="39" t="str">
        <f>IF(AND($L611*1&gt;=$G$3,$L611*1&lt;=$G$4,$I611*$J611&gt;0,OR($I611&lt;&gt;$I612,$L611-$L612&gt;25),$I611/POW(10,$J611)*MAXIFS(Token!$B:$B,Token!$A:$A,$K611)&gt;0.01),$L611/86400+DATE(1970,1,1)+$G$6,)</f>
        <v/>
      </c>
      <c r="B611" s="27" t="str">
        <f t="shared" si="1"/>
        <v/>
      </c>
      <c r="C611" s="14" t="str">
        <f>IF($A611&lt;&gt;"",MINIFS(Merchant!$A:$A,Merchant!$B:$B,$G$2),)</f>
        <v/>
      </c>
      <c r="D611" s="14" t="str">
        <f t="shared" si="2"/>
        <v/>
      </c>
      <c r="E611" s="14" t="str">
        <f t="shared" si="3"/>
        <v/>
      </c>
      <c r="F611" s="7" t="str">
        <f>IF($A611&lt;&gt;"",MAXIFS(Token!$B:$B,Token!$A:$A,$D611),)</f>
        <v/>
      </c>
    </row>
    <row r="612">
      <c r="A612" s="39" t="str">
        <f>IF(AND($L612*1&gt;=$G$3,$L612*1&lt;=$G$4,$I612*$J612&gt;0,OR($I612&lt;&gt;$I613,$L612-$L613&gt;25),$I612/POW(10,$J612)*MAXIFS(Token!$B:$B,Token!$A:$A,$K612)&gt;0.01),$L612/86400+DATE(1970,1,1)+$G$6,)</f>
        <v/>
      </c>
      <c r="B612" s="27" t="str">
        <f t="shared" si="1"/>
        <v/>
      </c>
      <c r="C612" s="14" t="str">
        <f>IF($A612&lt;&gt;"",MINIFS(Merchant!$A:$A,Merchant!$B:$B,$G$2),)</f>
        <v/>
      </c>
      <c r="D612" s="14" t="str">
        <f t="shared" si="2"/>
        <v/>
      </c>
      <c r="E612" s="14" t="str">
        <f t="shared" si="3"/>
        <v/>
      </c>
      <c r="F612" s="7" t="str">
        <f>IF($A612&lt;&gt;"",MAXIFS(Token!$B:$B,Token!$A:$A,$D612),)</f>
        <v/>
      </c>
    </row>
    <row r="613">
      <c r="A613" s="39" t="str">
        <f>IF(AND($L613*1&gt;=$G$3,$L613*1&lt;=$G$4,$I613*$J613&gt;0,OR($I613&lt;&gt;$I614,$L613-$L614&gt;25),$I613/POW(10,$J613)*MAXIFS(Token!$B:$B,Token!$A:$A,$K613)&gt;0.01),$L613/86400+DATE(1970,1,1)+$G$6,)</f>
        <v/>
      </c>
      <c r="B613" s="27" t="str">
        <f t="shared" si="1"/>
        <v/>
      </c>
      <c r="C613" s="14" t="str">
        <f>IF($A613&lt;&gt;"",MINIFS(Merchant!$A:$A,Merchant!$B:$B,$G$2),)</f>
        <v/>
      </c>
      <c r="D613" s="14" t="str">
        <f t="shared" si="2"/>
        <v/>
      </c>
      <c r="E613" s="14" t="str">
        <f t="shared" si="3"/>
        <v/>
      </c>
      <c r="F613" s="7" t="str">
        <f>IF($A613&lt;&gt;"",MAXIFS(Token!$B:$B,Token!$A:$A,$D613),)</f>
        <v/>
      </c>
    </row>
    <row r="614">
      <c r="A614" s="39" t="str">
        <f>IF(AND($L614*1&gt;=$G$3,$L614*1&lt;=$G$4,$I614*$J614&gt;0,OR($I614&lt;&gt;$I615,$L614-$L615&gt;25),$I614/POW(10,$J614)*MAXIFS(Token!$B:$B,Token!$A:$A,$K614)&gt;0.01),$L614/86400+DATE(1970,1,1)+$G$6,)</f>
        <v/>
      </c>
      <c r="B614" s="27" t="str">
        <f t="shared" si="1"/>
        <v/>
      </c>
      <c r="C614" s="14" t="str">
        <f>IF($A614&lt;&gt;"",MINIFS(Merchant!$A:$A,Merchant!$B:$B,$G$2),)</f>
        <v/>
      </c>
      <c r="D614" s="14" t="str">
        <f t="shared" si="2"/>
        <v/>
      </c>
      <c r="E614" s="14" t="str">
        <f t="shared" si="3"/>
        <v/>
      </c>
      <c r="F614" s="7" t="str">
        <f>IF($A614&lt;&gt;"",MAXIFS(Token!$B:$B,Token!$A:$A,$D614),)</f>
        <v/>
      </c>
    </row>
    <row r="615">
      <c r="A615" s="39" t="str">
        <f>IF(AND($L615*1&gt;=$G$3,$L615*1&lt;=$G$4,$I615*$J615&gt;0,OR($I615&lt;&gt;$I616,$L615-$L616&gt;25),$I615/POW(10,$J615)*MAXIFS(Token!$B:$B,Token!$A:$A,$K615)&gt;0.01),$L615/86400+DATE(1970,1,1)+$G$6,)</f>
        <v/>
      </c>
      <c r="B615" s="27" t="str">
        <f t="shared" si="1"/>
        <v/>
      </c>
      <c r="C615" s="14" t="str">
        <f>IF($A615&lt;&gt;"",MINIFS(Merchant!$A:$A,Merchant!$B:$B,$G$2),)</f>
        <v/>
      </c>
      <c r="D615" s="14" t="str">
        <f t="shared" si="2"/>
        <v/>
      </c>
      <c r="E615" s="14" t="str">
        <f t="shared" si="3"/>
        <v/>
      </c>
      <c r="F615" s="7" t="str">
        <f>IF($A615&lt;&gt;"",MAXIFS(Token!$B:$B,Token!$A:$A,$D615),)</f>
        <v/>
      </c>
    </row>
    <row r="616">
      <c r="A616" s="39" t="str">
        <f>IF(AND($L616*1&gt;=$G$3,$L616*1&lt;=$G$4,$I616*$J616&gt;0,OR($I616&lt;&gt;$I617,$L616-$L617&gt;25),$I616/POW(10,$J616)*MAXIFS(Token!$B:$B,Token!$A:$A,$K616)&gt;0.01),$L616/86400+DATE(1970,1,1)+$G$6,)</f>
        <v/>
      </c>
      <c r="B616" s="27" t="str">
        <f t="shared" si="1"/>
        <v/>
      </c>
      <c r="C616" s="14" t="str">
        <f>IF($A616&lt;&gt;"",MINIFS(Merchant!$A:$A,Merchant!$B:$B,$G$2),)</f>
        <v/>
      </c>
      <c r="D616" s="14" t="str">
        <f t="shared" si="2"/>
        <v/>
      </c>
      <c r="E616" s="14" t="str">
        <f t="shared" si="3"/>
        <v/>
      </c>
      <c r="F616" s="7" t="str">
        <f>IF($A616&lt;&gt;"",MAXIFS(Token!$B:$B,Token!$A:$A,$D616),)</f>
        <v/>
      </c>
    </row>
    <row r="617">
      <c r="A617" s="39" t="str">
        <f>IF(AND($L617*1&gt;=$G$3,$L617*1&lt;=$G$4,$I617*$J617&gt;0,OR($I617&lt;&gt;$I618,$L617-$L618&gt;25),$I617/POW(10,$J617)*MAXIFS(Token!$B:$B,Token!$A:$A,$K617)&gt;0.01),$L617/86400+DATE(1970,1,1)+$G$6,)</f>
        <v/>
      </c>
      <c r="B617" s="27" t="str">
        <f t="shared" si="1"/>
        <v/>
      </c>
      <c r="C617" s="14" t="str">
        <f>IF($A617&lt;&gt;"",MINIFS(Merchant!$A:$A,Merchant!$B:$B,$G$2),)</f>
        <v/>
      </c>
      <c r="D617" s="14" t="str">
        <f t="shared" si="2"/>
        <v/>
      </c>
      <c r="E617" s="14" t="str">
        <f t="shared" si="3"/>
        <v/>
      </c>
      <c r="F617" s="7" t="str">
        <f>IF($A617&lt;&gt;"",MAXIFS(Token!$B:$B,Token!$A:$A,$D617),)</f>
        <v/>
      </c>
    </row>
    <row r="618">
      <c r="A618" s="39" t="str">
        <f>IF(AND($L618*1&gt;=$G$3,$L618*1&lt;=$G$4,$I618*$J618&gt;0,OR($I618&lt;&gt;$I619,$L618-$L619&gt;25),$I618/POW(10,$J618)*MAXIFS(Token!$B:$B,Token!$A:$A,$K618)&gt;0.01),$L618/86400+DATE(1970,1,1)+$G$6,)</f>
        <v/>
      </c>
      <c r="B618" s="27" t="str">
        <f t="shared" si="1"/>
        <v/>
      </c>
      <c r="C618" s="14" t="str">
        <f>IF($A618&lt;&gt;"",MINIFS(Merchant!$A:$A,Merchant!$B:$B,$G$2),)</f>
        <v/>
      </c>
      <c r="D618" s="14" t="str">
        <f t="shared" si="2"/>
        <v/>
      </c>
      <c r="E618" s="14" t="str">
        <f t="shared" si="3"/>
        <v/>
      </c>
      <c r="F618" s="7" t="str">
        <f>IF($A618&lt;&gt;"",MAXIFS(Token!$B:$B,Token!$A:$A,$D618),)</f>
        <v/>
      </c>
    </row>
    <row r="619">
      <c r="A619" s="39" t="str">
        <f>IF(AND($L619*1&gt;=$G$3,$L619*1&lt;=$G$4,$I619*$J619&gt;0,OR($I619&lt;&gt;$I620,$L619-$L620&gt;25),$I619/POW(10,$J619)*MAXIFS(Token!$B:$B,Token!$A:$A,$K619)&gt;0.01),$L619/86400+DATE(1970,1,1)+$G$6,)</f>
        <v/>
      </c>
      <c r="B619" s="27" t="str">
        <f t="shared" si="1"/>
        <v/>
      </c>
      <c r="C619" s="14" t="str">
        <f>IF($A619&lt;&gt;"",MINIFS(Merchant!$A:$A,Merchant!$B:$B,$G$2),)</f>
        <v/>
      </c>
      <c r="D619" s="14" t="str">
        <f t="shared" si="2"/>
        <v/>
      </c>
      <c r="E619" s="14" t="str">
        <f t="shared" si="3"/>
        <v/>
      </c>
      <c r="F619" s="7" t="str">
        <f>IF($A619&lt;&gt;"",MAXIFS(Token!$B:$B,Token!$A:$A,$D619),)</f>
        <v/>
      </c>
    </row>
    <row r="620">
      <c r="A620" s="39" t="str">
        <f>IF(AND($L620*1&gt;=$G$3,$L620*1&lt;=$G$4,$I620*$J620&gt;0,OR($I620&lt;&gt;$I621,$L620-$L621&gt;25),$I620/POW(10,$J620)*MAXIFS(Token!$B:$B,Token!$A:$A,$K620)&gt;0.01),$L620/86400+DATE(1970,1,1)+$G$6,)</f>
        <v/>
      </c>
      <c r="B620" s="27" t="str">
        <f t="shared" si="1"/>
        <v/>
      </c>
      <c r="C620" s="14" t="str">
        <f>IF($A620&lt;&gt;"",MINIFS(Merchant!$A:$A,Merchant!$B:$B,$G$2),)</f>
        <v/>
      </c>
      <c r="D620" s="14" t="str">
        <f t="shared" si="2"/>
        <v/>
      </c>
      <c r="E620" s="14" t="str">
        <f t="shared" si="3"/>
        <v/>
      </c>
      <c r="F620" s="7" t="str">
        <f>IF($A620&lt;&gt;"",MAXIFS(Token!$B:$B,Token!$A:$A,$D620),)</f>
        <v/>
      </c>
    </row>
    <row r="621">
      <c r="A621" s="39" t="str">
        <f>IF(AND($L621*1&gt;=$G$3,$L621*1&lt;=$G$4,$I621*$J621&gt;0,OR($I621&lt;&gt;$I622,$L621-$L622&gt;25),$I621/POW(10,$J621)*MAXIFS(Token!$B:$B,Token!$A:$A,$K621)&gt;0.01),$L621/86400+DATE(1970,1,1)+$G$6,)</f>
        <v/>
      </c>
      <c r="B621" s="27" t="str">
        <f t="shared" si="1"/>
        <v/>
      </c>
      <c r="C621" s="14" t="str">
        <f>IF($A621&lt;&gt;"",MINIFS(Merchant!$A:$A,Merchant!$B:$B,$G$2),)</f>
        <v/>
      </c>
      <c r="D621" s="14" t="str">
        <f t="shared" si="2"/>
        <v/>
      </c>
      <c r="E621" s="14" t="str">
        <f t="shared" si="3"/>
        <v/>
      </c>
      <c r="F621" s="7" t="str">
        <f>IF($A621&lt;&gt;"",MAXIFS(Token!$B:$B,Token!$A:$A,$D621),)</f>
        <v/>
      </c>
    </row>
    <row r="622">
      <c r="A622" s="39" t="str">
        <f>IF(AND($L622*1&gt;=$G$3,$L622*1&lt;=$G$4,$I622*$J622&gt;0,OR($I622&lt;&gt;$I623,$L622-$L623&gt;25),$I622/POW(10,$J622)*MAXIFS(Token!$B:$B,Token!$A:$A,$K622)&gt;0.01),$L622/86400+DATE(1970,1,1)+$G$6,)</f>
        <v/>
      </c>
      <c r="B622" s="27" t="str">
        <f t="shared" si="1"/>
        <v/>
      </c>
      <c r="C622" s="14" t="str">
        <f>IF($A622&lt;&gt;"",MINIFS(Merchant!$A:$A,Merchant!$B:$B,$G$2),)</f>
        <v/>
      </c>
      <c r="D622" s="14" t="str">
        <f t="shared" si="2"/>
        <v/>
      </c>
      <c r="E622" s="14" t="str">
        <f t="shared" si="3"/>
        <v/>
      </c>
      <c r="F622" s="7" t="str">
        <f>IF($A622&lt;&gt;"",MAXIFS(Token!$B:$B,Token!$A:$A,$D622),)</f>
        <v/>
      </c>
    </row>
    <row r="623">
      <c r="A623" s="39" t="str">
        <f>IF(AND($L623*1&gt;=$G$3,$L623*1&lt;=$G$4,$I623*$J623&gt;0,OR($I623&lt;&gt;$I624,$L623-$L624&gt;25),$I623/POW(10,$J623)*MAXIFS(Token!$B:$B,Token!$A:$A,$K623)&gt;0.01),$L623/86400+DATE(1970,1,1)+$G$6,)</f>
        <v/>
      </c>
      <c r="B623" s="27" t="str">
        <f t="shared" si="1"/>
        <v/>
      </c>
      <c r="C623" s="14" t="str">
        <f>IF($A623&lt;&gt;"",MINIFS(Merchant!$A:$A,Merchant!$B:$B,$G$2),)</f>
        <v/>
      </c>
      <c r="D623" s="14" t="str">
        <f t="shared" si="2"/>
        <v/>
      </c>
      <c r="E623" s="14" t="str">
        <f t="shared" si="3"/>
        <v/>
      </c>
      <c r="F623" s="7" t="str">
        <f>IF($A623&lt;&gt;"",MAXIFS(Token!$B:$B,Token!$A:$A,$D623),)</f>
        <v/>
      </c>
    </row>
    <row r="624">
      <c r="A624" s="39" t="str">
        <f>IF(AND($L624*1&gt;=$G$3,$L624*1&lt;=$G$4,$I624*$J624&gt;0,OR($I624&lt;&gt;$I625,$L624-$L625&gt;25),$I624/POW(10,$J624)*MAXIFS(Token!$B:$B,Token!$A:$A,$K624)&gt;0.01),$L624/86400+DATE(1970,1,1)+$G$6,)</f>
        <v/>
      </c>
      <c r="B624" s="27" t="str">
        <f t="shared" si="1"/>
        <v/>
      </c>
      <c r="C624" s="14" t="str">
        <f>IF($A624&lt;&gt;"",MINIFS(Merchant!$A:$A,Merchant!$B:$B,$G$2),)</f>
        <v/>
      </c>
      <c r="D624" s="14" t="str">
        <f t="shared" si="2"/>
        <v/>
      </c>
      <c r="E624" s="14" t="str">
        <f t="shared" si="3"/>
        <v/>
      </c>
      <c r="F624" s="7" t="str">
        <f>IF($A624&lt;&gt;"",MAXIFS(Token!$B:$B,Token!$A:$A,$D624),)</f>
        <v/>
      </c>
    </row>
    <row r="625">
      <c r="A625" s="39" t="str">
        <f>IF(AND($L625*1&gt;=$G$3,$L625*1&lt;=$G$4,$I625*$J625&gt;0,OR($I625&lt;&gt;$I626,$L625-$L626&gt;25),$I625/POW(10,$J625)*MAXIFS(Token!$B:$B,Token!$A:$A,$K625)&gt;0.01),$L625/86400+DATE(1970,1,1)+$G$6,)</f>
        <v/>
      </c>
      <c r="B625" s="27" t="str">
        <f t="shared" si="1"/>
        <v/>
      </c>
      <c r="C625" s="14" t="str">
        <f>IF($A625&lt;&gt;"",MINIFS(Merchant!$A:$A,Merchant!$B:$B,$G$2),)</f>
        <v/>
      </c>
      <c r="D625" s="14" t="str">
        <f t="shared" si="2"/>
        <v/>
      </c>
      <c r="E625" s="14" t="str">
        <f t="shared" si="3"/>
        <v/>
      </c>
      <c r="F625" s="7" t="str">
        <f>IF($A625&lt;&gt;"",MAXIFS(Token!$B:$B,Token!$A:$A,$D625),)</f>
        <v/>
      </c>
    </row>
    <row r="626">
      <c r="A626" s="39" t="str">
        <f>IF(AND($L626*1&gt;=$G$3,$L626*1&lt;=$G$4,$I626*$J626&gt;0,OR($I626&lt;&gt;$I627,$L626-$L627&gt;25),$I626/POW(10,$J626)*MAXIFS(Token!$B:$B,Token!$A:$A,$K626)&gt;0.01),$L626/86400+DATE(1970,1,1)+$G$6,)</f>
        <v/>
      </c>
      <c r="B626" s="27" t="str">
        <f t="shared" si="1"/>
        <v/>
      </c>
      <c r="C626" s="14" t="str">
        <f>IF($A626&lt;&gt;"",MINIFS(Merchant!$A:$A,Merchant!$B:$B,$G$2),)</f>
        <v/>
      </c>
      <c r="D626" s="14" t="str">
        <f t="shared" si="2"/>
        <v/>
      </c>
      <c r="E626" s="14" t="str">
        <f t="shared" si="3"/>
        <v/>
      </c>
      <c r="F626" s="7" t="str">
        <f>IF($A626&lt;&gt;"",MAXIFS(Token!$B:$B,Token!$A:$A,$D626),)</f>
        <v/>
      </c>
    </row>
    <row r="627">
      <c r="A627" s="39" t="str">
        <f>IF(AND($L627*1&gt;=$G$3,$L627*1&lt;=$G$4,$I627*$J627&gt;0,OR($I627&lt;&gt;$I628,$L627-$L628&gt;25),$I627/POW(10,$J627)*MAXIFS(Token!$B:$B,Token!$A:$A,$K627)&gt;0.01),$L627/86400+DATE(1970,1,1)+$G$6,)</f>
        <v/>
      </c>
      <c r="B627" s="27" t="str">
        <f t="shared" si="1"/>
        <v/>
      </c>
      <c r="C627" s="14" t="str">
        <f>IF($A627&lt;&gt;"",MINIFS(Merchant!$A:$A,Merchant!$B:$B,$G$2),)</f>
        <v/>
      </c>
      <c r="D627" s="14" t="str">
        <f t="shared" si="2"/>
        <v/>
      </c>
      <c r="E627" s="14" t="str">
        <f t="shared" si="3"/>
        <v/>
      </c>
      <c r="F627" s="7" t="str">
        <f>IF($A627&lt;&gt;"",MAXIFS(Token!$B:$B,Token!$A:$A,$D627),)</f>
        <v/>
      </c>
    </row>
    <row r="628">
      <c r="A628" s="39" t="str">
        <f>IF(AND($L628*1&gt;=$G$3,$L628*1&lt;=$G$4,$I628*$J628&gt;0,OR($I628&lt;&gt;$I629,$L628-$L629&gt;25),$I628/POW(10,$J628)*MAXIFS(Token!$B:$B,Token!$A:$A,$K628)&gt;0.01),$L628/86400+DATE(1970,1,1)+$G$6,)</f>
        <v/>
      </c>
      <c r="B628" s="27" t="str">
        <f t="shared" si="1"/>
        <v/>
      </c>
      <c r="C628" s="14" t="str">
        <f>IF($A628&lt;&gt;"",MINIFS(Merchant!$A:$A,Merchant!$B:$B,$G$2),)</f>
        <v/>
      </c>
      <c r="D628" s="14" t="str">
        <f t="shared" si="2"/>
        <v/>
      </c>
      <c r="E628" s="14" t="str">
        <f t="shared" si="3"/>
        <v/>
      </c>
      <c r="F628" s="7" t="str">
        <f>IF($A628&lt;&gt;"",MAXIFS(Token!$B:$B,Token!$A:$A,$D628),)</f>
        <v/>
      </c>
    </row>
    <row r="629">
      <c r="A629" s="39" t="str">
        <f>IF(AND($L629*1&gt;=$G$3,$L629*1&lt;=$G$4,$I629*$J629&gt;0,OR($I629&lt;&gt;$I630,$L629-$L630&gt;25),$I629/POW(10,$J629)*MAXIFS(Token!$B:$B,Token!$A:$A,$K629)&gt;0.01),$L629/86400+DATE(1970,1,1)+$G$6,)</f>
        <v/>
      </c>
      <c r="B629" s="27" t="str">
        <f t="shared" si="1"/>
        <v/>
      </c>
      <c r="C629" s="14" t="str">
        <f>IF($A629&lt;&gt;"",MINIFS(Merchant!$A:$A,Merchant!$B:$B,$G$2),)</f>
        <v/>
      </c>
      <c r="D629" s="14" t="str">
        <f t="shared" si="2"/>
        <v/>
      </c>
      <c r="E629" s="14" t="str">
        <f t="shared" si="3"/>
        <v/>
      </c>
      <c r="F629" s="7" t="str">
        <f>IF($A629&lt;&gt;"",MAXIFS(Token!$B:$B,Token!$A:$A,$D629),)</f>
        <v/>
      </c>
    </row>
    <row r="630">
      <c r="A630" s="39" t="str">
        <f>IF(AND($L630*1&gt;=$G$3,$L630*1&lt;=$G$4,$I630*$J630&gt;0,OR($I630&lt;&gt;$I631,$L630-$L631&gt;25),$I630/POW(10,$J630)*MAXIFS(Token!$B:$B,Token!$A:$A,$K630)&gt;0.01),$L630/86400+DATE(1970,1,1)+$G$6,)</f>
        <v/>
      </c>
      <c r="B630" s="27" t="str">
        <f t="shared" si="1"/>
        <v/>
      </c>
      <c r="C630" s="14" t="str">
        <f>IF($A630&lt;&gt;"",MINIFS(Merchant!$A:$A,Merchant!$B:$B,$G$2),)</f>
        <v/>
      </c>
      <c r="D630" s="14" t="str">
        <f t="shared" si="2"/>
        <v/>
      </c>
      <c r="E630" s="14" t="str">
        <f t="shared" si="3"/>
        <v/>
      </c>
      <c r="F630" s="7" t="str">
        <f>IF($A630&lt;&gt;"",MAXIFS(Token!$B:$B,Token!$A:$A,$D630),)</f>
        <v/>
      </c>
    </row>
    <row r="631">
      <c r="A631" s="39" t="str">
        <f>IF(AND($L631*1&gt;=$G$3,$L631*1&lt;=$G$4,$I631*$J631&gt;0,OR($I631&lt;&gt;$I632,$L631-$L632&gt;25),$I631/POW(10,$J631)*MAXIFS(Token!$B:$B,Token!$A:$A,$K631)&gt;0.01),$L631/86400+DATE(1970,1,1)+$G$6,)</f>
        <v/>
      </c>
      <c r="B631" s="27" t="str">
        <f t="shared" si="1"/>
        <v/>
      </c>
      <c r="C631" s="14" t="str">
        <f>IF($A631&lt;&gt;"",MINIFS(Merchant!$A:$A,Merchant!$B:$B,$G$2),)</f>
        <v/>
      </c>
      <c r="D631" s="14" t="str">
        <f t="shared" si="2"/>
        <v/>
      </c>
      <c r="E631" s="14" t="str">
        <f t="shared" si="3"/>
        <v/>
      </c>
      <c r="F631" s="7" t="str">
        <f>IF($A631&lt;&gt;"",MAXIFS(Token!$B:$B,Token!$A:$A,$D631),)</f>
        <v/>
      </c>
    </row>
    <row r="632">
      <c r="A632" s="39" t="str">
        <f>IF(AND($L632*1&gt;=$G$3,$L632*1&lt;=$G$4,$I632*$J632&gt;0,OR($I632&lt;&gt;$I633,$L632-$L633&gt;25),$I632/POW(10,$J632)*MAXIFS(Token!$B:$B,Token!$A:$A,$K632)&gt;0.01),$L632/86400+DATE(1970,1,1)+$G$6,)</f>
        <v/>
      </c>
      <c r="B632" s="27" t="str">
        <f t="shared" si="1"/>
        <v/>
      </c>
      <c r="C632" s="14" t="str">
        <f>IF($A632&lt;&gt;"",MINIFS(Merchant!$A:$A,Merchant!$B:$B,$G$2),)</f>
        <v/>
      </c>
      <c r="D632" s="14" t="str">
        <f t="shared" si="2"/>
        <v/>
      </c>
      <c r="E632" s="14" t="str">
        <f t="shared" si="3"/>
        <v/>
      </c>
      <c r="F632" s="7" t="str">
        <f>IF($A632&lt;&gt;"",MAXIFS(Token!$B:$B,Token!$A:$A,$D632),)</f>
        <v/>
      </c>
    </row>
    <row r="633">
      <c r="A633" s="39" t="str">
        <f>IF(AND($L633*1&gt;=$G$3,$L633*1&lt;=$G$4,$I633*$J633&gt;0,OR($I633&lt;&gt;$I634,$L633-$L634&gt;25),$I633/POW(10,$J633)*MAXIFS(Token!$B:$B,Token!$A:$A,$K633)&gt;0.01),$L633/86400+DATE(1970,1,1)+$G$6,)</f>
        <v/>
      </c>
      <c r="B633" s="27" t="str">
        <f t="shared" si="1"/>
        <v/>
      </c>
      <c r="C633" s="14" t="str">
        <f>IF($A633&lt;&gt;"",MINIFS(Merchant!$A:$A,Merchant!$B:$B,$G$2),)</f>
        <v/>
      </c>
      <c r="D633" s="14" t="str">
        <f t="shared" si="2"/>
        <v/>
      </c>
      <c r="E633" s="14" t="str">
        <f t="shared" si="3"/>
        <v/>
      </c>
      <c r="F633" s="7" t="str">
        <f>IF($A633&lt;&gt;"",MAXIFS(Token!$B:$B,Token!$A:$A,$D633),)</f>
        <v/>
      </c>
    </row>
    <row r="634">
      <c r="A634" s="39" t="str">
        <f>IF(AND($L634*1&gt;=$G$3,$L634*1&lt;=$G$4,$I634*$J634&gt;0,OR($I634&lt;&gt;$I635,$L634-$L635&gt;25),$I634/POW(10,$J634)*MAXIFS(Token!$B:$B,Token!$A:$A,$K634)&gt;0.01),$L634/86400+DATE(1970,1,1)+$G$6,)</f>
        <v/>
      </c>
      <c r="B634" s="27" t="str">
        <f t="shared" si="1"/>
        <v/>
      </c>
      <c r="C634" s="14" t="str">
        <f>IF($A634&lt;&gt;"",MINIFS(Merchant!$A:$A,Merchant!$B:$B,$G$2),)</f>
        <v/>
      </c>
      <c r="D634" s="14" t="str">
        <f t="shared" si="2"/>
        <v/>
      </c>
      <c r="E634" s="14" t="str">
        <f t="shared" si="3"/>
        <v/>
      </c>
      <c r="F634" s="7" t="str">
        <f>IF($A634&lt;&gt;"",MAXIFS(Token!$B:$B,Token!$A:$A,$D634),)</f>
        <v/>
      </c>
    </row>
    <row r="635">
      <c r="A635" s="39" t="str">
        <f>IF(AND($L635*1&gt;=$G$3,$L635*1&lt;=$G$4,$I635*$J635&gt;0,OR($I635&lt;&gt;$I636,$L635-$L636&gt;25),$I635/POW(10,$J635)*MAXIFS(Token!$B:$B,Token!$A:$A,$K635)&gt;0.01),$L635/86400+DATE(1970,1,1)+$G$6,)</f>
        <v/>
      </c>
      <c r="B635" s="27" t="str">
        <f t="shared" si="1"/>
        <v/>
      </c>
      <c r="C635" s="14" t="str">
        <f>IF($A635&lt;&gt;"",MINIFS(Merchant!$A:$A,Merchant!$B:$B,$G$2),)</f>
        <v/>
      </c>
      <c r="D635" s="14" t="str">
        <f t="shared" si="2"/>
        <v/>
      </c>
      <c r="E635" s="14" t="str">
        <f t="shared" si="3"/>
        <v/>
      </c>
      <c r="F635" s="7" t="str">
        <f>IF($A635&lt;&gt;"",MAXIFS(Token!$B:$B,Token!$A:$A,$D635),)</f>
        <v/>
      </c>
    </row>
    <row r="636">
      <c r="A636" s="39" t="str">
        <f>IF(AND($L636*1&gt;=$G$3,$L636*1&lt;=$G$4,$I636*$J636&gt;0,OR($I636&lt;&gt;$I637,$L636-$L637&gt;25),$I636/POW(10,$J636)*MAXIFS(Token!$B:$B,Token!$A:$A,$K636)&gt;0.01),$L636/86400+DATE(1970,1,1)+$G$6,)</f>
        <v/>
      </c>
      <c r="B636" s="27" t="str">
        <f t="shared" si="1"/>
        <v/>
      </c>
      <c r="C636" s="14" t="str">
        <f>IF($A636&lt;&gt;"",MINIFS(Merchant!$A:$A,Merchant!$B:$B,$G$2),)</f>
        <v/>
      </c>
      <c r="D636" s="14" t="str">
        <f t="shared" si="2"/>
        <v/>
      </c>
      <c r="E636" s="14" t="str">
        <f t="shared" si="3"/>
        <v/>
      </c>
      <c r="F636" s="7" t="str">
        <f>IF($A636&lt;&gt;"",MAXIFS(Token!$B:$B,Token!$A:$A,$D636),)</f>
        <v/>
      </c>
    </row>
    <row r="637">
      <c r="A637" s="39" t="str">
        <f>IF(AND($L637*1&gt;=$G$3,$L637*1&lt;=$G$4,$I637*$J637&gt;0,OR($I637&lt;&gt;$I638,$L637-$L638&gt;25),$I637/POW(10,$J637)*MAXIFS(Token!$B:$B,Token!$A:$A,$K637)&gt;0.01),$L637/86400+DATE(1970,1,1)+$G$6,)</f>
        <v/>
      </c>
      <c r="B637" s="27" t="str">
        <f t="shared" si="1"/>
        <v/>
      </c>
      <c r="C637" s="14" t="str">
        <f>IF($A637&lt;&gt;"",MINIFS(Merchant!$A:$A,Merchant!$B:$B,$G$2),)</f>
        <v/>
      </c>
      <c r="D637" s="14" t="str">
        <f t="shared" si="2"/>
        <v/>
      </c>
      <c r="E637" s="14" t="str">
        <f t="shared" si="3"/>
        <v/>
      </c>
      <c r="F637" s="7" t="str">
        <f>IF($A637&lt;&gt;"",MAXIFS(Token!$B:$B,Token!$A:$A,$D637),)</f>
        <v/>
      </c>
    </row>
    <row r="638">
      <c r="A638" s="39" t="str">
        <f>IF(AND($L638*1&gt;=$G$3,$L638*1&lt;=$G$4,$I638*$J638&gt;0,OR($I638&lt;&gt;$I639,$L638-$L639&gt;25),$I638/POW(10,$J638)*MAXIFS(Token!$B:$B,Token!$A:$A,$K638)&gt;0.01),$L638/86400+DATE(1970,1,1)+$G$6,)</f>
        <v/>
      </c>
      <c r="B638" s="27" t="str">
        <f t="shared" si="1"/>
        <v/>
      </c>
      <c r="C638" s="14" t="str">
        <f>IF($A638&lt;&gt;"",MINIFS(Merchant!$A:$A,Merchant!$B:$B,$G$2),)</f>
        <v/>
      </c>
      <c r="D638" s="14" t="str">
        <f t="shared" si="2"/>
        <v/>
      </c>
      <c r="E638" s="14" t="str">
        <f t="shared" si="3"/>
        <v/>
      </c>
      <c r="F638" s="7" t="str">
        <f>IF($A638&lt;&gt;"",MAXIFS(Token!$B:$B,Token!$A:$A,$D638),)</f>
        <v/>
      </c>
    </row>
    <row r="639">
      <c r="A639" s="39" t="str">
        <f>IF(AND($L639*1&gt;=$G$3,$L639*1&lt;=$G$4,$I639*$J639&gt;0,OR($I639&lt;&gt;$I640,$L639-$L640&gt;25),$I639/POW(10,$J639)*MAXIFS(Token!$B:$B,Token!$A:$A,$K639)&gt;0.01),$L639/86400+DATE(1970,1,1)+$G$6,)</f>
        <v/>
      </c>
      <c r="B639" s="27" t="str">
        <f t="shared" si="1"/>
        <v/>
      </c>
      <c r="C639" s="14" t="str">
        <f>IF($A639&lt;&gt;"",MINIFS(Merchant!$A:$A,Merchant!$B:$B,$G$2),)</f>
        <v/>
      </c>
      <c r="D639" s="14" t="str">
        <f t="shared" si="2"/>
        <v/>
      </c>
      <c r="E639" s="14" t="str">
        <f t="shared" si="3"/>
        <v/>
      </c>
      <c r="F639" s="7" t="str">
        <f>IF($A639&lt;&gt;"",MAXIFS(Token!$B:$B,Token!$A:$A,$D639),)</f>
        <v/>
      </c>
    </row>
    <row r="640">
      <c r="A640" s="39" t="str">
        <f>IF(AND($L640*1&gt;=$G$3,$L640*1&lt;=$G$4,$I640*$J640&gt;0,OR($I640&lt;&gt;$I641,$L640-$L641&gt;25),$I640/POW(10,$J640)*MAXIFS(Token!$B:$B,Token!$A:$A,$K640)&gt;0.01),$L640/86400+DATE(1970,1,1)+$G$6,)</f>
        <v/>
      </c>
      <c r="B640" s="27" t="str">
        <f t="shared" si="1"/>
        <v/>
      </c>
      <c r="C640" s="14" t="str">
        <f>IF($A640&lt;&gt;"",MINIFS(Merchant!$A:$A,Merchant!$B:$B,$G$2),)</f>
        <v/>
      </c>
      <c r="D640" s="14" t="str">
        <f t="shared" si="2"/>
        <v/>
      </c>
      <c r="E640" s="14" t="str">
        <f t="shared" si="3"/>
        <v/>
      </c>
      <c r="F640" s="7" t="str">
        <f>IF($A640&lt;&gt;"",MAXIFS(Token!$B:$B,Token!$A:$A,$D640),)</f>
        <v/>
      </c>
    </row>
    <row r="641">
      <c r="A641" s="39" t="str">
        <f>IF(AND($L641*1&gt;=$G$3,$L641*1&lt;=$G$4,$I641*$J641&gt;0,OR($I641&lt;&gt;$I642,$L641-$L642&gt;25),$I641/POW(10,$J641)*MAXIFS(Token!$B:$B,Token!$A:$A,$K641)&gt;0.01),$L641/86400+DATE(1970,1,1)+$G$6,)</f>
        <v/>
      </c>
      <c r="B641" s="27" t="str">
        <f t="shared" si="1"/>
        <v/>
      </c>
      <c r="C641" s="14" t="str">
        <f>IF($A641&lt;&gt;"",MINIFS(Merchant!$A:$A,Merchant!$B:$B,$G$2),)</f>
        <v/>
      </c>
      <c r="D641" s="14" t="str">
        <f t="shared" si="2"/>
        <v/>
      </c>
      <c r="E641" s="14" t="str">
        <f t="shared" si="3"/>
        <v/>
      </c>
      <c r="F641" s="7" t="str">
        <f>IF($A641&lt;&gt;"",MAXIFS(Token!$B:$B,Token!$A:$A,$D641),)</f>
        <v/>
      </c>
    </row>
    <row r="642">
      <c r="A642" s="39" t="str">
        <f>IF(AND($L642*1&gt;=$G$3,$L642*1&lt;=$G$4,$I642*$J642&gt;0,OR($I642&lt;&gt;$I643,$L642-$L643&gt;25),$I642/POW(10,$J642)*MAXIFS(Token!$B:$B,Token!$A:$A,$K642)&gt;0.01),$L642/86400+DATE(1970,1,1)+$G$6,)</f>
        <v/>
      </c>
      <c r="B642" s="27" t="str">
        <f t="shared" si="1"/>
        <v/>
      </c>
      <c r="C642" s="14" t="str">
        <f>IF($A642&lt;&gt;"",MINIFS(Merchant!$A:$A,Merchant!$B:$B,$G$2),)</f>
        <v/>
      </c>
      <c r="D642" s="14" t="str">
        <f t="shared" si="2"/>
        <v/>
      </c>
      <c r="E642" s="14" t="str">
        <f t="shared" si="3"/>
        <v/>
      </c>
      <c r="F642" s="7" t="str">
        <f>IF($A642&lt;&gt;"",MAXIFS(Token!$B:$B,Token!$A:$A,$D642),)</f>
        <v/>
      </c>
    </row>
    <row r="643">
      <c r="A643" s="39" t="str">
        <f>IF(AND($L643*1&gt;=$G$3,$L643*1&lt;=$G$4,$I643*$J643&gt;0,OR($I643&lt;&gt;$I644,$L643-$L644&gt;25),$I643/POW(10,$J643)*MAXIFS(Token!$B:$B,Token!$A:$A,$K643)&gt;0.01),$L643/86400+DATE(1970,1,1)+$G$6,)</f>
        <v/>
      </c>
      <c r="B643" s="27" t="str">
        <f t="shared" si="1"/>
        <v/>
      </c>
      <c r="C643" s="14" t="str">
        <f>IF($A643&lt;&gt;"",MINIFS(Merchant!$A:$A,Merchant!$B:$B,$G$2),)</f>
        <v/>
      </c>
      <c r="D643" s="14" t="str">
        <f t="shared" si="2"/>
        <v/>
      </c>
      <c r="E643" s="14" t="str">
        <f t="shared" si="3"/>
        <v/>
      </c>
      <c r="F643" s="7" t="str">
        <f>IF($A643&lt;&gt;"",MAXIFS(Token!$B:$B,Token!$A:$A,$D643),)</f>
        <v/>
      </c>
    </row>
    <row r="644">
      <c r="A644" s="39" t="str">
        <f>IF(AND($L644*1&gt;=$G$3,$L644*1&lt;=$G$4,$I644*$J644&gt;0,OR($I644&lt;&gt;$I645,$L644-$L645&gt;25),$I644/POW(10,$J644)*MAXIFS(Token!$B:$B,Token!$A:$A,$K644)&gt;0.01),$L644/86400+DATE(1970,1,1)+$G$6,)</f>
        <v/>
      </c>
      <c r="B644" s="27" t="str">
        <f t="shared" si="1"/>
        <v/>
      </c>
      <c r="C644" s="14" t="str">
        <f>IF($A644&lt;&gt;"",MINIFS(Merchant!$A:$A,Merchant!$B:$B,$G$2),)</f>
        <v/>
      </c>
      <c r="D644" s="14" t="str">
        <f t="shared" si="2"/>
        <v/>
      </c>
      <c r="E644" s="14" t="str">
        <f t="shared" si="3"/>
        <v/>
      </c>
      <c r="F644" s="7" t="str">
        <f>IF($A644&lt;&gt;"",MAXIFS(Token!$B:$B,Token!$A:$A,$D644),)</f>
        <v/>
      </c>
    </row>
    <row r="645">
      <c r="A645" s="39" t="str">
        <f>IF(AND($L645*1&gt;=$G$3,$L645*1&lt;=$G$4,$I645*$J645&gt;0,OR($I645&lt;&gt;$I646,$L645-$L646&gt;25),$I645/POW(10,$J645)*MAXIFS(Token!$B:$B,Token!$A:$A,$K645)&gt;0.01),$L645/86400+DATE(1970,1,1)+$G$6,)</f>
        <v/>
      </c>
      <c r="B645" s="27" t="str">
        <f t="shared" si="1"/>
        <v/>
      </c>
      <c r="C645" s="14" t="str">
        <f>IF($A645&lt;&gt;"",MINIFS(Merchant!$A:$A,Merchant!$B:$B,$G$2),)</f>
        <v/>
      </c>
      <c r="D645" s="14" t="str">
        <f t="shared" si="2"/>
        <v/>
      </c>
      <c r="E645" s="14" t="str">
        <f t="shared" si="3"/>
        <v/>
      </c>
      <c r="F645" s="7" t="str">
        <f>IF($A645&lt;&gt;"",MAXIFS(Token!$B:$B,Token!$A:$A,$D645),)</f>
        <v/>
      </c>
    </row>
    <row r="646">
      <c r="A646" s="39" t="str">
        <f>IF(AND($L646*1&gt;=$G$3,$L646*1&lt;=$G$4,$I646*$J646&gt;0,OR($I646&lt;&gt;$I647,$L646-$L647&gt;25),$I646/POW(10,$J646)*MAXIFS(Token!$B:$B,Token!$A:$A,$K646)&gt;0.01),$L646/86400+DATE(1970,1,1)+$G$6,)</f>
        <v/>
      </c>
      <c r="B646" s="27" t="str">
        <f t="shared" si="1"/>
        <v/>
      </c>
      <c r="C646" s="14" t="str">
        <f>IF($A646&lt;&gt;"",MINIFS(Merchant!$A:$A,Merchant!$B:$B,$G$2),)</f>
        <v/>
      </c>
      <c r="D646" s="14" t="str">
        <f t="shared" si="2"/>
        <v/>
      </c>
      <c r="E646" s="14" t="str">
        <f t="shared" si="3"/>
        <v/>
      </c>
      <c r="F646" s="7" t="str">
        <f>IF($A646&lt;&gt;"",MAXIFS(Token!$B:$B,Token!$A:$A,$D646),)</f>
        <v/>
      </c>
    </row>
    <row r="647">
      <c r="A647" s="39" t="str">
        <f>IF(AND($L647*1&gt;=$G$3,$L647*1&lt;=$G$4,$I647*$J647&gt;0,OR($I647&lt;&gt;$I648,$L647-$L648&gt;25),$I647/POW(10,$J647)*MAXIFS(Token!$B:$B,Token!$A:$A,$K647)&gt;0.01),$L647/86400+DATE(1970,1,1)+$G$6,)</f>
        <v/>
      </c>
      <c r="B647" s="27" t="str">
        <f t="shared" si="1"/>
        <v/>
      </c>
      <c r="C647" s="14" t="str">
        <f>IF($A647&lt;&gt;"",MINIFS(Merchant!$A:$A,Merchant!$B:$B,$G$2),)</f>
        <v/>
      </c>
      <c r="D647" s="14" t="str">
        <f t="shared" si="2"/>
        <v/>
      </c>
      <c r="E647" s="14" t="str">
        <f t="shared" si="3"/>
        <v/>
      </c>
      <c r="F647" s="7" t="str">
        <f>IF($A647&lt;&gt;"",MAXIFS(Token!$B:$B,Token!$A:$A,$D647),)</f>
        <v/>
      </c>
    </row>
    <row r="648">
      <c r="A648" s="39" t="str">
        <f>IF(AND($L648*1&gt;=$G$3,$L648*1&lt;=$G$4,$I648*$J648&gt;0,OR($I648&lt;&gt;$I649,$L648-$L649&gt;25),$I648/POW(10,$J648)*MAXIFS(Token!$B:$B,Token!$A:$A,$K648)&gt;0.01),$L648/86400+DATE(1970,1,1)+$G$6,)</f>
        <v/>
      </c>
      <c r="B648" s="27" t="str">
        <f t="shared" si="1"/>
        <v/>
      </c>
      <c r="C648" s="14" t="str">
        <f>IF($A648&lt;&gt;"",MINIFS(Merchant!$A:$A,Merchant!$B:$B,$G$2),)</f>
        <v/>
      </c>
      <c r="D648" s="14" t="str">
        <f t="shared" si="2"/>
        <v/>
      </c>
      <c r="E648" s="14" t="str">
        <f t="shared" si="3"/>
        <v/>
      </c>
      <c r="F648" s="7" t="str">
        <f>IF($A648&lt;&gt;"",MAXIFS(Token!$B:$B,Token!$A:$A,$D648),)</f>
        <v/>
      </c>
    </row>
    <row r="649">
      <c r="A649" s="39" t="str">
        <f>IF(AND($L649*1&gt;=$G$3,$L649*1&lt;=$G$4,$I649*$J649&gt;0,OR($I649&lt;&gt;$I650,$L649-$L650&gt;25),$I649/POW(10,$J649)*MAXIFS(Token!$B:$B,Token!$A:$A,$K649)&gt;0.01),$L649/86400+DATE(1970,1,1)+$G$6,)</f>
        <v/>
      </c>
      <c r="B649" s="27" t="str">
        <f t="shared" si="1"/>
        <v/>
      </c>
      <c r="C649" s="14" t="str">
        <f>IF($A649&lt;&gt;"",MINIFS(Merchant!$A:$A,Merchant!$B:$B,$G$2),)</f>
        <v/>
      </c>
      <c r="D649" s="14" t="str">
        <f t="shared" si="2"/>
        <v/>
      </c>
      <c r="E649" s="14" t="str">
        <f t="shared" si="3"/>
        <v/>
      </c>
      <c r="F649" s="7" t="str">
        <f>IF($A649&lt;&gt;"",MAXIFS(Token!$B:$B,Token!$A:$A,$D649),)</f>
        <v/>
      </c>
    </row>
    <row r="650">
      <c r="A650" s="39" t="str">
        <f>IF(AND($L650*1&gt;=$G$3,$L650*1&lt;=$G$4,$I650*$J650&gt;0,OR($I650&lt;&gt;$I651,$L650-$L651&gt;25),$I650/POW(10,$J650)*MAXIFS(Token!$B:$B,Token!$A:$A,$K650)&gt;0.01),$L650/86400+DATE(1970,1,1)+$G$6,)</f>
        <v/>
      </c>
      <c r="B650" s="27" t="str">
        <f t="shared" si="1"/>
        <v/>
      </c>
      <c r="C650" s="14" t="str">
        <f>IF($A650&lt;&gt;"",MINIFS(Merchant!$A:$A,Merchant!$B:$B,$G$2),)</f>
        <v/>
      </c>
      <c r="D650" s="14" t="str">
        <f t="shared" si="2"/>
        <v/>
      </c>
      <c r="E650" s="14" t="str">
        <f t="shared" si="3"/>
        <v/>
      </c>
      <c r="F650" s="7" t="str">
        <f>IF($A650&lt;&gt;"",MAXIFS(Token!$B:$B,Token!$A:$A,$D650),)</f>
        <v/>
      </c>
    </row>
    <row r="651">
      <c r="A651" s="39" t="str">
        <f>IF(AND($L651*1&gt;=$G$3,$L651*1&lt;=$G$4,$I651*$J651&gt;0,OR($I651&lt;&gt;$I652,$L651-$L652&gt;25),$I651/POW(10,$J651)*MAXIFS(Token!$B:$B,Token!$A:$A,$K651)&gt;0.01),$L651/86400+DATE(1970,1,1)+$G$6,)</f>
        <v/>
      </c>
      <c r="B651" s="27" t="str">
        <f t="shared" si="1"/>
        <v/>
      </c>
      <c r="C651" s="14" t="str">
        <f>IF($A651&lt;&gt;"",MINIFS(Merchant!$A:$A,Merchant!$B:$B,$G$2),)</f>
        <v/>
      </c>
      <c r="D651" s="14" t="str">
        <f t="shared" si="2"/>
        <v/>
      </c>
      <c r="E651" s="14" t="str">
        <f t="shared" si="3"/>
        <v/>
      </c>
      <c r="F651" s="7" t="str">
        <f>IF($A651&lt;&gt;"",MAXIFS(Token!$B:$B,Token!$A:$A,$D651),)</f>
        <v/>
      </c>
    </row>
    <row r="652">
      <c r="A652" s="39" t="str">
        <f>IF(AND($L652*1&gt;=$G$3,$L652*1&lt;=$G$4,$I652*$J652&gt;0,OR($I652&lt;&gt;$I653,$L652-$L653&gt;25),$I652/POW(10,$J652)*MAXIFS(Token!$B:$B,Token!$A:$A,$K652)&gt;0.01),$L652/86400+DATE(1970,1,1)+$G$6,)</f>
        <v/>
      </c>
      <c r="B652" s="27" t="str">
        <f t="shared" si="1"/>
        <v/>
      </c>
      <c r="C652" s="14" t="str">
        <f>IF($A652&lt;&gt;"",MINIFS(Merchant!$A:$A,Merchant!$B:$B,$G$2),)</f>
        <v/>
      </c>
      <c r="D652" s="14" t="str">
        <f t="shared" si="2"/>
        <v/>
      </c>
      <c r="E652" s="14" t="str">
        <f t="shared" si="3"/>
        <v/>
      </c>
      <c r="F652" s="7" t="str">
        <f>IF($A652&lt;&gt;"",MAXIFS(Token!$B:$B,Token!$A:$A,$D652),)</f>
        <v/>
      </c>
    </row>
    <row r="653">
      <c r="A653" s="39" t="str">
        <f>IF(AND($L653*1&gt;=$G$3,$L653*1&lt;=$G$4,$I653*$J653&gt;0,OR($I653&lt;&gt;$I654,$L653-$L654&gt;25),$I653/POW(10,$J653)*MAXIFS(Token!$B:$B,Token!$A:$A,$K653)&gt;0.01),$L653/86400+DATE(1970,1,1)+$G$6,)</f>
        <v/>
      </c>
      <c r="B653" s="27" t="str">
        <f t="shared" si="1"/>
        <v/>
      </c>
      <c r="C653" s="14" t="str">
        <f>IF($A653&lt;&gt;"",MINIFS(Merchant!$A:$A,Merchant!$B:$B,$G$2),)</f>
        <v/>
      </c>
      <c r="D653" s="14" t="str">
        <f t="shared" si="2"/>
        <v/>
      </c>
      <c r="E653" s="14" t="str">
        <f t="shared" si="3"/>
        <v/>
      </c>
      <c r="F653" s="7" t="str">
        <f>IF($A653&lt;&gt;"",MAXIFS(Token!$B:$B,Token!$A:$A,$D653),)</f>
        <v/>
      </c>
    </row>
    <row r="654">
      <c r="A654" s="39" t="str">
        <f>IF(AND($L654*1&gt;=$G$3,$L654*1&lt;=$G$4,$I654*$J654&gt;0,OR($I654&lt;&gt;$I655,$L654-$L655&gt;25),$I654/POW(10,$J654)*MAXIFS(Token!$B:$B,Token!$A:$A,$K654)&gt;0.01),$L654/86400+DATE(1970,1,1)+$G$6,)</f>
        <v/>
      </c>
      <c r="B654" s="27" t="str">
        <f t="shared" si="1"/>
        <v/>
      </c>
      <c r="C654" s="14" t="str">
        <f>IF($A654&lt;&gt;"",MINIFS(Merchant!$A:$A,Merchant!$B:$B,$G$2),)</f>
        <v/>
      </c>
      <c r="D654" s="14" t="str">
        <f t="shared" si="2"/>
        <v/>
      </c>
      <c r="E654" s="14" t="str">
        <f t="shared" si="3"/>
        <v/>
      </c>
      <c r="F654" s="7" t="str">
        <f>IF($A654&lt;&gt;"",MAXIFS(Token!$B:$B,Token!$A:$A,$D654),)</f>
        <v/>
      </c>
    </row>
    <row r="655">
      <c r="A655" s="39" t="str">
        <f>IF(AND($L655*1&gt;=$G$3,$L655*1&lt;=$G$4,$I655*$J655&gt;0,OR($I655&lt;&gt;$I656,$L655-$L656&gt;25),$I655/POW(10,$J655)*MAXIFS(Token!$B:$B,Token!$A:$A,$K655)&gt;0.01),$L655/86400+DATE(1970,1,1)+$G$6,)</f>
        <v/>
      </c>
      <c r="B655" s="27" t="str">
        <f t="shared" si="1"/>
        <v/>
      </c>
      <c r="C655" s="14" t="str">
        <f>IF($A655&lt;&gt;"",MINIFS(Merchant!$A:$A,Merchant!$B:$B,$G$2),)</f>
        <v/>
      </c>
      <c r="D655" s="14" t="str">
        <f t="shared" si="2"/>
        <v/>
      </c>
      <c r="E655" s="14" t="str">
        <f t="shared" si="3"/>
        <v/>
      </c>
      <c r="F655" s="7" t="str">
        <f>IF($A655&lt;&gt;"",MAXIFS(Token!$B:$B,Token!$A:$A,$D655),)</f>
        <v/>
      </c>
    </row>
    <row r="656">
      <c r="A656" s="39" t="str">
        <f>IF(AND($L656*1&gt;=$G$3,$L656*1&lt;=$G$4,$I656*$J656&gt;0,OR($I656&lt;&gt;$I657,$L656-$L657&gt;25),$I656/POW(10,$J656)*MAXIFS(Token!$B:$B,Token!$A:$A,$K656)&gt;0.01),$L656/86400+DATE(1970,1,1)+$G$6,)</f>
        <v/>
      </c>
      <c r="B656" s="27" t="str">
        <f t="shared" si="1"/>
        <v/>
      </c>
      <c r="C656" s="14" t="str">
        <f>IF($A656&lt;&gt;"",MINIFS(Merchant!$A:$A,Merchant!$B:$B,$G$2),)</f>
        <v/>
      </c>
      <c r="D656" s="14" t="str">
        <f t="shared" si="2"/>
        <v/>
      </c>
      <c r="E656" s="14" t="str">
        <f t="shared" si="3"/>
        <v/>
      </c>
      <c r="F656" s="7" t="str">
        <f>IF($A656&lt;&gt;"",MAXIFS(Token!$B:$B,Token!$A:$A,$D656),)</f>
        <v/>
      </c>
    </row>
    <row r="657">
      <c r="A657" s="39" t="str">
        <f>IF(AND($L657*1&gt;=$G$3,$L657*1&lt;=$G$4,$I657*$J657&gt;0,OR($I657&lt;&gt;$I658,$L657-$L658&gt;25),$I657/POW(10,$J657)*MAXIFS(Token!$B:$B,Token!$A:$A,$K657)&gt;0.01),$L657/86400+DATE(1970,1,1)+$G$6,)</f>
        <v/>
      </c>
      <c r="B657" s="27" t="str">
        <f t="shared" si="1"/>
        <v/>
      </c>
      <c r="C657" s="14" t="str">
        <f>IF($A657&lt;&gt;"",MINIFS(Merchant!$A:$A,Merchant!$B:$B,$G$2),)</f>
        <v/>
      </c>
      <c r="D657" s="14" t="str">
        <f t="shared" si="2"/>
        <v/>
      </c>
      <c r="E657" s="14" t="str">
        <f t="shared" si="3"/>
        <v/>
      </c>
      <c r="F657" s="7" t="str">
        <f>IF($A657&lt;&gt;"",MAXIFS(Token!$B:$B,Token!$A:$A,$D657),)</f>
        <v/>
      </c>
    </row>
    <row r="658">
      <c r="A658" s="39" t="str">
        <f>IF(AND($L658*1&gt;=$G$3,$L658*1&lt;=$G$4,$I658*$J658&gt;0,OR($I658&lt;&gt;$I659,$L658-$L659&gt;25),$I658/POW(10,$J658)*MAXIFS(Token!$B:$B,Token!$A:$A,$K658)&gt;0.01),$L658/86400+DATE(1970,1,1)+$G$6,)</f>
        <v/>
      </c>
      <c r="B658" s="27" t="str">
        <f t="shared" si="1"/>
        <v/>
      </c>
      <c r="C658" s="14" t="str">
        <f>IF($A658&lt;&gt;"",MINIFS(Merchant!$A:$A,Merchant!$B:$B,$G$2),)</f>
        <v/>
      </c>
      <c r="D658" s="14" t="str">
        <f t="shared" si="2"/>
        <v/>
      </c>
      <c r="E658" s="14" t="str">
        <f t="shared" si="3"/>
        <v/>
      </c>
      <c r="F658" s="7" t="str">
        <f>IF($A658&lt;&gt;"",MAXIFS(Token!$B:$B,Token!$A:$A,$D658),)</f>
        <v/>
      </c>
    </row>
    <row r="659">
      <c r="A659" s="39" t="str">
        <f>IF(AND($L659*1&gt;=$G$3,$L659*1&lt;=$G$4,$I659*$J659&gt;0,OR($I659&lt;&gt;$I660,$L659-$L660&gt;25),$I659/POW(10,$J659)*MAXIFS(Token!$B:$B,Token!$A:$A,$K659)&gt;0.01),$L659/86400+DATE(1970,1,1)+$G$6,)</f>
        <v/>
      </c>
      <c r="B659" s="27" t="str">
        <f t="shared" si="1"/>
        <v/>
      </c>
      <c r="C659" s="14" t="str">
        <f>IF($A659&lt;&gt;"",MINIFS(Merchant!$A:$A,Merchant!$B:$B,$G$2),)</f>
        <v/>
      </c>
      <c r="D659" s="14" t="str">
        <f t="shared" si="2"/>
        <v/>
      </c>
      <c r="E659" s="14" t="str">
        <f t="shared" si="3"/>
        <v/>
      </c>
      <c r="F659" s="7" t="str">
        <f>IF($A659&lt;&gt;"",MAXIFS(Token!$B:$B,Token!$A:$A,$D659),)</f>
        <v/>
      </c>
    </row>
    <row r="660">
      <c r="A660" s="39" t="str">
        <f>IF(AND($L660*1&gt;=$G$3,$L660*1&lt;=$G$4,$I660*$J660&gt;0,OR($I660&lt;&gt;$I661,$L660-$L661&gt;25),$I660/POW(10,$J660)*MAXIFS(Token!$B:$B,Token!$A:$A,$K660)&gt;0.01),$L660/86400+DATE(1970,1,1)+$G$6,)</f>
        <v/>
      </c>
      <c r="B660" s="27" t="str">
        <f t="shared" si="1"/>
        <v/>
      </c>
      <c r="C660" s="14" t="str">
        <f>IF($A660&lt;&gt;"",MINIFS(Merchant!$A:$A,Merchant!$B:$B,$G$2),)</f>
        <v/>
      </c>
      <c r="D660" s="14" t="str">
        <f t="shared" si="2"/>
        <v/>
      </c>
      <c r="E660" s="14" t="str">
        <f t="shared" si="3"/>
        <v/>
      </c>
      <c r="F660" s="7" t="str">
        <f>IF($A660&lt;&gt;"",MAXIFS(Token!$B:$B,Token!$A:$A,$D660),)</f>
        <v/>
      </c>
    </row>
    <row r="661">
      <c r="A661" s="39" t="str">
        <f>IF(AND($L661*1&gt;=$G$3,$L661*1&lt;=$G$4,$I661*$J661&gt;0,OR($I661&lt;&gt;$I662,$L661-$L662&gt;25),$I661/POW(10,$J661)*MAXIFS(Token!$B:$B,Token!$A:$A,$K661)&gt;0.01),$L661/86400+DATE(1970,1,1)+$G$6,)</f>
        <v/>
      </c>
      <c r="B661" s="27" t="str">
        <f t="shared" si="1"/>
        <v/>
      </c>
      <c r="C661" s="14" t="str">
        <f>IF($A661&lt;&gt;"",MINIFS(Merchant!$A:$A,Merchant!$B:$B,$G$2),)</f>
        <v/>
      </c>
      <c r="D661" s="14" t="str">
        <f t="shared" si="2"/>
        <v/>
      </c>
      <c r="E661" s="14" t="str">
        <f t="shared" si="3"/>
        <v/>
      </c>
      <c r="F661" s="7" t="str">
        <f>IF($A661&lt;&gt;"",MAXIFS(Token!$B:$B,Token!$A:$A,$D661),)</f>
        <v/>
      </c>
    </row>
    <row r="662">
      <c r="A662" s="39" t="str">
        <f>IF(AND($L662*1&gt;=$G$3,$L662*1&lt;=$G$4,$I662*$J662&gt;0,OR($I662&lt;&gt;$I663,$L662-$L663&gt;25),$I662/POW(10,$J662)*MAXIFS(Token!$B:$B,Token!$A:$A,$K662)&gt;0.01),$L662/86400+DATE(1970,1,1)+$G$6,)</f>
        <v/>
      </c>
      <c r="B662" s="27" t="str">
        <f t="shared" si="1"/>
        <v/>
      </c>
      <c r="C662" s="14" t="str">
        <f>IF($A662&lt;&gt;"",MINIFS(Merchant!$A:$A,Merchant!$B:$B,$G$2),)</f>
        <v/>
      </c>
      <c r="D662" s="14" t="str">
        <f t="shared" si="2"/>
        <v/>
      </c>
      <c r="E662" s="14" t="str">
        <f t="shared" si="3"/>
        <v/>
      </c>
      <c r="F662" s="7" t="str">
        <f>IF($A662&lt;&gt;"",MAXIFS(Token!$B:$B,Token!$A:$A,$D662),)</f>
        <v/>
      </c>
    </row>
    <row r="663">
      <c r="A663" s="39" t="str">
        <f>IF(AND($L663*1&gt;=$G$3,$L663*1&lt;=$G$4,$I663*$J663&gt;0,OR($I663&lt;&gt;$I664,$L663-$L664&gt;25),$I663/POW(10,$J663)*MAXIFS(Token!$B:$B,Token!$A:$A,$K663)&gt;0.01),$L663/86400+DATE(1970,1,1)+$G$6,)</f>
        <v/>
      </c>
      <c r="B663" s="27" t="str">
        <f t="shared" si="1"/>
        <v/>
      </c>
      <c r="C663" s="14" t="str">
        <f>IF($A663&lt;&gt;"",MINIFS(Merchant!$A:$A,Merchant!$B:$B,$G$2),)</f>
        <v/>
      </c>
      <c r="D663" s="14" t="str">
        <f t="shared" si="2"/>
        <v/>
      </c>
      <c r="E663" s="14" t="str">
        <f t="shared" si="3"/>
        <v/>
      </c>
      <c r="F663" s="7" t="str">
        <f>IF($A663&lt;&gt;"",MAXIFS(Token!$B:$B,Token!$A:$A,$D663),)</f>
        <v/>
      </c>
    </row>
    <row r="664">
      <c r="A664" s="39" t="str">
        <f>IF(AND($L664*1&gt;=$G$3,$L664*1&lt;=$G$4,$I664*$J664&gt;0,OR($I664&lt;&gt;$I665,$L664-$L665&gt;25),$I664/POW(10,$J664)*MAXIFS(Token!$B:$B,Token!$A:$A,$K664)&gt;0.01),$L664/86400+DATE(1970,1,1)+$G$6,)</f>
        <v/>
      </c>
      <c r="B664" s="27" t="str">
        <f t="shared" si="1"/>
        <v/>
      </c>
      <c r="C664" s="14" t="str">
        <f>IF($A664&lt;&gt;"",MINIFS(Merchant!$A:$A,Merchant!$B:$B,$G$2),)</f>
        <v/>
      </c>
      <c r="D664" s="14" t="str">
        <f t="shared" si="2"/>
        <v/>
      </c>
      <c r="E664" s="14" t="str">
        <f t="shared" si="3"/>
        <v/>
      </c>
      <c r="F664" s="7" t="str">
        <f>IF($A664&lt;&gt;"",MAXIFS(Token!$B:$B,Token!$A:$A,$D664),)</f>
        <v/>
      </c>
    </row>
    <row r="665">
      <c r="A665" s="39" t="str">
        <f>IF(AND($L665*1&gt;=$G$3,$L665*1&lt;=$G$4,$I665*$J665&gt;0,OR($I665&lt;&gt;$I666,$L665-$L666&gt;25),$I665/POW(10,$J665)*MAXIFS(Token!$B:$B,Token!$A:$A,$K665)&gt;0.01),$L665/86400+DATE(1970,1,1)+$G$6,)</f>
        <v/>
      </c>
      <c r="B665" s="27" t="str">
        <f t="shared" si="1"/>
        <v/>
      </c>
      <c r="C665" s="14" t="str">
        <f>IF($A665&lt;&gt;"",MINIFS(Merchant!$A:$A,Merchant!$B:$B,$G$2),)</f>
        <v/>
      </c>
      <c r="D665" s="14" t="str">
        <f t="shared" si="2"/>
        <v/>
      </c>
      <c r="E665" s="14" t="str">
        <f t="shared" si="3"/>
        <v/>
      </c>
      <c r="F665" s="7" t="str">
        <f>IF($A665&lt;&gt;"",MAXIFS(Token!$B:$B,Token!$A:$A,$D665),)</f>
        <v/>
      </c>
    </row>
    <row r="666">
      <c r="A666" s="39" t="str">
        <f>IF(AND($L666*1&gt;=$G$3,$L666*1&lt;=$G$4,$I666*$J666&gt;0,OR($I666&lt;&gt;$I667,$L666-$L667&gt;25),$I666/POW(10,$J666)*MAXIFS(Token!$B:$B,Token!$A:$A,$K666)&gt;0.01),$L666/86400+DATE(1970,1,1)+$G$6,)</f>
        <v/>
      </c>
      <c r="B666" s="27" t="str">
        <f t="shared" si="1"/>
        <v/>
      </c>
      <c r="C666" s="14" t="str">
        <f>IF($A666&lt;&gt;"",MINIFS(Merchant!$A:$A,Merchant!$B:$B,$G$2),)</f>
        <v/>
      </c>
      <c r="D666" s="14" t="str">
        <f t="shared" si="2"/>
        <v/>
      </c>
      <c r="E666" s="14" t="str">
        <f t="shared" si="3"/>
        <v/>
      </c>
      <c r="F666" s="7" t="str">
        <f>IF($A666&lt;&gt;"",MAXIFS(Token!$B:$B,Token!$A:$A,$D666),)</f>
        <v/>
      </c>
    </row>
    <row r="667">
      <c r="A667" s="39" t="str">
        <f>IF(AND($L667*1&gt;=$G$3,$L667*1&lt;=$G$4,$I667*$J667&gt;0,OR($I667&lt;&gt;$I668,$L667-$L668&gt;25),$I667/POW(10,$J667)*MAXIFS(Token!$B:$B,Token!$A:$A,$K667)&gt;0.01),$L667/86400+DATE(1970,1,1)+$G$6,)</f>
        <v/>
      </c>
      <c r="B667" s="27" t="str">
        <f t="shared" si="1"/>
        <v/>
      </c>
      <c r="C667" s="14" t="str">
        <f>IF($A667&lt;&gt;"",MINIFS(Merchant!$A:$A,Merchant!$B:$B,$G$2),)</f>
        <v/>
      </c>
      <c r="D667" s="14" t="str">
        <f t="shared" si="2"/>
        <v/>
      </c>
      <c r="E667" s="14" t="str">
        <f t="shared" si="3"/>
        <v/>
      </c>
      <c r="F667" s="7" t="str">
        <f>IF($A667&lt;&gt;"",MAXIFS(Token!$B:$B,Token!$A:$A,$D667),)</f>
        <v/>
      </c>
    </row>
    <row r="668">
      <c r="A668" s="39" t="str">
        <f>IF(AND($L668*1&gt;=$G$3,$L668*1&lt;=$G$4,$I668*$J668&gt;0,OR($I668&lt;&gt;$I669,$L668-$L669&gt;25),$I668/POW(10,$J668)*MAXIFS(Token!$B:$B,Token!$A:$A,$K668)&gt;0.01),$L668/86400+DATE(1970,1,1)+$G$6,)</f>
        <v/>
      </c>
      <c r="B668" s="27" t="str">
        <f t="shared" si="1"/>
        <v/>
      </c>
      <c r="C668" s="14" t="str">
        <f>IF($A668&lt;&gt;"",MINIFS(Merchant!$A:$A,Merchant!$B:$B,$G$2),)</f>
        <v/>
      </c>
      <c r="D668" s="14" t="str">
        <f t="shared" si="2"/>
        <v/>
      </c>
      <c r="E668" s="14" t="str">
        <f t="shared" si="3"/>
        <v/>
      </c>
      <c r="F668" s="7" t="str">
        <f>IF($A668&lt;&gt;"",MAXIFS(Token!$B:$B,Token!$A:$A,$D668),)</f>
        <v/>
      </c>
    </row>
    <row r="669">
      <c r="A669" s="39" t="str">
        <f>IF(AND($L669*1&gt;=$G$3,$L669*1&lt;=$G$4,$I669*$J669&gt;0,OR($I669&lt;&gt;$I670,$L669-$L670&gt;25),$I669/POW(10,$J669)*MAXIFS(Token!$B:$B,Token!$A:$A,$K669)&gt;0.01),$L669/86400+DATE(1970,1,1)+$G$6,)</f>
        <v/>
      </c>
      <c r="B669" s="27" t="str">
        <f t="shared" si="1"/>
        <v/>
      </c>
      <c r="C669" s="14" t="str">
        <f>IF($A669&lt;&gt;"",MINIFS(Merchant!$A:$A,Merchant!$B:$B,$G$2),)</f>
        <v/>
      </c>
      <c r="D669" s="14" t="str">
        <f t="shared" si="2"/>
        <v/>
      </c>
      <c r="E669" s="14" t="str">
        <f t="shared" si="3"/>
        <v/>
      </c>
      <c r="F669" s="7" t="str">
        <f>IF($A669&lt;&gt;"",MAXIFS(Token!$B:$B,Token!$A:$A,$D669),)</f>
        <v/>
      </c>
    </row>
    <row r="670">
      <c r="A670" s="39" t="str">
        <f>IF(AND($L670*1&gt;=$G$3,$L670*1&lt;=$G$4,$I670*$J670&gt;0,OR($I670&lt;&gt;$I671,$L670-$L671&gt;25),$I670/POW(10,$J670)*MAXIFS(Token!$B:$B,Token!$A:$A,$K670)&gt;0.01),$L670/86400+DATE(1970,1,1)+$G$6,)</f>
        <v/>
      </c>
      <c r="B670" s="27" t="str">
        <f t="shared" si="1"/>
        <v/>
      </c>
      <c r="C670" s="14" t="str">
        <f>IF($A670&lt;&gt;"",MINIFS(Merchant!$A:$A,Merchant!$B:$B,$G$2),)</f>
        <v/>
      </c>
      <c r="D670" s="14" t="str">
        <f t="shared" si="2"/>
        <v/>
      </c>
      <c r="E670" s="14" t="str">
        <f t="shared" si="3"/>
        <v/>
      </c>
      <c r="F670" s="7" t="str">
        <f>IF($A670&lt;&gt;"",MAXIFS(Token!$B:$B,Token!$A:$A,$D670),)</f>
        <v/>
      </c>
    </row>
    <row r="671">
      <c r="A671" s="39" t="str">
        <f>IF(AND($L671*1&gt;=$G$3,$L671*1&lt;=$G$4,$I671*$J671&gt;0,OR($I671&lt;&gt;$I672,$L671-$L672&gt;25),$I671/POW(10,$J671)*MAXIFS(Token!$B:$B,Token!$A:$A,$K671)&gt;0.01),$L671/86400+DATE(1970,1,1)+$G$6,)</f>
        <v/>
      </c>
      <c r="B671" s="27" t="str">
        <f t="shared" si="1"/>
        <v/>
      </c>
      <c r="C671" s="14" t="str">
        <f>IF($A671&lt;&gt;"",MINIFS(Merchant!$A:$A,Merchant!$B:$B,$G$2),)</f>
        <v/>
      </c>
      <c r="D671" s="14" t="str">
        <f t="shared" si="2"/>
        <v/>
      </c>
      <c r="E671" s="14" t="str">
        <f t="shared" si="3"/>
        <v/>
      </c>
      <c r="F671" s="7" t="str">
        <f>IF($A671&lt;&gt;"",MAXIFS(Token!$B:$B,Token!$A:$A,$D671),)</f>
        <v/>
      </c>
    </row>
    <row r="672">
      <c r="A672" s="39" t="str">
        <f>IF(AND($L672*1&gt;=$G$3,$L672*1&lt;=$G$4,$I672*$J672&gt;0,OR($I672&lt;&gt;$I673,$L672-$L673&gt;25),$I672/POW(10,$J672)*MAXIFS(Token!$B:$B,Token!$A:$A,$K672)&gt;0.01),$L672/86400+DATE(1970,1,1)+$G$6,)</f>
        <v/>
      </c>
      <c r="B672" s="27" t="str">
        <f t="shared" si="1"/>
        <v/>
      </c>
      <c r="C672" s="14" t="str">
        <f>IF($A672&lt;&gt;"",MINIFS(Merchant!$A:$A,Merchant!$B:$B,$G$2),)</f>
        <v/>
      </c>
      <c r="D672" s="14" t="str">
        <f t="shared" si="2"/>
        <v/>
      </c>
      <c r="E672" s="14" t="str">
        <f t="shared" si="3"/>
        <v/>
      </c>
      <c r="F672" s="7" t="str">
        <f>IF($A672&lt;&gt;"",MAXIFS(Token!$B:$B,Token!$A:$A,$D672),)</f>
        <v/>
      </c>
    </row>
    <row r="673">
      <c r="A673" s="39" t="str">
        <f>IF(AND($L673*1&gt;=$G$3,$L673*1&lt;=$G$4,$I673*$J673&gt;0,OR($I673&lt;&gt;$I674,$L673-$L674&gt;25),$I673/POW(10,$J673)*MAXIFS(Token!$B:$B,Token!$A:$A,$K673)&gt;0.01),$L673/86400+DATE(1970,1,1)+$G$6,)</f>
        <v/>
      </c>
      <c r="B673" s="27" t="str">
        <f t="shared" si="1"/>
        <v/>
      </c>
      <c r="C673" s="14" t="str">
        <f>IF($A673&lt;&gt;"",MINIFS(Merchant!$A:$A,Merchant!$B:$B,$G$2),)</f>
        <v/>
      </c>
      <c r="D673" s="14" t="str">
        <f t="shared" si="2"/>
        <v/>
      </c>
      <c r="E673" s="14" t="str">
        <f t="shared" si="3"/>
        <v/>
      </c>
      <c r="F673" s="7" t="str">
        <f>IF($A673&lt;&gt;"",MAXIFS(Token!$B:$B,Token!$A:$A,$D673),)</f>
        <v/>
      </c>
    </row>
    <row r="674">
      <c r="A674" s="39" t="str">
        <f>IF(AND($L674*1&gt;=$G$3,$L674*1&lt;=$G$4,$I674*$J674&gt;0,OR($I674&lt;&gt;$I675,$L674-$L675&gt;25),$I674/POW(10,$J674)*MAXIFS(Token!$B:$B,Token!$A:$A,$K674)&gt;0.01),$L674/86400+DATE(1970,1,1)+$G$6,)</f>
        <v/>
      </c>
      <c r="B674" s="27" t="str">
        <f t="shared" si="1"/>
        <v/>
      </c>
      <c r="C674" s="14" t="str">
        <f>IF($A674&lt;&gt;"",MINIFS(Merchant!$A:$A,Merchant!$B:$B,$G$2),)</f>
        <v/>
      </c>
      <c r="D674" s="14" t="str">
        <f t="shared" si="2"/>
        <v/>
      </c>
      <c r="E674" s="14" t="str">
        <f t="shared" si="3"/>
        <v/>
      </c>
      <c r="F674" s="7" t="str">
        <f>IF($A674&lt;&gt;"",MAXIFS(Token!$B:$B,Token!$A:$A,$D674),)</f>
        <v/>
      </c>
    </row>
    <row r="675">
      <c r="A675" s="39" t="str">
        <f>IF(AND($L675*1&gt;=$G$3,$L675*1&lt;=$G$4,$I675*$J675&gt;0,OR($I675&lt;&gt;$I676,$L675-$L676&gt;25),$I675/POW(10,$J675)*MAXIFS(Token!$B:$B,Token!$A:$A,$K675)&gt;0.01),$L675/86400+DATE(1970,1,1)+$G$6,)</f>
        <v/>
      </c>
      <c r="B675" s="27" t="str">
        <f t="shared" si="1"/>
        <v/>
      </c>
      <c r="C675" s="14" t="str">
        <f>IF($A675&lt;&gt;"",MINIFS(Merchant!$A:$A,Merchant!$B:$B,$G$2),)</f>
        <v/>
      </c>
      <c r="D675" s="14" t="str">
        <f t="shared" si="2"/>
        <v/>
      </c>
      <c r="E675" s="14" t="str">
        <f t="shared" si="3"/>
        <v/>
      </c>
      <c r="F675" s="7" t="str">
        <f>IF($A675&lt;&gt;"",MAXIFS(Token!$B:$B,Token!$A:$A,$D675),)</f>
        <v/>
      </c>
    </row>
    <row r="676">
      <c r="A676" s="39" t="str">
        <f>IF(AND($L676*1&gt;=$G$3,$L676*1&lt;=$G$4,$I676*$J676&gt;0,OR($I676&lt;&gt;$I677,$L676-$L677&gt;25),$I676/POW(10,$J676)*MAXIFS(Token!$B:$B,Token!$A:$A,$K676)&gt;0.01),$L676/86400+DATE(1970,1,1)+$G$6,)</f>
        <v/>
      </c>
      <c r="B676" s="27" t="str">
        <f t="shared" si="1"/>
        <v/>
      </c>
      <c r="C676" s="14" t="str">
        <f>IF($A676&lt;&gt;"",MINIFS(Merchant!$A:$A,Merchant!$B:$B,$G$2),)</f>
        <v/>
      </c>
      <c r="D676" s="14" t="str">
        <f t="shared" si="2"/>
        <v/>
      </c>
      <c r="E676" s="14" t="str">
        <f t="shared" si="3"/>
        <v/>
      </c>
      <c r="F676" s="7" t="str">
        <f>IF($A676&lt;&gt;"",MAXIFS(Token!$B:$B,Token!$A:$A,$D676),)</f>
        <v/>
      </c>
    </row>
    <row r="677">
      <c r="A677" s="39" t="str">
        <f>IF(AND($L677*1&gt;=$G$3,$L677*1&lt;=$G$4,$I677*$J677&gt;0,OR($I677&lt;&gt;$I678,$L677-$L678&gt;25),$I677/POW(10,$J677)*MAXIFS(Token!$B:$B,Token!$A:$A,$K677)&gt;0.01),$L677/86400+DATE(1970,1,1)+$G$6,)</f>
        <v/>
      </c>
      <c r="B677" s="27" t="str">
        <f t="shared" si="1"/>
        <v/>
      </c>
      <c r="C677" s="14" t="str">
        <f>IF($A677&lt;&gt;"",MINIFS(Merchant!$A:$A,Merchant!$B:$B,$G$2),)</f>
        <v/>
      </c>
      <c r="D677" s="14" t="str">
        <f t="shared" si="2"/>
        <v/>
      </c>
      <c r="E677" s="14" t="str">
        <f t="shared" si="3"/>
        <v/>
      </c>
      <c r="F677" s="7" t="str">
        <f>IF($A677&lt;&gt;"",MAXIFS(Token!$B:$B,Token!$A:$A,$D677),)</f>
        <v/>
      </c>
    </row>
    <row r="678">
      <c r="A678" s="39" t="str">
        <f>IF(AND($L678*1&gt;=$G$3,$L678*1&lt;=$G$4,$I678*$J678&gt;0,OR($I678&lt;&gt;$I679,$L678-$L679&gt;25),$I678/POW(10,$J678)*MAXIFS(Token!$B:$B,Token!$A:$A,$K678)&gt;0.01),$L678/86400+DATE(1970,1,1)+$G$6,)</f>
        <v/>
      </c>
      <c r="B678" s="27" t="str">
        <f t="shared" si="1"/>
        <v/>
      </c>
      <c r="C678" s="14" t="str">
        <f>IF($A678&lt;&gt;"",MINIFS(Merchant!$A:$A,Merchant!$B:$B,$G$2),)</f>
        <v/>
      </c>
      <c r="D678" s="14" t="str">
        <f t="shared" si="2"/>
        <v/>
      </c>
      <c r="E678" s="14" t="str">
        <f t="shared" si="3"/>
        <v/>
      </c>
      <c r="F678" s="7" t="str">
        <f>IF($A678&lt;&gt;"",MAXIFS(Token!$B:$B,Token!$A:$A,$D678),)</f>
        <v/>
      </c>
    </row>
    <row r="679">
      <c r="A679" s="39" t="str">
        <f>IF(AND($L679*1&gt;=$G$3,$L679*1&lt;=$G$4,$I679*$J679&gt;0,OR($I679&lt;&gt;$I680,$L679-$L680&gt;25),$I679/POW(10,$J679)*MAXIFS(Token!$B:$B,Token!$A:$A,$K679)&gt;0.01),$L679/86400+DATE(1970,1,1)+$G$6,)</f>
        <v/>
      </c>
      <c r="B679" s="27" t="str">
        <f t="shared" si="1"/>
        <v/>
      </c>
      <c r="C679" s="14" t="str">
        <f>IF($A679&lt;&gt;"",MINIFS(Merchant!$A:$A,Merchant!$B:$B,$G$2),)</f>
        <v/>
      </c>
      <c r="D679" s="14" t="str">
        <f t="shared" si="2"/>
        <v/>
      </c>
      <c r="E679" s="14" t="str">
        <f t="shared" si="3"/>
        <v/>
      </c>
      <c r="F679" s="7" t="str">
        <f>IF($A679&lt;&gt;"",MAXIFS(Token!$B:$B,Token!$A:$A,$D679),)</f>
        <v/>
      </c>
    </row>
    <row r="680">
      <c r="A680" s="39" t="str">
        <f>IF(AND($L680*1&gt;=$G$3,$L680*1&lt;=$G$4,$I680*$J680&gt;0,OR($I680&lt;&gt;$I681,$L680-$L681&gt;25),$I680/POW(10,$J680)*MAXIFS(Token!$B:$B,Token!$A:$A,$K680)&gt;0.01),$L680/86400+DATE(1970,1,1)+$G$6,)</f>
        <v/>
      </c>
      <c r="B680" s="27" t="str">
        <f t="shared" si="1"/>
        <v/>
      </c>
      <c r="C680" s="14" t="str">
        <f>IF($A680&lt;&gt;"",MINIFS(Merchant!$A:$A,Merchant!$B:$B,$G$2),)</f>
        <v/>
      </c>
      <c r="D680" s="14" t="str">
        <f t="shared" si="2"/>
        <v/>
      </c>
      <c r="E680" s="14" t="str">
        <f t="shared" si="3"/>
        <v/>
      </c>
      <c r="F680" s="7" t="str">
        <f>IF($A680&lt;&gt;"",MAXIFS(Token!$B:$B,Token!$A:$A,$D680),)</f>
        <v/>
      </c>
    </row>
    <row r="681">
      <c r="A681" s="39" t="str">
        <f>IF(AND($L681*1&gt;=$G$3,$L681*1&lt;=$G$4,$I681*$J681&gt;0,OR($I681&lt;&gt;$I682,$L681-$L682&gt;25),$I681/POW(10,$J681)*MAXIFS(Token!$B:$B,Token!$A:$A,$K681)&gt;0.01),$L681/86400+DATE(1970,1,1)+$G$6,)</f>
        <v/>
      </c>
      <c r="B681" s="27" t="str">
        <f t="shared" si="1"/>
        <v/>
      </c>
      <c r="C681" s="14" t="str">
        <f>IF($A681&lt;&gt;"",MINIFS(Merchant!$A:$A,Merchant!$B:$B,$G$2),)</f>
        <v/>
      </c>
      <c r="D681" s="14" t="str">
        <f t="shared" si="2"/>
        <v/>
      </c>
      <c r="E681" s="14" t="str">
        <f t="shared" si="3"/>
        <v/>
      </c>
      <c r="F681" s="7" t="str">
        <f>IF($A681&lt;&gt;"",MAXIFS(Token!$B:$B,Token!$A:$A,$D681),)</f>
        <v/>
      </c>
    </row>
    <row r="682">
      <c r="A682" s="39" t="str">
        <f>IF(AND($L682*1&gt;=$G$3,$L682*1&lt;=$G$4,$I682*$J682&gt;0,OR($I682&lt;&gt;$I683,$L682-$L683&gt;25),$I682/POW(10,$J682)*MAXIFS(Token!$B:$B,Token!$A:$A,$K682)&gt;0.01),$L682/86400+DATE(1970,1,1)+$G$6,)</f>
        <v/>
      </c>
      <c r="B682" s="27" t="str">
        <f t="shared" si="1"/>
        <v/>
      </c>
      <c r="C682" s="14" t="str">
        <f>IF($A682&lt;&gt;"",MINIFS(Merchant!$A:$A,Merchant!$B:$B,$G$2),)</f>
        <v/>
      </c>
      <c r="D682" s="14" t="str">
        <f t="shared" si="2"/>
        <v/>
      </c>
      <c r="E682" s="14" t="str">
        <f t="shared" si="3"/>
        <v/>
      </c>
      <c r="F682" s="7" t="str">
        <f>IF($A682&lt;&gt;"",MAXIFS(Token!$B:$B,Token!$A:$A,$D682),)</f>
        <v/>
      </c>
    </row>
    <row r="683">
      <c r="A683" s="39" t="str">
        <f>IF(AND($L683*1&gt;=$G$3,$L683*1&lt;=$G$4,$I683*$J683&gt;0,OR($I683&lt;&gt;$I684,$L683-$L684&gt;25),$I683/POW(10,$J683)*MAXIFS(Token!$B:$B,Token!$A:$A,$K683)&gt;0.01),$L683/86400+DATE(1970,1,1)+$G$6,)</f>
        <v/>
      </c>
      <c r="B683" s="27" t="str">
        <f t="shared" si="1"/>
        <v/>
      </c>
      <c r="C683" s="14" t="str">
        <f>IF($A683&lt;&gt;"",MINIFS(Merchant!$A:$A,Merchant!$B:$B,$G$2),)</f>
        <v/>
      </c>
      <c r="D683" s="14" t="str">
        <f t="shared" si="2"/>
        <v/>
      </c>
      <c r="E683" s="14" t="str">
        <f t="shared" si="3"/>
        <v/>
      </c>
      <c r="F683" s="7" t="str">
        <f>IF($A683&lt;&gt;"",MAXIFS(Token!$B:$B,Token!$A:$A,$D683),)</f>
        <v/>
      </c>
    </row>
    <row r="684">
      <c r="A684" s="39" t="str">
        <f>IF(AND($L684*1&gt;=$G$3,$L684*1&lt;=$G$4,$I684*$J684&gt;0,OR($I684&lt;&gt;$I685,$L684-$L685&gt;25),$I684/POW(10,$J684)*MAXIFS(Token!$B:$B,Token!$A:$A,$K684)&gt;0.01),$L684/86400+DATE(1970,1,1)+$G$6,)</f>
        <v/>
      </c>
      <c r="B684" s="27" t="str">
        <f t="shared" si="1"/>
        <v/>
      </c>
      <c r="C684" s="14" t="str">
        <f>IF($A684&lt;&gt;"",MINIFS(Merchant!$A:$A,Merchant!$B:$B,$G$2),)</f>
        <v/>
      </c>
      <c r="D684" s="14" t="str">
        <f t="shared" si="2"/>
        <v/>
      </c>
      <c r="E684" s="14" t="str">
        <f t="shared" si="3"/>
        <v/>
      </c>
      <c r="F684" s="7" t="str">
        <f>IF($A684&lt;&gt;"",MAXIFS(Token!$B:$B,Token!$A:$A,$D684),)</f>
        <v/>
      </c>
    </row>
    <row r="685">
      <c r="A685" s="39" t="str">
        <f>IF(AND($L685*1&gt;=$G$3,$L685*1&lt;=$G$4,$I685*$J685&gt;0,OR($I685&lt;&gt;$I686,$L685-$L686&gt;25),$I685/POW(10,$J685)*MAXIFS(Token!$B:$B,Token!$A:$A,$K685)&gt;0.01),$L685/86400+DATE(1970,1,1)+$G$6,)</f>
        <v/>
      </c>
      <c r="B685" s="27" t="str">
        <f t="shared" si="1"/>
        <v/>
      </c>
      <c r="C685" s="14" t="str">
        <f>IF($A685&lt;&gt;"",MINIFS(Merchant!$A:$A,Merchant!$B:$B,$G$2),)</f>
        <v/>
      </c>
      <c r="D685" s="14" t="str">
        <f t="shared" si="2"/>
        <v/>
      </c>
      <c r="E685" s="14" t="str">
        <f t="shared" si="3"/>
        <v/>
      </c>
      <c r="F685" s="7" t="str">
        <f>IF($A685&lt;&gt;"",MAXIFS(Token!$B:$B,Token!$A:$A,$D685),)</f>
        <v/>
      </c>
    </row>
    <row r="686">
      <c r="A686" s="39" t="str">
        <f>IF(AND($L686*1&gt;=$G$3,$L686*1&lt;=$G$4,$I686*$J686&gt;0,OR($I686&lt;&gt;$I687,$L686-$L687&gt;25),$I686/POW(10,$J686)*MAXIFS(Token!$B:$B,Token!$A:$A,$K686)&gt;0.01),$L686/86400+DATE(1970,1,1)+$G$6,)</f>
        <v/>
      </c>
      <c r="B686" s="27" t="str">
        <f t="shared" si="1"/>
        <v/>
      </c>
      <c r="C686" s="14" t="str">
        <f>IF($A686&lt;&gt;"",MINIFS(Merchant!$A:$A,Merchant!$B:$B,$G$2),)</f>
        <v/>
      </c>
      <c r="D686" s="14" t="str">
        <f t="shared" si="2"/>
        <v/>
      </c>
      <c r="E686" s="14" t="str">
        <f t="shared" si="3"/>
        <v/>
      </c>
      <c r="F686" s="7" t="str">
        <f>IF($A686&lt;&gt;"",MAXIFS(Token!$B:$B,Token!$A:$A,$D686),)</f>
        <v/>
      </c>
    </row>
    <row r="687">
      <c r="A687" s="39" t="str">
        <f>IF(AND($L687*1&gt;=$G$3,$L687*1&lt;=$G$4,$I687*$J687&gt;0,OR($I687&lt;&gt;$I688,$L687-$L688&gt;25),$I687/POW(10,$J687)*MAXIFS(Token!$B:$B,Token!$A:$A,$K687)&gt;0.01),$L687/86400+DATE(1970,1,1)+$G$6,)</f>
        <v/>
      </c>
      <c r="B687" s="27" t="str">
        <f t="shared" si="1"/>
        <v/>
      </c>
      <c r="C687" s="14" t="str">
        <f>IF($A687&lt;&gt;"",MINIFS(Merchant!$A:$A,Merchant!$B:$B,$G$2),)</f>
        <v/>
      </c>
      <c r="D687" s="14" t="str">
        <f t="shared" si="2"/>
        <v/>
      </c>
      <c r="E687" s="14" t="str">
        <f t="shared" si="3"/>
        <v/>
      </c>
      <c r="F687" s="7" t="str">
        <f>IF($A687&lt;&gt;"",MAXIFS(Token!$B:$B,Token!$A:$A,$D687),)</f>
        <v/>
      </c>
    </row>
    <row r="688">
      <c r="A688" s="39" t="str">
        <f>IF(AND($L688*1&gt;=$G$3,$L688*1&lt;=$G$4,$I688*$J688&gt;0,OR($I688&lt;&gt;$I689,$L688-$L689&gt;25),$I688/POW(10,$J688)*MAXIFS(Token!$B:$B,Token!$A:$A,$K688)&gt;0.01),$L688/86400+DATE(1970,1,1)+$G$6,)</f>
        <v/>
      </c>
      <c r="B688" s="27" t="str">
        <f t="shared" si="1"/>
        <v/>
      </c>
      <c r="C688" s="14" t="str">
        <f>IF($A688&lt;&gt;"",MINIFS(Merchant!$A:$A,Merchant!$B:$B,$G$2),)</f>
        <v/>
      </c>
      <c r="D688" s="14" t="str">
        <f t="shared" si="2"/>
        <v/>
      </c>
      <c r="E688" s="14" t="str">
        <f t="shared" si="3"/>
        <v/>
      </c>
      <c r="F688" s="7" t="str">
        <f>IF($A688&lt;&gt;"",MAXIFS(Token!$B:$B,Token!$A:$A,$D688),)</f>
        <v/>
      </c>
    </row>
    <row r="689">
      <c r="A689" s="39" t="str">
        <f>IF(AND($L689*1&gt;=$G$3,$L689*1&lt;=$G$4,$I689*$J689&gt;0,OR($I689&lt;&gt;$I690,$L689-$L690&gt;25),$I689/POW(10,$J689)*MAXIFS(Token!$B:$B,Token!$A:$A,$K689)&gt;0.01),$L689/86400+DATE(1970,1,1)+$G$6,)</f>
        <v/>
      </c>
      <c r="B689" s="27" t="str">
        <f t="shared" si="1"/>
        <v/>
      </c>
      <c r="C689" s="14" t="str">
        <f>IF($A689&lt;&gt;"",MINIFS(Merchant!$A:$A,Merchant!$B:$B,$G$2),)</f>
        <v/>
      </c>
      <c r="D689" s="14" t="str">
        <f t="shared" si="2"/>
        <v/>
      </c>
      <c r="E689" s="14" t="str">
        <f t="shared" si="3"/>
        <v/>
      </c>
      <c r="F689" s="7" t="str">
        <f>IF($A689&lt;&gt;"",MAXIFS(Token!$B:$B,Token!$A:$A,$D689),)</f>
        <v/>
      </c>
    </row>
    <row r="690">
      <c r="A690" s="39" t="str">
        <f>IF(AND($L690*1&gt;=$G$3,$L690*1&lt;=$G$4,$I690*$J690&gt;0,OR($I690&lt;&gt;$I691,$L690-$L691&gt;25),$I690/POW(10,$J690)*MAXIFS(Token!$B:$B,Token!$A:$A,$K690)&gt;0.01),$L690/86400+DATE(1970,1,1)+$G$6,)</f>
        <v/>
      </c>
      <c r="B690" s="27" t="str">
        <f t="shared" si="1"/>
        <v/>
      </c>
      <c r="C690" s="14" t="str">
        <f>IF($A690&lt;&gt;"",MINIFS(Merchant!$A:$A,Merchant!$B:$B,$G$2),)</f>
        <v/>
      </c>
      <c r="D690" s="14" t="str">
        <f t="shared" si="2"/>
        <v/>
      </c>
      <c r="E690" s="14" t="str">
        <f t="shared" si="3"/>
        <v/>
      </c>
      <c r="F690" s="7" t="str">
        <f>IF($A690&lt;&gt;"",MAXIFS(Token!$B:$B,Token!$A:$A,$D690),)</f>
        <v/>
      </c>
    </row>
    <row r="691">
      <c r="A691" s="39" t="str">
        <f>IF(AND($L691*1&gt;=$G$3,$L691*1&lt;=$G$4,$I691*$J691&gt;0,OR($I691&lt;&gt;$I692,$L691-$L692&gt;25),$I691/POW(10,$J691)*MAXIFS(Token!$B:$B,Token!$A:$A,$K691)&gt;0.01),$L691/86400+DATE(1970,1,1)+$G$6,)</f>
        <v/>
      </c>
      <c r="B691" s="27" t="str">
        <f t="shared" si="1"/>
        <v/>
      </c>
      <c r="C691" s="14" t="str">
        <f>IF($A691&lt;&gt;"",MINIFS(Merchant!$A:$A,Merchant!$B:$B,$G$2),)</f>
        <v/>
      </c>
      <c r="D691" s="14" t="str">
        <f t="shared" si="2"/>
        <v/>
      </c>
      <c r="E691" s="14" t="str">
        <f t="shared" si="3"/>
        <v/>
      </c>
      <c r="F691" s="7" t="str">
        <f>IF($A691&lt;&gt;"",MAXIFS(Token!$B:$B,Token!$A:$A,$D691),)</f>
        <v/>
      </c>
    </row>
    <row r="692">
      <c r="A692" s="39" t="str">
        <f>IF(AND($L692*1&gt;=$G$3,$L692*1&lt;=$G$4,$I692*$J692&gt;0,OR($I692&lt;&gt;$I693,$L692-$L693&gt;25),$I692/POW(10,$J692)*MAXIFS(Token!$B:$B,Token!$A:$A,$K692)&gt;0.01),$L692/86400+DATE(1970,1,1)+$G$6,)</f>
        <v/>
      </c>
      <c r="B692" s="27" t="str">
        <f t="shared" si="1"/>
        <v/>
      </c>
      <c r="C692" s="14" t="str">
        <f>IF($A692&lt;&gt;"",MINIFS(Merchant!$A:$A,Merchant!$B:$B,$G$2),)</f>
        <v/>
      </c>
      <c r="D692" s="14" t="str">
        <f t="shared" si="2"/>
        <v/>
      </c>
      <c r="E692" s="14" t="str">
        <f t="shared" si="3"/>
        <v/>
      </c>
      <c r="F692" s="7" t="str">
        <f>IF($A692&lt;&gt;"",MAXIFS(Token!$B:$B,Token!$A:$A,$D692),)</f>
        <v/>
      </c>
    </row>
    <row r="693">
      <c r="A693" s="39" t="str">
        <f>IF(AND($L693*1&gt;=$G$3,$L693*1&lt;=$G$4,$I693*$J693&gt;0,OR($I693&lt;&gt;$I694,$L693-$L694&gt;25),$I693/POW(10,$J693)*MAXIFS(Token!$B:$B,Token!$A:$A,$K693)&gt;0.01),$L693/86400+DATE(1970,1,1)+$G$6,)</f>
        <v/>
      </c>
      <c r="B693" s="27" t="str">
        <f t="shared" si="1"/>
        <v/>
      </c>
      <c r="C693" s="14" t="str">
        <f>IF($A693&lt;&gt;"",MINIFS(Merchant!$A:$A,Merchant!$B:$B,$G$2),)</f>
        <v/>
      </c>
      <c r="D693" s="14" t="str">
        <f t="shared" si="2"/>
        <v/>
      </c>
      <c r="E693" s="14" t="str">
        <f t="shared" si="3"/>
        <v/>
      </c>
      <c r="F693" s="7" t="str">
        <f>IF($A693&lt;&gt;"",MAXIFS(Token!$B:$B,Token!$A:$A,$D693),)</f>
        <v/>
      </c>
    </row>
    <row r="694">
      <c r="A694" s="39" t="str">
        <f>IF(AND($L694*1&gt;=$G$3,$L694*1&lt;=$G$4,$I694*$J694&gt;0,OR($I694&lt;&gt;$I695,$L694-$L695&gt;25),$I694/POW(10,$J694)*MAXIFS(Token!$B:$B,Token!$A:$A,$K694)&gt;0.01),$L694/86400+DATE(1970,1,1)+$G$6,)</f>
        <v/>
      </c>
      <c r="B694" s="27" t="str">
        <f t="shared" si="1"/>
        <v/>
      </c>
      <c r="C694" s="14" t="str">
        <f>IF($A694&lt;&gt;"",MINIFS(Merchant!$A:$A,Merchant!$B:$B,$G$2),)</f>
        <v/>
      </c>
      <c r="D694" s="14" t="str">
        <f t="shared" si="2"/>
        <v/>
      </c>
      <c r="E694" s="14" t="str">
        <f t="shared" si="3"/>
        <v/>
      </c>
      <c r="F694" s="7" t="str">
        <f>IF($A694&lt;&gt;"",MAXIFS(Token!$B:$B,Token!$A:$A,$D694),)</f>
        <v/>
      </c>
    </row>
    <row r="695">
      <c r="A695" s="39" t="str">
        <f>IF(AND($L695*1&gt;=$G$3,$L695*1&lt;=$G$4,$I695*$J695&gt;0,OR($I695&lt;&gt;$I696,$L695-$L696&gt;25),$I695/POW(10,$J695)*MAXIFS(Token!$B:$B,Token!$A:$A,$K695)&gt;0.01),$L695/86400+DATE(1970,1,1)+$G$6,)</f>
        <v/>
      </c>
      <c r="B695" s="27" t="str">
        <f t="shared" si="1"/>
        <v/>
      </c>
      <c r="C695" s="14" t="str">
        <f>IF($A695&lt;&gt;"",MINIFS(Merchant!$A:$A,Merchant!$B:$B,$G$2),)</f>
        <v/>
      </c>
      <c r="D695" s="14" t="str">
        <f t="shared" si="2"/>
        <v/>
      </c>
      <c r="E695" s="14" t="str">
        <f t="shared" si="3"/>
        <v/>
      </c>
      <c r="F695" s="7" t="str">
        <f>IF($A695&lt;&gt;"",MAXIFS(Token!$B:$B,Token!$A:$A,$D695),)</f>
        <v/>
      </c>
    </row>
    <row r="696">
      <c r="A696" s="39" t="str">
        <f>IF(AND($L696*1&gt;=$G$3,$L696*1&lt;=$G$4,$I696*$J696&gt;0,OR($I696&lt;&gt;$I697,$L696-$L697&gt;25),$I696/POW(10,$J696)*MAXIFS(Token!$B:$B,Token!$A:$A,$K696)&gt;0.01),$L696/86400+DATE(1970,1,1)+$G$6,)</f>
        <v/>
      </c>
      <c r="B696" s="27" t="str">
        <f t="shared" si="1"/>
        <v/>
      </c>
      <c r="C696" s="14" t="str">
        <f>IF($A696&lt;&gt;"",MINIFS(Merchant!$A:$A,Merchant!$B:$B,$G$2),)</f>
        <v/>
      </c>
      <c r="D696" s="14" t="str">
        <f t="shared" si="2"/>
        <v/>
      </c>
      <c r="E696" s="14" t="str">
        <f t="shared" si="3"/>
        <v/>
      </c>
      <c r="F696" s="7" t="str">
        <f>IF($A696&lt;&gt;"",MAXIFS(Token!$B:$B,Token!$A:$A,$D696),)</f>
        <v/>
      </c>
    </row>
    <row r="697">
      <c r="A697" s="39" t="str">
        <f>IF(AND($L697*1&gt;=$G$3,$L697*1&lt;=$G$4,$I697*$J697&gt;0,OR($I697&lt;&gt;$I698,$L697-$L698&gt;25),$I697/POW(10,$J697)*MAXIFS(Token!$B:$B,Token!$A:$A,$K697)&gt;0.01),$L697/86400+DATE(1970,1,1)+$G$6,)</f>
        <v/>
      </c>
      <c r="B697" s="27" t="str">
        <f t="shared" si="1"/>
        <v/>
      </c>
      <c r="C697" s="14" t="str">
        <f>IF($A697&lt;&gt;"",MINIFS(Merchant!$A:$A,Merchant!$B:$B,$G$2),)</f>
        <v/>
      </c>
      <c r="D697" s="14" t="str">
        <f t="shared" si="2"/>
        <v/>
      </c>
      <c r="E697" s="14" t="str">
        <f t="shared" si="3"/>
        <v/>
      </c>
      <c r="F697" s="7" t="str">
        <f>IF($A697&lt;&gt;"",MAXIFS(Token!$B:$B,Token!$A:$A,$D697),)</f>
        <v/>
      </c>
    </row>
    <row r="698">
      <c r="A698" s="39" t="str">
        <f>IF(AND($L698*1&gt;=$G$3,$L698*1&lt;=$G$4,$I698*$J698&gt;0,OR($I698&lt;&gt;$I699,$L698-$L699&gt;25),$I698/POW(10,$J698)*MAXIFS(Token!$B:$B,Token!$A:$A,$K698)&gt;0.01),$L698/86400+DATE(1970,1,1)+$G$6,)</f>
        <v/>
      </c>
      <c r="B698" s="27" t="str">
        <f t="shared" si="1"/>
        <v/>
      </c>
      <c r="C698" s="14" t="str">
        <f>IF($A698&lt;&gt;"",MINIFS(Merchant!$A:$A,Merchant!$B:$B,$G$2),)</f>
        <v/>
      </c>
      <c r="D698" s="14" t="str">
        <f t="shared" si="2"/>
        <v/>
      </c>
      <c r="E698" s="14" t="str">
        <f t="shared" si="3"/>
        <v/>
      </c>
      <c r="F698" s="7" t="str">
        <f>IF($A698&lt;&gt;"",MAXIFS(Token!$B:$B,Token!$A:$A,$D698),)</f>
        <v/>
      </c>
    </row>
    <row r="699">
      <c r="A699" s="39" t="str">
        <f>IF(AND($L699*1&gt;=$G$3,$L699*1&lt;=$G$4,$I699*$J699&gt;0,OR($I699&lt;&gt;$I700,$L699-$L700&gt;25),$I699/POW(10,$J699)*MAXIFS(Token!$B:$B,Token!$A:$A,$K699)&gt;0.01),$L699/86400+DATE(1970,1,1)+$G$6,)</f>
        <v/>
      </c>
      <c r="B699" s="27" t="str">
        <f t="shared" si="1"/>
        <v/>
      </c>
      <c r="C699" s="14" t="str">
        <f>IF($A699&lt;&gt;"",MINIFS(Merchant!$A:$A,Merchant!$B:$B,$G$2),)</f>
        <v/>
      </c>
      <c r="D699" s="14" t="str">
        <f t="shared" si="2"/>
        <v/>
      </c>
      <c r="E699" s="14" t="str">
        <f t="shared" si="3"/>
        <v/>
      </c>
      <c r="F699" s="7" t="str">
        <f>IF($A699&lt;&gt;"",MAXIFS(Token!$B:$B,Token!$A:$A,$D699),)</f>
        <v/>
      </c>
    </row>
    <row r="700">
      <c r="A700" s="39" t="str">
        <f>IF(AND($L700*1&gt;=$G$3,$L700*1&lt;=$G$4,$I700*$J700&gt;0,OR($I700&lt;&gt;$I701,$L700-$L701&gt;25),$I700/POW(10,$J700)*MAXIFS(Token!$B:$B,Token!$A:$A,$K700)&gt;0.01),$L700/86400+DATE(1970,1,1)+$G$6,)</f>
        <v/>
      </c>
      <c r="B700" s="27" t="str">
        <f t="shared" si="1"/>
        <v/>
      </c>
      <c r="C700" s="14" t="str">
        <f>IF($A700&lt;&gt;"",MINIFS(Merchant!$A:$A,Merchant!$B:$B,$G$2),)</f>
        <v/>
      </c>
      <c r="D700" s="14" t="str">
        <f t="shared" si="2"/>
        <v/>
      </c>
      <c r="E700" s="14" t="str">
        <f t="shared" si="3"/>
        <v/>
      </c>
      <c r="F700" s="7" t="str">
        <f>IF($A700&lt;&gt;"",MAXIFS(Token!$B:$B,Token!$A:$A,$D700),)</f>
        <v/>
      </c>
    </row>
    <row r="701">
      <c r="A701" s="39" t="str">
        <f>IF(AND($L701*1&gt;=$G$3,$L701*1&lt;=$G$4,$I701*$J701&gt;0,OR($I701&lt;&gt;$I702,$L701-$L702&gt;25),$I701/POW(10,$J701)*MAXIFS(Token!$B:$B,Token!$A:$A,$K701)&gt;0.01),$L701/86400+DATE(1970,1,1)+$G$6,)</f>
        <v/>
      </c>
      <c r="B701" s="27" t="str">
        <f t="shared" si="1"/>
        <v/>
      </c>
      <c r="C701" s="14" t="str">
        <f>IF($A701&lt;&gt;"",MINIFS(Merchant!$A:$A,Merchant!$B:$B,$G$2),)</f>
        <v/>
      </c>
      <c r="D701" s="14" t="str">
        <f t="shared" si="2"/>
        <v/>
      </c>
      <c r="E701" s="14" t="str">
        <f t="shared" si="3"/>
        <v/>
      </c>
      <c r="F701" s="7" t="str">
        <f>IF($A701&lt;&gt;"",MAXIFS(Token!$B:$B,Token!$A:$A,$D701),)</f>
        <v/>
      </c>
    </row>
    <row r="702">
      <c r="A702" s="39" t="str">
        <f>IF(AND($L702*1&gt;=$G$3,$L702*1&lt;=$G$4,$I702*$J702&gt;0,OR($I702&lt;&gt;$I703,$L702-$L703&gt;25),$I702/POW(10,$J702)*MAXIFS(Token!$B:$B,Token!$A:$A,$K702)&gt;0.01),$L702/86400+DATE(1970,1,1)+$G$6,)</f>
        <v/>
      </c>
      <c r="B702" s="27" t="str">
        <f t="shared" si="1"/>
        <v/>
      </c>
      <c r="C702" s="14" t="str">
        <f>IF($A702&lt;&gt;"",MINIFS(Merchant!$A:$A,Merchant!$B:$B,$G$2),)</f>
        <v/>
      </c>
      <c r="D702" s="14" t="str">
        <f t="shared" si="2"/>
        <v/>
      </c>
      <c r="E702" s="14" t="str">
        <f t="shared" si="3"/>
        <v/>
      </c>
      <c r="F702" s="7" t="str">
        <f>IF($A702&lt;&gt;"",MAXIFS(Token!$B:$B,Token!$A:$A,$D702),)</f>
        <v/>
      </c>
    </row>
    <row r="703">
      <c r="A703" s="39" t="str">
        <f>IF(AND($L703*1&gt;=$G$3,$L703*1&lt;=$G$4,$I703*$J703&gt;0,OR($I703&lt;&gt;$I704,$L703-$L704&gt;25),$I703/POW(10,$J703)*MAXIFS(Token!$B:$B,Token!$A:$A,$K703)&gt;0.01),$L703/86400+DATE(1970,1,1)+$G$6,)</f>
        <v/>
      </c>
      <c r="B703" s="27" t="str">
        <f t="shared" si="1"/>
        <v/>
      </c>
      <c r="C703" s="14" t="str">
        <f>IF($A703&lt;&gt;"",MINIFS(Merchant!$A:$A,Merchant!$B:$B,$G$2),)</f>
        <v/>
      </c>
      <c r="D703" s="14" t="str">
        <f t="shared" si="2"/>
        <v/>
      </c>
      <c r="E703" s="14" t="str">
        <f t="shared" si="3"/>
        <v/>
      </c>
      <c r="F703" s="7" t="str">
        <f>IF($A703&lt;&gt;"",MAXIFS(Token!$B:$B,Token!$A:$A,$D703),)</f>
        <v/>
      </c>
    </row>
    <row r="704">
      <c r="A704" s="39" t="str">
        <f>IF(AND($L704*1&gt;=$G$3,$L704*1&lt;=$G$4,$I704*$J704&gt;0,OR($I704&lt;&gt;$I705,$L704-$L705&gt;25),$I704/POW(10,$J704)*MAXIFS(Token!$B:$B,Token!$A:$A,$K704)&gt;0.01),$L704/86400+DATE(1970,1,1)+$G$6,)</f>
        <v/>
      </c>
      <c r="B704" s="27" t="str">
        <f t="shared" si="1"/>
        <v/>
      </c>
      <c r="C704" s="14" t="str">
        <f>IF($A704&lt;&gt;"",MINIFS(Merchant!$A:$A,Merchant!$B:$B,$G$2),)</f>
        <v/>
      </c>
      <c r="D704" s="14" t="str">
        <f t="shared" si="2"/>
        <v/>
      </c>
      <c r="E704" s="14" t="str">
        <f t="shared" si="3"/>
        <v/>
      </c>
      <c r="F704" s="7" t="str">
        <f>IF($A704&lt;&gt;"",MAXIFS(Token!$B:$B,Token!$A:$A,$D704),)</f>
        <v/>
      </c>
    </row>
    <row r="705">
      <c r="A705" s="39" t="str">
        <f>IF(AND($L705*1&gt;=$G$3,$L705*1&lt;=$G$4,$I705*$J705&gt;0,OR($I705&lt;&gt;$I706,$L705-$L706&gt;25),$I705/POW(10,$J705)*MAXIFS(Token!$B:$B,Token!$A:$A,$K705)&gt;0.01),$L705/86400+DATE(1970,1,1)+$G$6,)</f>
        <v/>
      </c>
      <c r="B705" s="27" t="str">
        <f t="shared" si="1"/>
        <v/>
      </c>
      <c r="C705" s="14" t="str">
        <f>IF($A705&lt;&gt;"",MINIFS(Merchant!$A:$A,Merchant!$B:$B,$G$2),)</f>
        <v/>
      </c>
      <c r="D705" s="14" t="str">
        <f t="shared" si="2"/>
        <v/>
      </c>
      <c r="E705" s="14" t="str">
        <f t="shared" si="3"/>
        <v/>
      </c>
      <c r="F705" s="7" t="str">
        <f>IF($A705&lt;&gt;"",MAXIFS(Token!$B:$B,Token!$A:$A,$D705),)</f>
        <v/>
      </c>
    </row>
    <row r="706">
      <c r="A706" s="39" t="str">
        <f>IF(AND($L706*1&gt;=$G$3,$L706*1&lt;=$G$4,$I706*$J706&gt;0,OR($I706&lt;&gt;$I707,$L706-$L707&gt;25),$I706/POW(10,$J706)*MAXIFS(Token!$B:$B,Token!$A:$A,$K706)&gt;0.01),$L706/86400+DATE(1970,1,1)+$G$6,)</f>
        <v/>
      </c>
      <c r="B706" s="27" t="str">
        <f t="shared" si="1"/>
        <v/>
      </c>
      <c r="C706" s="14" t="str">
        <f>IF($A706&lt;&gt;"",MINIFS(Merchant!$A:$A,Merchant!$B:$B,$G$2),)</f>
        <v/>
      </c>
      <c r="D706" s="14" t="str">
        <f t="shared" si="2"/>
        <v/>
      </c>
      <c r="E706" s="14" t="str">
        <f t="shared" si="3"/>
        <v/>
      </c>
      <c r="F706" s="7" t="str">
        <f>IF($A706&lt;&gt;"",MAXIFS(Token!$B:$B,Token!$A:$A,$D706),)</f>
        <v/>
      </c>
    </row>
    <row r="707">
      <c r="A707" s="39" t="str">
        <f>IF(AND($L707*1&gt;=$G$3,$L707*1&lt;=$G$4,$I707*$J707&gt;0,OR($I707&lt;&gt;$I708,$L707-$L708&gt;25),$I707/POW(10,$J707)*MAXIFS(Token!$B:$B,Token!$A:$A,$K707)&gt;0.01),$L707/86400+DATE(1970,1,1)+$G$6,)</f>
        <v/>
      </c>
      <c r="B707" s="27" t="str">
        <f t="shared" si="1"/>
        <v/>
      </c>
      <c r="C707" s="14" t="str">
        <f>IF($A707&lt;&gt;"",MINIFS(Merchant!$A:$A,Merchant!$B:$B,$G$2),)</f>
        <v/>
      </c>
      <c r="D707" s="14" t="str">
        <f t="shared" si="2"/>
        <v/>
      </c>
      <c r="E707" s="14" t="str">
        <f t="shared" si="3"/>
        <v/>
      </c>
      <c r="F707" s="7" t="str">
        <f>IF($A707&lt;&gt;"",MAXIFS(Token!$B:$B,Token!$A:$A,$D707),)</f>
        <v/>
      </c>
    </row>
    <row r="708">
      <c r="A708" s="39" t="str">
        <f>IF(AND($L708*1&gt;=$G$3,$L708*1&lt;=$G$4,$I708*$J708&gt;0,OR($I708&lt;&gt;$I709,$L708-$L709&gt;25),$I708/POW(10,$J708)*MAXIFS(Token!$B:$B,Token!$A:$A,$K708)&gt;0.01),$L708/86400+DATE(1970,1,1)+$G$6,)</f>
        <v/>
      </c>
      <c r="B708" s="27" t="str">
        <f t="shared" si="1"/>
        <v/>
      </c>
      <c r="C708" s="14" t="str">
        <f>IF($A708&lt;&gt;"",MINIFS(Merchant!$A:$A,Merchant!$B:$B,$G$2),)</f>
        <v/>
      </c>
      <c r="D708" s="14" t="str">
        <f t="shared" si="2"/>
        <v/>
      </c>
      <c r="E708" s="14" t="str">
        <f t="shared" si="3"/>
        <v/>
      </c>
      <c r="F708" s="7" t="str">
        <f>IF($A708&lt;&gt;"",MAXIFS(Token!$B:$B,Token!$A:$A,$D708),)</f>
        <v/>
      </c>
    </row>
    <row r="709">
      <c r="A709" s="39" t="str">
        <f>IF(AND($L709*1&gt;=$G$3,$L709*1&lt;=$G$4,$I709*$J709&gt;0,OR($I709&lt;&gt;$I710,$L709-$L710&gt;25),$I709/POW(10,$J709)*MAXIFS(Token!$B:$B,Token!$A:$A,$K709)&gt;0.01),$L709/86400+DATE(1970,1,1)+$G$6,)</f>
        <v/>
      </c>
      <c r="B709" s="27" t="str">
        <f t="shared" si="1"/>
        <v/>
      </c>
      <c r="C709" s="14" t="str">
        <f>IF($A709&lt;&gt;"",MINIFS(Merchant!$A:$A,Merchant!$B:$B,$G$2),)</f>
        <v/>
      </c>
      <c r="D709" s="14" t="str">
        <f t="shared" si="2"/>
        <v/>
      </c>
      <c r="E709" s="14" t="str">
        <f t="shared" si="3"/>
        <v/>
      </c>
      <c r="F709" s="7" t="str">
        <f>IF($A709&lt;&gt;"",MAXIFS(Token!$B:$B,Token!$A:$A,$D709),)</f>
        <v/>
      </c>
    </row>
    <row r="710">
      <c r="A710" s="39" t="str">
        <f>IF(AND($L710*1&gt;=$G$3,$L710*1&lt;=$G$4,$I710*$J710&gt;0,OR($I710&lt;&gt;$I711,$L710-$L711&gt;25),$I710/POW(10,$J710)*MAXIFS(Token!$B:$B,Token!$A:$A,$K710)&gt;0.01),$L710/86400+DATE(1970,1,1)+$G$6,)</f>
        <v/>
      </c>
      <c r="B710" s="27" t="str">
        <f t="shared" si="1"/>
        <v/>
      </c>
      <c r="C710" s="14" t="str">
        <f>IF($A710&lt;&gt;"",MINIFS(Merchant!$A:$A,Merchant!$B:$B,$G$2),)</f>
        <v/>
      </c>
      <c r="D710" s="14" t="str">
        <f t="shared" si="2"/>
        <v/>
      </c>
      <c r="E710" s="14" t="str">
        <f t="shared" si="3"/>
        <v/>
      </c>
      <c r="F710" s="7" t="str">
        <f>IF($A710&lt;&gt;"",MAXIFS(Token!$B:$B,Token!$A:$A,$D710),)</f>
        <v/>
      </c>
    </row>
    <row r="711">
      <c r="A711" s="39" t="str">
        <f>IF(AND($L711*1&gt;=$G$3,$L711*1&lt;=$G$4,$I711*$J711&gt;0,OR($I711&lt;&gt;$I712,$L711-$L712&gt;25),$I711/POW(10,$J711)*MAXIFS(Token!$B:$B,Token!$A:$A,$K711)&gt;0.01),$L711/86400+DATE(1970,1,1)+$G$6,)</f>
        <v/>
      </c>
      <c r="B711" s="27" t="str">
        <f t="shared" si="1"/>
        <v/>
      </c>
      <c r="C711" s="14" t="str">
        <f>IF($A711&lt;&gt;"",MINIFS(Merchant!$A:$A,Merchant!$B:$B,$G$2),)</f>
        <v/>
      </c>
      <c r="D711" s="14" t="str">
        <f t="shared" si="2"/>
        <v/>
      </c>
      <c r="E711" s="14" t="str">
        <f t="shared" si="3"/>
        <v/>
      </c>
      <c r="F711" s="7" t="str">
        <f>IF($A711&lt;&gt;"",MAXIFS(Token!$B:$B,Token!$A:$A,$D711),)</f>
        <v/>
      </c>
    </row>
    <row r="712">
      <c r="A712" s="39" t="str">
        <f>IF(AND($L712*1&gt;=$G$3,$L712*1&lt;=$G$4,$I712*$J712&gt;0,OR($I712&lt;&gt;$I713,$L712-$L713&gt;25),$I712/POW(10,$J712)*MAXIFS(Token!$B:$B,Token!$A:$A,$K712)&gt;0.01),$L712/86400+DATE(1970,1,1)+$G$6,)</f>
        <v/>
      </c>
      <c r="B712" s="27" t="str">
        <f t="shared" si="1"/>
        <v/>
      </c>
      <c r="C712" s="14" t="str">
        <f>IF($A712&lt;&gt;"",MINIFS(Merchant!$A:$A,Merchant!$B:$B,$G$2),)</f>
        <v/>
      </c>
      <c r="D712" s="14" t="str">
        <f t="shared" si="2"/>
        <v/>
      </c>
      <c r="E712" s="14" t="str">
        <f t="shared" si="3"/>
        <v/>
      </c>
      <c r="F712" s="7" t="str">
        <f>IF($A712&lt;&gt;"",MAXIFS(Token!$B:$B,Token!$A:$A,$D712),)</f>
        <v/>
      </c>
    </row>
    <row r="713">
      <c r="A713" s="39" t="str">
        <f>IF(AND($L713*1&gt;=$G$3,$L713*1&lt;=$G$4,$I713*$J713&gt;0,OR($I713&lt;&gt;$I714,$L713-$L714&gt;25),$I713/POW(10,$J713)*MAXIFS(Token!$B:$B,Token!$A:$A,$K713)&gt;0.01),$L713/86400+DATE(1970,1,1)+$G$6,)</f>
        <v/>
      </c>
      <c r="B713" s="27" t="str">
        <f t="shared" si="1"/>
        <v/>
      </c>
      <c r="C713" s="14" t="str">
        <f>IF($A713&lt;&gt;"",MINIFS(Merchant!$A:$A,Merchant!$B:$B,$G$2),)</f>
        <v/>
      </c>
      <c r="D713" s="14" t="str">
        <f t="shared" si="2"/>
        <v/>
      </c>
      <c r="E713" s="14" t="str">
        <f t="shared" si="3"/>
        <v/>
      </c>
      <c r="F713" s="7" t="str">
        <f>IF($A713&lt;&gt;"",MAXIFS(Token!$B:$B,Token!$A:$A,$D713),)</f>
        <v/>
      </c>
    </row>
    <row r="714">
      <c r="A714" s="39" t="str">
        <f>IF(AND($L714*1&gt;=$G$3,$L714*1&lt;=$G$4,$I714*$J714&gt;0,OR($I714&lt;&gt;$I715,$L714-$L715&gt;25),$I714/POW(10,$J714)*MAXIFS(Token!$B:$B,Token!$A:$A,$K714)&gt;0.01),$L714/86400+DATE(1970,1,1)+$G$6,)</f>
        <v/>
      </c>
      <c r="B714" s="27" t="str">
        <f t="shared" si="1"/>
        <v/>
      </c>
      <c r="C714" s="14" t="str">
        <f>IF($A714&lt;&gt;"",MINIFS(Merchant!$A:$A,Merchant!$B:$B,$G$2),)</f>
        <v/>
      </c>
      <c r="D714" s="14" t="str">
        <f t="shared" si="2"/>
        <v/>
      </c>
      <c r="E714" s="14" t="str">
        <f t="shared" si="3"/>
        <v/>
      </c>
      <c r="F714" s="7" t="str">
        <f>IF($A714&lt;&gt;"",MAXIFS(Token!$B:$B,Token!$A:$A,$D714),)</f>
        <v/>
      </c>
    </row>
    <row r="715">
      <c r="A715" s="39" t="str">
        <f>IF(AND($L715*1&gt;=$G$3,$L715*1&lt;=$G$4,$I715*$J715&gt;0,OR($I715&lt;&gt;$I716,$L715-$L716&gt;25),$I715/POW(10,$J715)*MAXIFS(Token!$B:$B,Token!$A:$A,$K715)&gt;0.01),$L715/86400+DATE(1970,1,1)+$G$6,)</f>
        <v/>
      </c>
      <c r="B715" s="27" t="str">
        <f t="shared" si="1"/>
        <v/>
      </c>
      <c r="C715" s="14" t="str">
        <f>IF($A715&lt;&gt;"",MINIFS(Merchant!$A:$A,Merchant!$B:$B,$G$2),)</f>
        <v/>
      </c>
      <c r="D715" s="14" t="str">
        <f t="shared" si="2"/>
        <v/>
      </c>
      <c r="E715" s="14" t="str">
        <f t="shared" si="3"/>
        <v/>
      </c>
      <c r="F715" s="7" t="str">
        <f>IF($A715&lt;&gt;"",MAXIFS(Token!$B:$B,Token!$A:$A,$D715),)</f>
        <v/>
      </c>
    </row>
    <row r="716">
      <c r="A716" s="39" t="str">
        <f>IF(AND($L716*1&gt;=$G$3,$L716*1&lt;=$G$4,$I716*$J716&gt;0,OR($I716&lt;&gt;$I717,$L716-$L717&gt;25),$I716/POW(10,$J716)*MAXIFS(Token!$B:$B,Token!$A:$A,$K716)&gt;0.01),$L716/86400+DATE(1970,1,1)+$G$6,)</f>
        <v/>
      </c>
      <c r="B716" s="27" t="str">
        <f t="shared" si="1"/>
        <v/>
      </c>
      <c r="C716" s="14" t="str">
        <f>IF($A716&lt;&gt;"",MINIFS(Merchant!$A:$A,Merchant!$B:$B,$G$2),)</f>
        <v/>
      </c>
      <c r="D716" s="14" t="str">
        <f t="shared" si="2"/>
        <v/>
      </c>
      <c r="E716" s="14" t="str">
        <f t="shared" si="3"/>
        <v/>
      </c>
      <c r="F716" s="7" t="str">
        <f>IF($A716&lt;&gt;"",MAXIFS(Token!$B:$B,Token!$A:$A,$D716),)</f>
        <v/>
      </c>
    </row>
    <row r="717">
      <c r="A717" s="39" t="str">
        <f>IF(AND($L717*1&gt;=$G$3,$L717*1&lt;=$G$4,$I717*$J717&gt;0,OR($I717&lt;&gt;$I718,$L717-$L718&gt;25),$I717/POW(10,$J717)*MAXIFS(Token!$B:$B,Token!$A:$A,$K717)&gt;0.01),$L717/86400+DATE(1970,1,1)+$G$6,)</f>
        <v/>
      </c>
      <c r="B717" s="27" t="str">
        <f t="shared" si="1"/>
        <v/>
      </c>
      <c r="C717" s="14" t="str">
        <f>IF($A717&lt;&gt;"",MINIFS(Merchant!$A:$A,Merchant!$B:$B,$G$2),)</f>
        <v/>
      </c>
      <c r="D717" s="14" t="str">
        <f t="shared" si="2"/>
        <v/>
      </c>
      <c r="E717" s="14" t="str">
        <f t="shared" si="3"/>
        <v/>
      </c>
      <c r="F717" s="7" t="str">
        <f>IF($A717&lt;&gt;"",MAXIFS(Token!$B:$B,Token!$A:$A,$D717),)</f>
        <v/>
      </c>
    </row>
    <row r="718">
      <c r="A718" s="39" t="str">
        <f>IF(AND($L718*1&gt;=$G$3,$L718*1&lt;=$G$4,$I718*$J718&gt;0,OR($I718&lt;&gt;$I719,$L718-$L719&gt;25),$I718/POW(10,$J718)*MAXIFS(Token!$B:$B,Token!$A:$A,$K718)&gt;0.01),$L718/86400+DATE(1970,1,1)+$G$6,)</f>
        <v/>
      </c>
      <c r="B718" s="27" t="str">
        <f t="shared" si="1"/>
        <v/>
      </c>
      <c r="C718" s="14" t="str">
        <f>IF($A718&lt;&gt;"",MINIFS(Merchant!$A:$A,Merchant!$B:$B,$G$2),)</f>
        <v/>
      </c>
      <c r="D718" s="14" t="str">
        <f t="shared" si="2"/>
        <v/>
      </c>
      <c r="E718" s="14" t="str">
        <f t="shared" si="3"/>
        <v/>
      </c>
      <c r="F718" s="7" t="str">
        <f>IF($A718&lt;&gt;"",MAXIFS(Token!$B:$B,Token!$A:$A,$D718),)</f>
        <v/>
      </c>
    </row>
    <row r="719">
      <c r="A719" s="39" t="str">
        <f>IF(AND($L719*1&gt;=$G$3,$L719*1&lt;=$G$4,$I719*$J719&gt;0,OR($I719&lt;&gt;$I720,$L719-$L720&gt;25),$I719/POW(10,$J719)*MAXIFS(Token!$B:$B,Token!$A:$A,$K719)&gt;0.01),$L719/86400+DATE(1970,1,1)+$G$6,)</f>
        <v/>
      </c>
      <c r="B719" s="27" t="str">
        <f t="shared" si="1"/>
        <v/>
      </c>
      <c r="C719" s="14" t="str">
        <f>IF($A719&lt;&gt;"",MINIFS(Merchant!$A:$A,Merchant!$B:$B,$G$2),)</f>
        <v/>
      </c>
      <c r="D719" s="14" t="str">
        <f t="shared" si="2"/>
        <v/>
      </c>
      <c r="E719" s="14" t="str">
        <f t="shared" si="3"/>
        <v/>
      </c>
      <c r="F719" s="7" t="str">
        <f>IF($A719&lt;&gt;"",MAXIFS(Token!$B:$B,Token!$A:$A,$D719),)</f>
        <v/>
      </c>
    </row>
    <row r="720">
      <c r="A720" s="39" t="str">
        <f>IF(AND($L720*1&gt;=$G$3,$L720*1&lt;=$G$4,$I720*$J720&gt;0,OR($I720&lt;&gt;$I721,$L720-$L721&gt;25),$I720/POW(10,$J720)*MAXIFS(Token!$B:$B,Token!$A:$A,$K720)&gt;0.01),$L720/86400+DATE(1970,1,1)+$G$6,)</f>
        <v/>
      </c>
      <c r="B720" s="27" t="str">
        <f t="shared" si="1"/>
        <v/>
      </c>
      <c r="C720" s="14" t="str">
        <f>IF($A720&lt;&gt;"",MINIFS(Merchant!$A:$A,Merchant!$B:$B,$G$2),)</f>
        <v/>
      </c>
      <c r="D720" s="14" t="str">
        <f t="shared" si="2"/>
        <v/>
      </c>
      <c r="E720" s="14" t="str">
        <f t="shared" si="3"/>
        <v/>
      </c>
      <c r="F720" s="7" t="str">
        <f>IF($A720&lt;&gt;"",MAXIFS(Token!$B:$B,Token!$A:$A,$D720),)</f>
        <v/>
      </c>
    </row>
    <row r="721">
      <c r="A721" s="39" t="str">
        <f>IF(AND($L721*1&gt;=$G$3,$L721*1&lt;=$G$4,$I721*$J721&gt;0,OR($I721&lt;&gt;$I722,$L721-$L722&gt;25),$I721/POW(10,$J721)*MAXIFS(Token!$B:$B,Token!$A:$A,$K721)&gt;0.01),$L721/86400+DATE(1970,1,1)+$G$6,)</f>
        <v/>
      </c>
      <c r="B721" s="27" t="str">
        <f t="shared" si="1"/>
        <v/>
      </c>
      <c r="C721" s="14" t="str">
        <f>IF($A721&lt;&gt;"",MINIFS(Merchant!$A:$A,Merchant!$B:$B,$G$2),)</f>
        <v/>
      </c>
      <c r="D721" s="14" t="str">
        <f t="shared" si="2"/>
        <v/>
      </c>
      <c r="E721" s="14" t="str">
        <f t="shared" si="3"/>
        <v/>
      </c>
      <c r="F721" s="7" t="str">
        <f>IF($A721&lt;&gt;"",MAXIFS(Token!$B:$B,Token!$A:$A,$D721),)</f>
        <v/>
      </c>
    </row>
    <row r="722">
      <c r="A722" s="39" t="str">
        <f>IF(AND($L722*1&gt;=$G$3,$L722*1&lt;=$G$4,$I722*$J722&gt;0,OR($I722&lt;&gt;$I723,$L722-$L723&gt;25),$I722/POW(10,$J722)*MAXIFS(Token!$B:$B,Token!$A:$A,$K722)&gt;0.01),$L722/86400+DATE(1970,1,1)+$G$6,)</f>
        <v/>
      </c>
      <c r="B722" s="27" t="str">
        <f t="shared" si="1"/>
        <v/>
      </c>
      <c r="C722" s="14" t="str">
        <f>IF($A722&lt;&gt;"",MINIFS(Merchant!$A:$A,Merchant!$B:$B,$G$2),)</f>
        <v/>
      </c>
      <c r="D722" s="14" t="str">
        <f t="shared" si="2"/>
        <v/>
      </c>
      <c r="E722" s="14" t="str">
        <f t="shared" si="3"/>
        <v/>
      </c>
      <c r="F722" s="7" t="str">
        <f>IF($A722&lt;&gt;"",MAXIFS(Token!$B:$B,Token!$A:$A,$D722),)</f>
        <v/>
      </c>
    </row>
    <row r="723">
      <c r="A723" s="39" t="str">
        <f>IF(AND($L723*1&gt;=$G$3,$L723*1&lt;=$G$4,$I723*$J723&gt;0,OR($I723&lt;&gt;$I724,$L723-$L724&gt;25),$I723/POW(10,$J723)*MAXIFS(Token!$B:$B,Token!$A:$A,$K723)&gt;0.01),$L723/86400+DATE(1970,1,1)+$G$6,)</f>
        <v/>
      </c>
      <c r="B723" s="27" t="str">
        <f t="shared" si="1"/>
        <v/>
      </c>
      <c r="C723" s="14" t="str">
        <f>IF($A723&lt;&gt;"",MINIFS(Merchant!$A:$A,Merchant!$B:$B,$G$2),)</f>
        <v/>
      </c>
      <c r="D723" s="14" t="str">
        <f t="shared" si="2"/>
        <v/>
      </c>
      <c r="E723" s="14" t="str">
        <f t="shared" si="3"/>
        <v/>
      </c>
      <c r="F723" s="7" t="str">
        <f>IF($A723&lt;&gt;"",MAXIFS(Token!$B:$B,Token!$A:$A,$D723),)</f>
        <v/>
      </c>
    </row>
    <row r="724">
      <c r="A724" s="39" t="str">
        <f>IF(AND($L724*1&gt;=$G$3,$L724*1&lt;=$G$4,$I724*$J724&gt;0,OR($I724&lt;&gt;$I725,$L724-$L725&gt;25),$I724/POW(10,$J724)*MAXIFS(Token!$B:$B,Token!$A:$A,$K724)&gt;0.01),$L724/86400+DATE(1970,1,1)+$G$6,)</f>
        <v/>
      </c>
      <c r="B724" s="27" t="str">
        <f t="shared" si="1"/>
        <v/>
      </c>
      <c r="C724" s="14" t="str">
        <f>IF($A724&lt;&gt;"",MINIFS(Merchant!$A:$A,Merchant!$B:$B,$G$2),)</f>
        <v/>
      </c>
      <c r="D724" s="14" t="str">
        <f t="shared" si="2"/>
        <v/>
      </c>
      <c r="E724" s="14" t="str">
        <f t="shared" si="3"/>
        <v/>
      </c>
      <c r="F724" s="7" t="str">
        <f>IF($A724&lt;&gt;"",MAXIFS(Token!$B:$B,Token!$A:$A,$D724),)</f>
        <v/>
      </c>
    </row>
    <row r="725">
      <c r="A725" s="39" t="str">
        <f>IF(AND($L725*1&gt;=$G$3,$L725*1&lt;=$G$4,$I725*$J725&gt;0,OR($I725&lt;&gt;$I726,$L725-$L726&gt;25),$I725/POW(10,$J725)*MAXIFS(Token!$B:$B,Token!$A:$A,$K725)&gt;0.01),$L725/86400+DATE(1970,1,1)+$G$6,)</f>
        <v/>
      </c>
      <c r="B725" s="27" t="str">
        <f t="shared" si="1"/>
        <v/>
      </c>
      <c r="C725" s="14" t="str">
        <f>IF($A725&lt;&gt;"",MINIFS(Merchant!$A:$A,Merchant!$B:$B,$G$2),)</f>
        <v/>
      </c>
      <c r="D725" s="14" t="str">
        <f t="shared" si="2"/>
        <v/>
      </c>
      <c r="E725" s="14" t="str">
        <f t="shared" si="3"/>
        <v/>
      </c>
      <c r="F725" s="7" t="str">
        <f>IF($A725&lt;&gt;"",MAXIFS(Token!$B:$B,Token!$A:$A,$D725),)</f>
        <v/>
      </c>
    </row>
    <row r="726">
      <c r="A726" s="39" t="str">
        <f>IF(AND($L726*1&gt;=$G$3,$L726*1&lt;=$G$4,$I726*$J726&gt;0,OR($I726&lt;&gt;$I727,$L726-$L727&gt;25),$I726/POW(10,$J726)*MAXIFS(Token!$B:$B,Token!$A:$A,$K726)&gt;0.01),$L726/86400+DATE(1970,1,1)+$G$6,)</f>
        <v/>
      </c>
      <c r="B726" s="27" t="str">
        <f t="shared" si="1"/>
        <v/>
      </c>
      <c r="C726" s="14" t="str">
        <f>IF($A726&lt;&gt;"",MINIFS(Merchant!$A:$A,Merchant!$B:$B,$G$2),)</f>
        <v/>
      </c>
      <c r="D726" s="14" t="str">
        <f t="shared" si="2"/>
        <v/>
      </c>
      <c r="E726" s="14" t="str">
        <f t="shared" si="3"/>
        <v/>
      </c>
      <c r="F726" s="7" t="str">
        <f>IF($A726&lt;&gt;"",MAXIFS(Token!$B:$B,Token!$A:$A,$D726),)</f>
        <v/>
      </c>
    </row>
    <row r="727">
      <c r="A727" s="39" t="str">
        <f>IF(AND($L727*1&gt;=$G$3,$L727*1&lt;=$G$4,$I727*$J727&gt;0,OR($I727&lt;&gt;$I728,$L727-$L728&gt;25),$I727/POW(10,$J727)*MAXIFS(Token!$B:$B,Token!$A:$A,$K727)&gt;0.01),$L727/86400+DATE(1970,1,1)+$G$6,)</f>
        <v/>
      </c>
      <c r="B727" s="27" t="str">
        <f t="shared" si="1"/>
        <v/>
      </c>
      <c r="C727" s="14" t="str">
        <f>IF($A727&lt;&gt;"",MINIFS(Merchant!$A:$A,Merchant!$B:$B,$G$2),)</f>
        <v/>
      </c>
      <c r="D727" s="14" t="str">
        <f t="shared" si="2"/>
        <v/>
      </c>
      <c r="E727" s="14" t="str">
        <f t="shared" si="3"/>
        <v/>
      </c>
      <c r="F727" s="7" t="str">
        <f>IF($A727&lt;&gt;"",MAXIFS(Token!$B:$B,Token!$A:$A,$D727),)</f>
        <v/>
      </c>
    </row>
    <row r="728">
      <c r="A728" s="39" t="str">
        <f>IF(AND($L728*1&gt;=$G$3,$L728*1&lt;=$G$4,$I728*$J728&gt;0,OR($I728&lt;&gt;$I729,$L728-$L729&gt;25),$I728/POW(10,$J728)*MAXIFS(Token!$B:$B,Token!$A:$A,$K728)&gt;0.01),$L728/86400+DATE(1970,1,1)+$G$6,)</f>
        <v/>
      </c>
      <c r="B728" s="27" t="str">
        <f t="shared" si="1"/>
        <v/>
      </c>
      <c r="C728" s="14" t="str">
        <f>IF($A728&lt;&gt;"",MINIFS(Merchant!$A:$A,Merchant!$B:$B,$G$2),)</f>
        <v/>
      </c>
      <c r="D728" s="14" t="str">
        <f t="shared" si="2"/>
        <v/>
      </c>
      <c r="E728" s="14" t="str">
        <f t="shared" si="3"/>
        <v/>
      </c>
      <c r="F728" s="7" t="str">
        <f>IF($A728&lt;&gt;"",MAXIFS(Token!$B:$B,Token!$A:$A,$D728),)</f>
        <v/>
      </c>
    </row>
    <row r="729">
      <c r="A729" s="39" t="str">
        <f>IF(AND($L729*1&gt;=$G$3,$L729*1&lt;=$G$4,$I729*$J729&gt;0,OR($I729&lt;&gt;$I730,$L729-$L730&gt;25),$I729/POW(10,$J729)*MAXIFS(Token!$B:$B,Token!$A:$A,$K729)&gt;0.01),$L729/86400+DATE(1970,1,1)+$G$6,)</f>
        <v/>
      </c>
      <c r="B729" s="27" t="str">
        <f t="shared" si="1"/>
        <v/>
      </c>
      <c r="C729" s="14" t="str">
        <f>IF($A729&lt;&gt;"",MINIFS(Merchant!$A:$A,Merchant!$B:$B,$G$2),)</f>
        <v/>
      </c>
      <c r="D729" s="14" t="str">
        <f t="shared" si="2"/>
        <v/>
      </c>
      <c r="E729" s="14" t="str">
        <f t="shared" si="3"/>
        <v/>
      </c>
      <c r="F729" s="7" t="str">
        <f>IF($A729&lt;&gt;"",MAXIFS(Token!$B:$B,Token!$A:$A,$D729),)</f>
        <v/>
      </c>
    </row>
    <row r="730">
      <c r="A730" s="39" t="str">
        <f>IF(AND($L730*1&gt;=$G$3,$L730*1&lt;=$G$4,$I730*$J730&gt;0,OR($I730&lt;&gt;$I731,$L730-$L731&gt;25),$I730/POW(10,$J730)*MAXIFS(Token!$B:$B,Token!$A:$A,$K730)&gt;0.01),$L730/86400+DATE(1970,1,1)+$G$6,)</f>
        <v/>
      </c>
      <c r="B730" s="27" t="str">
        <f t="shared" si="1"/>
        <v/>
      </c>
      <c r="C730" s="14" t="str">
        <f>IF($A730&lt;&gt;"",MINIFS(Merchant!$A:$A,Merchant!$B:$B,$G$2),)</f>
        <v/>
      </c>
      <c r="D730" s="14" t="str">
        <f t="shared" si="2"/>
        <v/>
      </c>
      <c r="E730" s="14" t="str">
        <f t="shared" si="3"/>
        <v/>
      </c>
      <c r="F730" s="7" t="str">
        <f>IF($A730&lt;&gt;"",MAXIFS(Token!$B:$B,Token!$A:$A,$D730),)</f>
        <v/>
      </c>
    </row>
    <row r="731">
      <c r="A731" s="39" t="str">
        <f>IF(AND($L731*1&gt;=$G$3,$L731*1&lt;=$G$4,$I731*$J731&gt;0,OR($I731&lt;&gt;$I732,$L731-$L732&gt;25),$I731/POW(10,$J731)*MAXIFS(Token!$B:$B,Token!$A:$A,$K731)&gt;0.01),$L731/86400+DATE(1970,1,1)+$G$6,)</f>
        <v/>
      </c>
      <c r="B731" s="27" t="str">
        <f t="shared" si="1"/>
        <v/>
      </c>
      <c r="C731" s="14" t="str">
        <f>IF($A731&lt;&gt;"",MINIFS(Merchant!$A:$A,Merchant!$B:$B,$G$2),)</f>
        <v/>
      </c>
      <c r="D731" s="14" t="str">
        <f t="shared" si="2"/>
        <v/>
      </c>
      <c r="E731" s="14" t="str">
        <f t="shared" si="3"/>
        <v/>
      </c>
      <c r="F731" s="7" t="str">
        <f>IF($A731&lt;&gt;"",MAXIFS(Token!$B:$B,Token!$A:$A,$D731),)</f>
        <v/>
      </c>
    </row>
    <row r="732">
      <c r="A732" s="39" t="str">
        <f>IF(AND($L732*1&gt;=$G$3,$L732*1&lt;=$G$4,$I732*$J732&gt;0,OR($I732&lt;&gt;$I733,$L732-$L733&gt;25),$I732/POW(10,$J732)*MAXIFS(Token!$B:$B,Token!$A:$A,$K732)&gt;0.01),$L732/86400+DATE(1970,1,1)+$G$6,)</f>
        <v/>
      </c>
      <c r="B732" s="27" t="str">
        <f t="shared" si="1"/>
        <v/>
      </c>
      <c r="C732" s="14" t="str">
        <f>IF($A732&lt;&gt;"",MINIFS(Merchant!$A:$A,Merchant!$B:$B,$G$2),)</f>
        <v/>
      </c>
      <c r="D732" s="14" t="str">
        <f t="shared" si="2"/>
        <v/>
      </c>
      <c r="E732" s="14" t="str">
        <f t="shared" si="3"/>
        <v/>
      </c>
      <c r="F732" s="7" t="str">
        <f>IF($A732&lt;&gt;"",MAXIFS(Token!$B:$B,Token!$A:$A,$D732),)</f>
        <v/>
      </c>
    </row>
    <row r="733">
      <c r="A733" s="39" t="str">
        <f>IF(AND($L733*1&gt;=$G$3,$L733*1&lt;=$G$4,$I733*$J733&gt;0,OR($I733&lt;&gt;$I734,$L733-$L734&gt;25),$I733/POW(10,$J733)*MAXIFS(Token!$B:$B,Token!$A:$A,$K733)&gt;0.01),$L733/86400+DATE(1970,1,1)+$G$6,)</f>
        <v/>
      </c>
      <c r="B733" s="27" t="str">
        <f t="shared" si="1"/>
        <v/>
      </c>
      <c r="C733" s="14" t="str">
        <f>IF($A733&lt;&gt;"",MINIFS(Merchant!$A:$A,Merchant!$B:$B,$G$2),)</f>
        <v/>
      </c>
      <c r="D733" s="14" t="str">
        <f t="shared" si="2"/>
        <v/>
      </c>
      <c r="E733" s="14" t="str">
        <f t="shared" si="3"/>
        <v/>
      </c>
      <c r="F733" s="7" t="str">
        <f>IF($A733&lt;&gt;"",MAXIFS(Token!$B:$B,Token!$A:$A,$D733),)</f>
        <v/>
      </c>
    </row>
    <row r="734">
      <c r="A734" s="39" t="str">
        <f>IF(AND($L734*1&gt;=$G$3,$L734*1&lt;=$G$4,$I734*$J734&gt;0,OR($I734&lt;&gt;$I735,$L734-$L735&gt;25),$I734/POW(10,$J734)*MAXIFS(Token!$B:$B,Token!$A:$A,$K734)&gt;0.01),$L734/86400+DATE(1970,1,1)+$G$6,)</f>
        <v/>
      </c>
      <c r="B734" s="27" t="str">
        <f t="shared" si="1"/>
        <v/>
      </c>
      <c r="C734" s="14" t="str">
        <f>IF($A734&lt;&gt;"",MINIFS(Merchant!$A:$A,Merchant!$B:$B,$G$2),)</f>
        <v/>
      </c>
      <c r="D734" s="14" t="str">
        <f t="shared" si="2"/>
        <v/>
      </c>
      <c r="E734" s="14" t="str">
        <f t="shared" si="3"/>
        <v/>
      </c>
      <c r="F734" s="7" t="str">
        <f>IF($A734&lt;&gt;"",MAXIFS(Token!$B:$B,Token!$A:$A,$D734),)</f>
        <v/>
      </c>
    </row>
    <row r="735">
      <c r="A735" s="39" t="str">
        <f>IF(AND($L735*1&gt;=$G$3,$L735*1&lt;=$G$4,$I735*$J735&gt;0,OR($I735&lt;&gt;$I736,$L735-$L736&gt;25),$I735/POW(10,$J735)*MAXIFS(Token!$B:$B,Token!$A:$A,$K735)&gt;0.01),$L735/86400+DATE(1970,1,1)+$G$6,)</f>
        <v/>
      </c>
      <c r="B735" s="27" t="str">
        <f t="shared" si="1"/>
        <v/>
      </c>
      <c r="C735" s="14" t="str">
        <f>IF($A735&lt;&gt;"",MINIFS(Merchant!$A:$A,Merchant!$B:$B,$G$2),)</f>
        <v/>
      </c>
      <c r="D735" s="14" t="str">
        <f t="shared" si="2"/>
        <v/>
      </c>
      <c r="E735" s="14" t="str">
        <f t="shared" si="3"/>
        <v/>
      </c>
      <c r="F735" s="7" t="str">
        <f>IF($A735&lt;&gt;"",MAXIFS(Token!$B:$B,Token!$A:$A,$D735),)</f>
        <v/>
      </c>
    </row>
    <row r="736">
      <c r="A736" s="39" t="str">
        <f>IF(AND($L736*1&gt;=$G$3,$L736*1&lt;=$G$4,$I736*$J736&gt;0,OR($I736&lt;&gt;$I737,$L736-$L737&gt;25),$I736/POW(10,$J736)*MAXIFS(Token!$B:$B,Token!$A:$A,$K736)&gt;0.01),$L736/86400+DATE(1970,1,1)+$G$6,)</f>
        <v/>
      </c>
      <c r="B736" s="27" t="str">
        <f t="shared" si="1"/>
        <v/>
      </c>
      <c r="C736" s="14" t="str">
        <f>IF($A736&lt;&gt;"",MINIFS(Merchant!$A:$A,Merchant!$B:$B,$G$2),)</f>
        <v/>
      </c>
      <c r="D736" s="14" t="str">
        <f t="shared" si="2"/>
        <v/>
      </c>
      <c r="E736" s="14" t="str">
        <f t="shared" si="3"/>
        <v/>
      </c>
      <c r="F736" s="7" t="str">
        <f>IF($A736&lt;&gt;"",MAXIFS(Token!$B:$B,Token!$A:$A,$D736),)</f>
        <v/>
      </c>
    </row>
    <row r="737">
      <c r="A737" s="39" t="str">
        <f>IF(AND($L737*1&gt;=$G$3,$L737*1&lt;=$G$4,$I737*$J737&gt;0,OR($I737&lt;&gt;$I738,$L737-$L738&gt;25),$I737/POW(10,$J737)*MAXIFS(Token!$B:$B,Token!$A:$A,$K737)&gt;0.01),$L737/86400+DATE(1970,1,1)+$G$6,)</f>
        <v/>
      </c>
      <c r="B737" s="27" t="str">
        <f t="shared" si="1"/>
        <v/>
      </c>
      <c r="C737" s="14" t="str">
        <f>IF($A737&lt;&gt;"",MINIFS(Merchant!$A:$A,Merchant!$B:$B,$G$2),)</f>
        <v/>
      </c>
      <c r="D737" s="14" t="str">
        <f t="shared" si="2"/>
        <v/>
      </c>
      <c r="E737" s="14" t="str">
        <f t="shared" si="3"/>
        <v/>
      </c>
      <c r="F737" s="7" t="str">
        <f>IF($A737&lt;&gt;"",MAXIFS(Token!$B:$B,Token!$A:$A,$D737),)</f>
        <v/>
      </c>
    </row>
    <row r="738">
      <c r="A738" s="39" t="str">
        <f>IF(AND($L738*1&gt;=$G$3,$L738*1&lt;=$G$4,$I738*$J738&gt;0,OR($I738&lt;&gt;$I739,$L738-$L739&gt;25),$I738/POW(10,$J738)*MAXIFS(Token!$B:$B,Token!$A:$A,$K738)&gt;0.01),$L738/86400+DATE(1970,1,1)+$G$6,)</f>
        <v/>
      </c>
      <c r="B738" s="27" t="str">
        <f t="shared" si="1"/>
        <v/>
      </c>
      <c r="C738" s="14" t="str">
        <f>IF($A738&lt;&gt;"",MINIFS(Merchant!$A:$A,Merchant!$B:$B,$G$2),)</f>
        <v/>
      </c>
      <c r="D738" s="14" t="str">
        <f t="shared" si="2"/>
        <v/>
      </c>
      <c r="E738" s="14" t="str">
        <f t="shared" si="3"/>
        <v/>
      </c>
      <c r="F738" s="7" t="str">
        <f>IF($A738&lt;&gt;"",MAXIFS(Token!$B:$B,Token!$A:$A,$D738),)</f>
        <v/>
      </c>
    </row>
    <row r="739">
      <c r="A739" s="39" t="str">
        <f>IF(AND($L739*1&gt;=$G$3,$L739*1&lt;=$G$4,$I739*$J739&gt;0,OR($I739&lt;&gt;$I740,$L739-$L740&gt;25),$I739/POW(10,$J739)*MAXIFS(Token!$B:$B,Token!$A:$A,$K739)&gt;0.01),$L739/86400+DATE(1970,1,1)+$G$6,)</f>
        <v/>
      </c>
      <c r="B739" s="27" t="str">
        <f t="shared" si="1"/>
        <v/>
      </c>
      <c r="C739" s="14" t="str">
        <f>IF($A739&lt;&gt;"",MINIFS(Merchant!$A:$A,Merchant!$B:$B,$G$2),)</f>
        <v/>
      </c>
      <c r="D739" s="14" t="str">
        <f t="shared" si="2"/>
        <v/>
      </c>
      <c r="E739" s="14" t="str">
        <f t="shared" si="3"/>
        <v/>
      </c>
      <c r="F739" s="7" t="str">
        <f>IF($A739&lt;&gt;"",MAXIFS(Token!$B:$B,Token!$A:$A,$D739),)</f>
        <v/>
      </c>
    </row>
    <row r="740">
      <c r="A740" s="39" t="str">
        <f>IF(AND($L740*1&gt;=$G$3,$L740*1&lt;=$G$4,$I740*$J740&gt;0,OR($I740&lt;&gt;$I741,$L740-$L741&gt;25),$I740/POW(10,$J740)*MAXIFS(Token!$B:$B,Token!$A:$A,$K740)&gt;0.01),$L740/86400+DATE(1970,1,1)+$G$6,)</f>
        <v/>
      </c>
      <c r="B740" s="27" t="str">
        <f t="shared" si="1"/>
        <v/>
      </c>
      <c r="C740" s="14" t="str">
        <f>IF($A740&lt;&gt;"",MINIFS(Merchant!$A:$A,Merchant!$B:$B,$G$2),)</f>
        <v/>
      </c>
      <c r="D740" s="14" t="str">
        <f t="shared" si="2"/>
        <v/>
      </c>
      <c r="E740" s="14" t="str">
        <f t="shared" si="3"/>
        <v/>
      </c>
      <c r="F740" s="7" t="str">
        <f>IF($A740&lt;&gt;"",MAXIFS(Token!$B:$B,Token!$A:$A,$D740),)</f>
        <v/>
      </c>
    </row>
    <row r="741">
      <c r="A741" s="39" t="str">
        <f>IF(AND($L741*1&gt;=$G$3,$L741*1&lt;=$G$4,$I741*$J741&gt;0,OR($I741&lt;&gt;$I742,$L741-$L742&gt;25),$I741/POW(10,$J741)*MAXIFS(Token!$B:$B,Token!$A:$A,$K741)&gt;0.01),$L741/86400+DATE(1970,1,1)+$G$6,)</f>
        <v/>
      </c>
      <c r="B741" s="27" t="str">
        <f t="shared" si="1"/>
        <v/>
      </c>
      <c r="C741" s="14" t="str">
        <f>IF($A741&lt;&gt;"",MINIFS(Merchant!$A:$A,Merchant!$B:$B,$G$2),)</f>
        <v/>
      </c>
      <c r="D741" s="14" t="str">
        <f t="shared" si="2"/>
        <v/>
      </c>
      <c r="E741" s="14" t="str">
        <f t="shared" si="3"/>
        <v/>
      </c>
      <c r="F741" s="7" t="str">
        <f>IF($A741&lt;&gt;"",MAXIFS(Token!$B:$B,Token!$A:$A,$D741),)</f>
        <v/>
      </c>
    </row>
    <row r="742">
      <c r="A742" s="39" t="str">
        <f>IF(AND($L742*1&gt;=$G$3,$L742*1&lt;=$G$4,$I742*$J742&gt;0,OR($I742&lt;&gt;$I743,$L742-$L743&gt;25),$I742/POW(10,$J742)*MAXIFS(Token!$B:$B,Token!$A:$A,$K742)&gt;0.01),$L742/86400+DATE(1970,1,1)+$G$6,)</f>
        <v/>
      </c>
      <c r="B742" s="27" t="str">
        <f t="shared" si="1"/>
        <v/>
      </c>
      <c r="C742" s="14" t="str">
        <f>IF($A742&lt;&gt;"",MINIFS(Merchant!$A:$A,Merchant!$B:$B,$G$2),)</f>
        <v/>
      </c>
      <c r="D742" s="14" t="str">
        <f t="shared" si="2"/>
        <v/>
      </c>
      <c r="E742" s="14" t="str">
        <f t="shared" si="3"/>
        <v/>
      </c>
      <c r="F742" s="7" t="str">
        <f>IF($A742&lt;&gt;"",MAXIFS(Token!$B:$B,Token!$A:$A,$D742),)</f>
        <v/>
      </c>
    </row>
    <row r="743">
      <c r="A743" s="39" t="str">
        <f>IF(AND($L743*1&gt;=$G$3,$L743*1&lt;=$G$4,$I743*$J743&gt;0,OR($I743&lt;&gt;$I744,$L743-$L744&gt;25),$I743/POW(10,$J743)*MAXIFS(Token!$B:$B,Token!$A:$A,$K743)&gt;0.01),$L743/86400+DATE(1970,1,1)+$G$6,)</f>
        <v/>
      </c>
      <c r="B743" s="27" t="str">
        <f t="shared" si="1"/>
        <v/>
      </c>
      <c r="C743" s="14" t="str">
        <f>IF($A743&lt;&gt;"",MINIFS(Merchant!$A:$A,Merchant!$B:$B,$G$2),)</f>
        <v/>
      </c>
      <c r="D743" s="14" t="str">
        <f t="shared" si="2"/>
        <v/>
      </c>
      <c r="E743" s="14" t="str">
        <f t="shared" si="3"/>
        <v/>
      </c>
      <c r="F743" s="7" t="str">
        <f>IF($A743&lt;&gt;"",MAXIFS(Token!$B:$B,Token!$A:$A,$D743),)</f>
        <v/>
      </c>
    </row>
    <row r="744">
      <c r="A744" s="39" t="str">
        <f>IF(AND($L744*1&gt;=$G$3,$L744*1&lt;=$G$4,$I744*$J744&gt;0,OR($I744&lt;&gt;$I745,$L744-$L745&gt;25),$I744/POW(10,$J744)*MAXIFS(Token!$B:$B,Token!$A:$A,$K744)&gt;0.01),$L744/86400+DATE(1970,1,1)+$G$6,)</f>
        <v/>
      </c>
      <c r="B744" s="27" t="str">
        <f t="shared" si="1"/>
        <v/>
      </c>
      <c r="C744" s="14" t="str">
        <f>IF($A744&lt;&gt;"",MINIFS(Merchant!$A:$A,Merchant!$B:$B,$G$2),)</f>
        <v/>
      </c>
      <c r="D744" s="14" t="str">
        <f t="shared" si="2"/>
        <v/>
      </c>
      <c r="E744" s="14" t="str">
        <f t="shared" si="3"/>
        <v/>
      </c>
      <c r="F744" s="7" t="str">
        <f>IF($A744&lt;&gt;"",MAXIFS(Token!$B:$B,Token!$A:$A,$D744),)</f>
        <v/>
      </c>
    </row>
    <row r="745">
      <c r="A745" s="39" t="str">
        <f>IF(AND($L745*1&gt;=$G$3,$L745*1&lt;=$G$4,$I745*$J745&gt;0,OR($I745&lt;&gt;$I746,$L745-$L746&gt;25),$I745/POW(10,$J745)*MAXIFS(Token!$B:$B,Token!$A:$A,$K745)&gt;0.01),$L745/86400+DATE(1970,1,1)+$G$6,)</f>
        <v/>
      </c>
      <c r="B745" s="27" t="str">
        <f t="shared" si="1"/>
        <v/>
      </c>
      <c r="C745" s="14" t="str">
        <f>IF($A745&lt;&gt;"",MINIFS(Merchant!$A:$A,Merchant!$B:$B,$G$2),)</f>
        <v/>
      </c>
      <c r="D745" s="14" t="str">
        <f t="shared" si="2"/>
        <v/>
      </c>
      <c r="E745" s="14" t="str">
        <f t="shared" si="3"/>
        <v/>
      </c>
      <c r="F745" s="7" t="str">
        <f>IF($A745&lt;&gt;"",MAXIFS(Token!$B:$B,Token!$A:$A,$D745),)</f>
        <v/>
      </c>
    </row>
    <row r="746">
      <c r="A746" s="39" t="str">
        <f>IF(AND($L746*1&gt;=$G$3,$L746*1&lt;=$G$4,$I746*$J746&gt;0,OR($I746&lt;&gt;$I747,$L746-$L747&gt;25),$I746/POW(10,$J746)*MAXIFS(Token!$B:$B,Token!$A:$A,$K746)&gt;0.01),$L746/86400+DATE(1970,1,1)+$G$6,)</f>
        <v/>
      </c>
      <c r="B746" s="27" t="str">
        <f t="shared" si="1"/>
        <v/>
      </c>
      <c r="C746" s="14" t="str">
        <f>IF($A746&lt;&gt;"",MINIFS(Merchant!$A:$A,Merchant!$B:$B,$G$2),)</f>
        <v/>
      </c>
      <c r="D746" s="14" t="str">
        <f t="shared" si="2"/>
        <v/>
      </c>
      <c r="E746" s="14" t="str">
        <f t="shared" si="3"/>
        <v/>
      </c>
      <c r="F746" s="7" t="str">
        <f>IF($A746&lt;&gt;"",MAXIFS(Token!$B:$B,Token!$A:$A,$D746),)</f>
        <v/>
      </c>
    </row>
    <row r="747">
      <c r="A747" s="39" t="str">
        <f>IF(AND($L747*1&gt;=$G$3,$L747*1&lt;=$G$4,$I747*$J747&gt;0,OR($I747&lt;&gt;$I748,$L747-$L748&gt;25),$I747/POW(10,$J747)*MAXIFS(Token!$B:$B,Token!$A:$A,$K747)&gt;0.01),$L747/86400+DATE(1970,1,1)+$G$6,)</f>
        <v/>
      </c>
      <c r="B747" s="27" t="str">
        <f t="shared" si="1"/>
        <v/>
      </c>
      <c r="C747" s="14" t="str">
        <f>IF($A747&lt;&gt;"",MINIFS(Merchant!$A:$A,Merchant!$B:$B,$G$2),)</f>
        <v/>
      </c>
      <c r="D747" s="14" t="str">
        <f t="shared" si="2"/>
        <v/>
      </c>
      <c r="E747" s="14" t="str">
        <f t="shared" si="3"/>
        <v/>
      </c>
      <c r="F747" s="7" t="str">
        <f>IF($A747&lt;&gt;"",MAXIFS(Token!$B:$B,Token!$A:$A,$D747),)</f>
        <v/>
      </c>
    </row>
    <row r="748">
      <c r="A748" s="39" t="str">
        <f>IF(AND($L748*1&gt;=$G$3,$L748*1&lt;=$G$4,$I748*$J748&gt;0,OR($I748&lt;&gt;$I749,$L748-$L749&gt;25),$I748/POW(10,$J748)*MAXIFS(Token!$B:$B,Token!$A:$A,$K748)&gt;0.01),$L748/86400+DATE(1970,1,1)+$G$6,)</f>
        <v/>
      </c>
      <c r="B748" s="27" t="str">
        <f t="shared" si="1"/>
        <v/>
      </c>
      <c r="C748" s="14" t="str">
        <f>IF($A748&lt;&gt;"",MINIFS(Merchant!$A:$A,Merchant!$B:$B,$G$2),)</f>
        <v/>
      </c>
      <c r="D748" s="14" t="str">
        <f t="shared" si="2"/>
        <v/>
      </c>
      <c r="E748" s="14" t="str">
        <f t="shared" si="3"/>
        <v/>
      </c>
      <c r="F748" s="7" t="str">
        <f>IF($A748&lt;&gt;"",MAXIFS(Token!$B:$B,Token!$A:$A,$D748),)</f>
        <v/>
      </c>
    </row>
    <row r="749">
      <c r="A749" s="39" t="str">
        <f>IF(AND($L749*1&gt;=$G$3,$L749*1&lt;=$G$4,$I749*$J749&gt;0,OR($I749&lt;&gt;$I750,$L749-$L750&gt;25),$I749/POW(10,$J749)*MAXIFS(Token!$B:$B,Token!$A:$A,$K749)&gt;0.01),$L749/86400+DATE(1970,1,1)+$G$6,)</f>
        <v/>
      </c>
      <c r="B749" s="27" t="str">
        <f t="shared" si="1"/>
        <v/>
      </c>
      <c r="C749" s="14" t="str">
        <f>IF($A749&lt;&gt;"",MINIFS(Merchant!$A:$A,Merchant!$B:$B,$G$2),)</f>
        <v/>
      </c>
      <c r="D749" s="14" t="str">
        <f t="shared" si="2"/>
        <v/>
      </c>
      <c r="E749" s="14" t="str">
        <f t="shared" si="3"/>
        <v/>
      </c>
      <c r="F749" s="7" t="str">
        <f>IF($A749&lt;&gt;"",MAXIFS(Token!$B:$B,Token!$A:$A,$D749),)</f>
        <v/>
      </c>
    </row>
    <row r="750">
      <c r="A750" s="39" t="str">
        <f>IF(AND($L750*1&gt;=$G$3,$L750*1&lt;=$G$4,$I750*$J750&gt;0,OR($I750&lt;&gt;$I751,$L750-$L751&gt;25),$I750/POW(10,$J750)*MAXIFS(Token!$B:$B,Token!$A:$A,$K750)&gt;0.01),$L750/86400+DATE(1970,1,1)+$G$6,)</f>
        <v/>
      </c>
      <c r="B750" s="27" t="str">
        <f t="shared" si="1"/>
        <v/>
      </c>
      <c r="C750" s="14" t="str">
        <f>IF($A750&lt;&gt;"",MINIFS(Merchant!$A:$A,Merchant!$B:$B,$G$2),)</f>
        <v/>
      </c>
      <c r="D750" s="14" t="str">
        <f t="shared" si="2"/>
        <v/>
      </c>
      <c r="E750" s="14" t="str">
        <f t="shared" si="3"/>
        <v/>
      </c>
      <c r="F750" s="7" t="str">
        <f>IF($A750&lt;&gt;"",MAXIFS(Token!$B:$B,Token!$A:$A,$D750),)</f>
        <v/>
      </c>
    </row>
    <row r="751">
      <c r="A751" s="39" t="str">
        <f>IF(AND($L751*1&gt;=$G$3,$L751*1&lt;=$G$4,$I751*$J751&gt;0,OR($I751&lt;&gt;$I752,$L751-$L752&gt;25),$I751/POW(10,$J751)*MAXIFS(Token!$B:$B,Token!$A:$A,$K751)&gt;0.01),$L751/86400+DATE(1970,1,1)+$G$6,)</f>
        <v/>
      </c>
      <c r="B751" s="27" t="str">
        <f t="shared" si="1"/>
        <v/>
      </c>
      <c r="C751" s="14" t="str">
        <f>IF($A751&lt;&gt;"",MINIFS(Merchant!$A:$A,Merchant!$B:$B,$G$2),)</f>
        <v/>
      </c>
      <c r="D751" s="14" t="str">
        <f t="shared" si="2"/>
        <v/>
      </c>
      <c r="E751" s="14" t="str">
        <f t="shared" si="3"/>
        <v/>
      </c>
      <c r="F751" s="7" t="str">
        <f>IF($A751&lt;&gt;"",MAXIFS(Token!$B:$B,Token!$A:$A,$D751),)</f>
        <v/>
      </c>
    </row>
    <row r="752">
      <c r="A752" s="39" t="str">
        <f>IF(AND($L752*1&gt;=$G$3,$L752*1&lt;=$G$4,$I752*$J752&gt;0,OR($I752&lt;&gt;$I753,$L752-$L753&gt;25),$I752/POW(10,$J752)*MAXIFS(Token!$B:$B,Token!$A:$A,$K752)&gt;0.01),$L752/86400+DATE(1970,1,1)+$G$6,)</f>
        <v/>
      </c>
      <c r="B752" s="27" t="str">
        <f t="shared" si="1"/>
        <v/>
      </c>
      <c r="C752" s="14" t="str">
        <f>IF($A752&lt;&gt;"",MINIFS(Merchant!$A:$A,Merchant!$B:$B,$G$2),)</f>
        <v/>
      </c>
      <c r="D752" s="14" t="str">
        <f t="shared" si="2"/>
        <v/>
      </c>
      <c r="E752" s="14" t="str">
        <f t="shared" si="3"/>
        <v/>
      </c>
      <c r="F752" s="7" t="str">
        <f>IF($A752&lt;&gt;"",MAXIFS(Token!$B:$B,Token!$A:$A,$D752),)</f>
        <v/>
      </c>
    </row>
    <row r="753">
      <c r="A753" s="39" t="str">
        <f>IF(AND($L753*1&gt;=$G$3,$L753*1&lt;=$G$4,$I753*$J753&gt;0,OR($I753&lt;&gt;$I754,$L753-$L754&gt;25),$I753/POW(10,$J753)*MAXIFS(Token!$B:$B,Token!$A:$A,$K753)&gt;0.01),$L753/86400+DATE(1970,1,1)+$G$6,)</f>
        <v/>
      </c>
      <c r="B753" s="27" t="str">
        <f t="shared" si="1"/>
        <v/>
      </c>
      <c r="C753" s="14" t="str">
        <f>IF($A753&lt;&gt;"",MINIFS(Merchant!$A:$A,Merchant!$B:$B,$G$2),)</f>
        <v/>
      </c>
      <c r="D753" s="14" t="str">
        <f t="shared" si="2"/>
        <v/>
      </c>
      <c r="E753" s="14" t="str">
        <f t="shared" si="3"/>
        <v/>
      </c>
      <c r="F753" s="7" t="str">
        <f>IF($A753&lt;&gt;"",MAXIFS(Token!$B:$B,Token!$A:$A,$D753),)</f>
        <v/>
      </c>
    </row>
    <row r="754">
      <c r="A754" s="39" t="str">
        <f>IF(AND($L754*1&gt;=$G$3,$L754*1&lt;=$G$4,$I754*$J754&gt;0,OR($I754&lt;&gt;$I755,$L754-$L755&gt;25),$I754/POW(10,$J754)*MAXIFS(Token!$B:$B,Token!$A:$A,$K754)&gt;0.01),$L754/86400+DATE(1970,1,1)+$G$6,)</f>
        <v/>
      </c>
      <c r="B754" s="27" t="str">
        <f t="shared" si="1"/>
        <v/>
      </c>
      <c r="C754" s="14" t="str">
        <f>IF($A754&lt;&gt;"",MINIFS(Merchant!$A:$A,Merchant!$B:$B,$G$2),)</f>
        <v/>
      </c>
      <c r="D754" s="14" t="str">
        <f t="shared" si="2"/>
        <v/>
      </c>
      <c r="E754" s="14" t="str">
        <f t="shared" si="3"/>
        <v/>
      </c>
      <c r="F754" s="7" t="str">
        <f>IF($A754&lt;&gt;"",MAXIFS(Token!$B:$B,Token!$A:$A,$D754),)</f>
        <v/>
      </c>
    </row>
    <row r="755">
      <c r="A755" s="39" t="str">
        <f>IF(AND($L755*1&gt;=$G$3,$L755*1&lt;=$G$4,$I755*$J755&gt;0,OR($I755&lt;&gt;$I756,$L755-$L756&gt;25),$I755/POW(10,$J755)*MAXIFS(Token!$B:$B,Token!$A:$A,$K755)&gt;0.01),$L755/86400+DATE(1970,1,1)+$G$6,)</f>
        <v/>
      </c>
      <c r="B755" s="27" t="str">
        <f t="shared" si="1"/>
        <v/>
      </c>
      <c r="C755" s="14" t="str">
        <f>IF($A755&lt;&gt;"",MINIFS(Merchant!$A:$A,Merchant!$B:$B,$G$2),)</f>
        <v/>
      </c>
      <c r="D755" s="14" t="str">
        <f t="shared" si="2"/>
        <v/>
      </c>
      <c r="E755" s="14" t="str">
        <f t="shared" si="3"/>
        <v/>
      </c>
      <c r="F755" s="7" t="str">
        <f>IF($A755&lt;&gt;"",MAXIFS(Token!$B:$B,Token!$A:$A,$D755),)</f>
        <v/>
      </c>
    </row>
    <row r="756">
      <c r="A756" s="39" t="str">
        <f>IF(AND($L756*1&gt;=$G$3,$L756*1&lt;=$G$4,$I756*$J756&gt;0,OR($I756&lt;&gt;$I757,$L756-$L757&gt;25),$I756/POW(10,$J756)*MAXIFS(Token!$B:$B,Token!$A:$A,$K756)&gt;0.01),$L756/86400+DATE(1970,1,1)+$G$6,)</f>
        <v/>
      </c>
      <c r="B756" s="27" t="str">
        <f t="shared" si="1"/>
        <v/>
      </c>
      <c r="C756" s="14" t="str">
        <f>IF($A756&lt;&gt;"",MINIFS(Merchant!$A:$A,Merchant!$B:$B,$G$2),)</f>
        <v/>
      </c>
      <c r="D756" s="14" t="str">
        <f t="shared" si="2"/>
        <v/>
      </c>
      <c r="E756" s="14" t="str">
        <f t="shared" si="3"/>
        <v/>
      </c>
      <c r="F756" s="7" t="str">
        <f>IF($A756&lt;&gt;"",MAXIFS(Token!$B:$B,Token!$A:$A,$D756),)</f>
        <v/>
      </c>
    </row>
    <row r="757">
      <c r="A757" s="39" t="str">
        <f>IF(AND($L757*1&gt;=$G$3,$L757*1&lt;=$G$4,$I757*$J757&gt;0,OR($I757&lt;&gt;$I758,$L757-$L758&gt;25),$I757/POW(10,$J757)*MAXIFS(Token!$B:$B,Token!$A:$A,$K757)&gt;0.01),$L757/86400+DATE(1970,1,1)+$G$6,)</f>
        <v/>
      </c>
      <c r="B757" s="27" t="str">
        <f t="shared" si="1"/>
        <v/>
      </c>
      <c r="C757" s="14" t="str">
        <f>IF($A757&lt;&gt;"",MINIFS(Merchant!$A:$A,Merchant!$B:$B,$G$2),)</f>
        <v/>
      </c>
      <c r="D757" s="14" t="str">
        <f t="shared" si="2"/>
        <v/>
      </c>
      <c r="E757" s="14" t="str">
        <f t="shared" si="3"/>
        <v/>
      </c>
      <c r="F757" s="7" t="str">
        <f>IF($A757&lt;&gt;"",MAXIFS(Token!$B:$B,Token!$A:$A,$D757),)</f>
        <v/>
      </c>
    </row>
    <row r="758">
      <c r="A758" s="39" t="str">
        <f>IF(AND($L758*1&gt;=$G$3,$L758*1&lt;=$G$4,$I758*$J758&gt;0,OR($I758&lt;&gt;$I759,$L758-$L759&gt;25),$I758/POW(10,$J758)*MAXIFS(Token!$B:$B,Token!$A:$A,$K758)&gt;0.01),$L758/86400+DATE(1970,1,1)+$G$6,)</f>
        <v/>
      </c>
      <c r="B758" s="27" t="str">
        <f t="shared" si="1"/>
        <v/>
      </c>
      <c r="C758" s="14" t="str">
        <f>IF($A758&lt;&gt;"",MINIFS(Merchant!$A:$A,Merchant!$B:$B,$G$2),)</f>
        <v/>
      </c>
      <c r="D758" s="14" t="str">
        <f t="shared" si="2"/>
        <v/>
      </c>
      <c r="E758" s="14" t="str">
        <f t="shared" si="3"/>
        <v/>
      </c>
      <c r="F758" s="7" t="str">
        <f>IF($A758&lt;&gt;"",MAXIFS(Token!$B:$B,Token!$A:$A,$D758),)</f>
        <v/>
      </c>
    </row>
    <row r="759">
      <c r="A759" s="39" t="str">
        <f>IF(AND($L759*1&gt;=$G$3,$L759*1&lt;=$G$4,$I759*$J759&gt;0,OR($I759&lt;&gt;$I760,$L759-$L760&gt;25),$I759/POW(10,$J759)*MAXIFS(Token!$B:$B,Token!$A:$A,$K759)&gt;0.01),$L759/86400+DATE(1970,1,1)+$G$6,)</f>
        <v/>
      </c>
      <c r="B759" s="27" t="str">
        <f t="shared" si="1"/>
        <v/>
      </c>
      <c r="C759" s="14" t="str">
        <f>IF($A759&lt;&gt;"",MINIFS(Merchant!$A:$A,Merchant!$B:$B,$G$2),)</f>
        <v/>
      </c>
      <c r="D759" s="14" t="str">
        <f t="shared" si="2"/>
        <v/>
      </c>
      <c r="E759" s="14" t="str">
        <f t="shared" si="3"/>
        <v/>
      </c>
      <c r="F759" s="7" t="str">
        <f>IF($A759&lt;&gt;"",MAXIFS(Token!$B:$B,Token!$A:$A,$D759),)</f>
        <v/>
      </c>
    </row>
    <row r="760">
      <c r="A760" s="39" t="str">
        <f>IF(AND($L760*1&gt;=$G$3,$L760*1&lt;=$G$4,$I760*$J760&gt;0,OR($I760&lt;&gt;$I761,$L760-$L761&gt;25),$I760/POW(10,$J760)*MAXIFS(Token!$B:$B,Token!$A:$A,$K760)&gt;0.01),$L760/86400+DATE(1970,1,1)+$G$6,)</f>
        <v/>
      </c>
      <c r="B760" s="27" t="str">
        <f t="shared" si="1"/>
        <v/>
      </c>
      <c r="C760" s="14" t="str">
        <f>IF($A760&lt;&gt;"",MINIFS(Merchant!$A:$A,Merchant!$B:$B,$G$2),)</f>
        <v/>
      </c>
      <c r="D760" s="14" t="str">
        <f t="shared" si="2"/>
        <v/>
      </c>
      <c r="E760" s="14" t="str">
        <f t="shared" si="3"/>
        <v/>
      </c>
      <c r="F760" s="7" t="str">
        <f>IF($A760&lt;&gt;"",MAXIFS(Token!$B:$B,Token!$A:$A,$D760),)</f>
        <v/>
      </c>
    </row>
    <row r="761">
      <c r="A761" s="39" t="str">
        <f>IF(AND($L761*1&gt;=$G$3,$L761*1&lt;=$G$4,$I761*$J761&gt;0,OR($I761&lt;&gt;$I762,$L761-$L762&gt;25),$I761/POW(10,$J761)*MAXIFS(Token!$B:$B,Token!$A:$A,$K761)&gt;0.01),$L761/86400+DATE(1970,1,1)+$G$6,)</f>
        <v/>
      </c>
      <c r="B761" s="27" t="str">
        <f t="shared" si="1"/>
        <v/>
      </c>
      <c r="C761" s="14" t="str">
        <f>IF($A761&lt;&gt;"",MINIFS(Merchant!$A:$A,Merchant!$B:$B,$G$2),)</f>
        <v/>
      </c>
      <c r="D761" s="14" t="str">
        <f t="shared" si="2"/>
        <v/>
      </c>
      <c r="E761" s="14" t="str">
        <f t="shared" si="3"/>
        <v/>
      </c>
      <c r="F761" s="7" t="str">
        <f>IF($A761&lt;&gt;"",MAXIFS(Token!$B:$B,Token!$A:$A,$D761),)</f>
        <v/>
      </c>
    </row>
    <row r="762">
      <c r="A762" s="39" t="str">
        <f>IF(AND($L762*1&gt;=$G$3,$L762*1&lt;=$G$4,$I762*$J762&gt;0,OR($I762&lt;&gt;$I763,$L762-$L763&gt;25),$I762/POW(10,$J762)*MAXIFS(Token!$B:$B,Token!$A:$A,$K762)&gt;0.01),$L762/86400+DATE(1970,1,1)+$G$6,)</f>
        <v/>
      </c>
      <c r="B762" s="27" t="str">
        <f t="shared" si="1"/>
        <v/>
      </c>
      <c r="C762" s="14" t="str">
        <f>IF($A762&lt;&gt;"",MINIFS(Merchant!$A:$A,Merchant!$B:$B,$G$2),)</f>
        <v/>
      </c>
      <c r="D762" s="14" t="str">
        <f t="shared" si="2"/>
        <v/>
      </c>
      <c r="E762" s="14" t="str">
        <f t="shared" si="3"/>
        <v/>
      </c>
      <c r="F762" s="7" t="str">
        <f>IF($A762&lt;&gt;"",MAXIFS(Token!$B:$B,Token!$A:$A,$D762),)</f>
        <v/>
      </c>
    </row>
    <row r="763">
      <c r="A763" s="39" t="str">
        <f>IF(AND($L763*1&gt;=$G$3,$L763*1&lt;=$G$4,$I763*$J763&gt;0,OR($I763&lt;&gt;$I764,$L763-$L764&gt;25),$I763/POW(10,$J763)*MAXIFS(Token!$B:$B,Token!$A:$A,$K763)&gt;0.01),$L763/86400+DATE(1970,1,1)+$G$6,)</f>
        <v/>
      </c>
      <c r="B763" s="27" t="str">
        <f t="shared" si="1"/>
        <v/>
      </c>
      <c r="C763" s="14" t="str">
        <f>IF($A763&lt;&gt;"",MINIFS(Merchant!$A:$A,Merchant!$B:$B,$G$2),)</f>
        <v/>
      </c>
      <c r="D763" s="14" t="str">
        <f t="shared" si="2"/>
        <v/>
      </c>
      <c r="E763" s="14" t="str">
        <f t="shared" si="3"/>
        <v/>
      </c>
      <c r="F763" s="7" t="str">
        <f>IF($A763&lt;&gt;"",MAXIFS(Token!$B:$B,Token!$A:$A,$D763),)</f>
        <v/>
      </c>
    </row>
    <row r="764">
      <c r="A764" s="39" t="str">
        <f>IF(AND($L764*1&gt;=$G$3,$L764*1&lt;=$G$4,$I764*$J764&gt;0,OR($I764&lt;&gt;$I765,$L764-$L765&gt;25),$I764/POW(10,$J764)*MAXIFS(Token!$B:$B,Token!$A:$A,$K764)&gt;0.01),$L764/86400+DATE(1970,1,1)+$G$6,)</f>
        <v/>
      </c>
      <c r="B764" s="27" t="str">
        <f t="shared" si="1"/>
        <v/>
      </c>
      <c r="C764" s="14" t="str">
        <f>IF($A764&lt;&gt;"",MINIFS(Merchant!$A:$A,Merchant!$B:$B,$G$2),)</f>
        <v/>
      </c>
      <c r="D764" s="14" t="str">
        <f t="shared" si="2"/>
        <v/>
      </c>
      <c r="E764" s="14" t="str">
        <f t="shared" si="3"/>
        <v/>
      </c>
      <c r="F764" s="7" t="str">
        <f>IF($A764&lt;&gt;"",MAXIFS(Token!$B:$B,Token!$A:$A,$D764),)</f>
        <v/>
      </c>
    </row>
    <row r="765">
      <c r="A765" s="39" t="str">
        <f>IF(AND($L765*1&gt;=$G$3,$L765*1&lt;=$G$4,$I765*$J765&gt;0,OR($I765&lt;&gt;$I766,$L765-$L766&gt;25),$I765/POW(10,$J765)*MAXIFS(Token!$B:$B,Token!$A:$A,$K765)&gt;0.01),$L765/86400+DATE(1970,1,1)+$G$6,)</f>
        <v/>
      </c>
      <c r="B765" s="27" t="str">
        <f t="shared" si="1"/>
        <v/>
      </c>
      <c r="C765" s="14" t="str">
        <f>IF($A765&lt;&gt;"",MINIFS(Merchant!$A:$A,Merchant!$B:$B,$G$2),)</f>
        <v/>
      </c>
      <c r="D765" s="14" t="str">
        <f t="shared" si="2"/>
        <v/>
      </c>
      <c r="E765" s="14" t="str">
        <f t="shared" si="3"/>
        <v/>
      </c>
      <c r="F765" s="7" t="str">
        <f>IF($A765&lt;&gt;"",MAXIFS(Token!$B:$B,Token!$A:$A,$D765),)</f>
        <v/>
      </c>
    </row>
    <row r="766">
      <c r="A766" s="39" t="str">
        <f>IF(AND($L766*1&gt;=$G$3,$L766*1&lt;=$G$4,$I766*$J766&gt;0,OR($I766&lt;&gt;$I767,$L766-$L767&gt;25),$I766/POW(10,$J766)*MAXIFS(Token!$B:$B,Token!$A:$A,$K766)&gt;0.01),$L766/86400+DATE(1970,1,1)+$G$6,)</f>
        <v/>
      </c>
      <c r="B766" s="27" t="str">
        <f t="shared" si="1"/>
        <v/>
      </c>
      <c r="C766" s="14" t="str">
        <f>IF($A766&lt;&gt;"",MINIFS(Merchant!$A:$A,Merchant!$B:$B,$G$2),)</f>
        <v/>
      </c>
      <c r="D766" s="14" t="str">
        <f t="shared" si="2"/>
        <v/>
      </c>
      <c r="E766" s="14" t="str">
        <f t="shared" si="3"/>
        <v/>
      </c>
      <c r="F766" s="7" t="str">
        <f>IF($A766&lt;&gt;"",MAXIFS(Token!$B:$B,Token!$A:$A,$D766),)</f>
        <v/>
      </c>
    </row>
    <row r="767">
      <c r="A767" s="39" t="str">
        <f>IF(AND($L767*1&gt;=$G$3,$L767*1&lt;=$G$4,$I767*$J767&gt;0,OR($I767&lt;&gt;$I768,$L767-$L768&gt;25),$I767/POW(10,$J767)*MAXIFS(Token!$B:$B,Token!$A:$A,$K767)&gt;0.01),$L767/86400+DATE(1970,1,1)+$G$6,)</f>
        <v/>
      </c>
      <c r="B767" s="27" t="str">
        <f t="shared" si="1"/>
        <v/>
      </c>
      <c r="C767" s="14" t="str">
        <f>IF($A767&lt;&gt;"",MINIFS(Merchant!$A:$A,Merchant!$B:$B,$G$2),)</f>
        <v/>
      </c>
      <c r="D767" s="14" t="str">
        <f t="shared" si="2"/>
        <v/>
      </c>
      <c r="E767" s="14" t="str">
        <f t="shared" si="3"/>
        <v/>
      </c>
      <c r="F767" s="7" t="str">
        <f>IF($A767&lt;&gt;"",MAXIFS(Token!$B:$B,Token!$A:$A,$D767),)</f>
        <v/>
      </c>
    </row>
    <row r="768">
      <c r="A768" s="39" t="str">
        <f>IF(AND($L768*1&gt;=$G$3,$L768*1&lt;=$G$4,$I768*$J768&gt;0,OR($I768&lt;&gt;$I769,$L768-$L769&gt;25),$I768/POW(10,$J768)*MAXIFS(Token!$B:$B,Token!$A:$A,$K768)&gt;0.01),$L768/86400+DATE(1970,1,1)+$G$6,)</f>
        <v/>
      </c>
      <c r="B768" s="27" t="str">
        <f t="shared" si="1"/>
        <v/>
      </c>
      <c r="C768" s="14" t="str">
        <f>IF($A768&lt;&gt;"",MINIFS(Merchant!$A:$A,Merchant!$B:$B,$G$2),)</f>
        <v/>
      </c>
      <c r="D768" s="14" t="str">
        <f t="shared" si="2"/>
        <v/>
      </c>
      <c r="E768" s="14" t="str">
        <f t="shared" si="3"/>
        <v/>
      </c>
      <c r="F768" s="7" t="str">
        <f>IF($A768&lt;&gt;"",MAXIFS(Token!$B:$B,Token!$A:$A,$D768),)</f>
        <v/>
      </c>
    </row>
    <row r="769">
      <c r="A769" s="39" t="str">
        <f>IF(AND($L769*1&gt;=$G$3,$L769*1&lt;=$G$4,$I769*$J769&gt;0,OR($I769&lt;&gt;$I770,$L769-$L770&gt;25),$I769/POW(10,$J769)*MAXIFS(Token!$B:$B,Token!$A:$A,$K769)&gt;0.01),$L769/86400+DATE(1970,1,1)+$G$6,)</f>
        <v/>
      </c>
      <c r="B769" s="27" t="str">
        <f t="shared" si="1"/>
        <v/>
      </c>
      <c r="C769" s="14" t="str">
        <f>IF($A769&lt;&gt;"",MINIFS(Merchant!$A:$A,Merchant!$B:$B,$G$2),)</f>
        <v/>
      </c>
      <c r="D769" s="14" t="str">
        <f t="shared" si="2"/>
        <v/>
      </c>
      <c r="E769" s="14" t="str">
        <f t="shared" si="3"/>
        <v/>
      </c>
      <c r="F769" s="7" t="str">
        <f>IF($A769&lt;&gt;"",MAXIFS(Token!$B:$B,Token!$A:$A,$D769),)</f>
        <v/>
      </c>
    </row>
    <row r="770">
      <c r="A770" s="39" t="str">
        <f>IF(AND($L770*1&gt;=$G$3,$L770*1&lt;=$G$4,$I770*$J770&gt;0,OR($I770&lt;&gt;$I771,$L770-$L771&gt;25),$I770/POW(10,$J770)*MAXIFS(Token!$B:$B,Token!$A:$A,$K770)&gt;0.01),$L770/86400+DATE(1970,1,1)+$G$6,)</f>
        <v/>
      </c>
      <c r="B770" s="27" t="str">
        <f t="shared" si="1"/>
        <v/>
      </c>
      <c r="C770" s="14" t="str">
        <f>IF($A770&lt;&gt;"",MINIFS(Merchant!$A:$A,Merchant!$B:$B,$G$2),)</f>
        <v/>
      </c>
      <c r="D770" s="14" t="str">
        <f t="shared" si="2"/>
        <v/>
      </c>
      <c r="E770" s="14" t="str">
        <f t="shared" si="3"/>
        <v/>
      </c>
      <c r="F770" s="7" t="str">
        <f>IF($A770&lt;&gt;"",MAXIFS(Token!$B:$B,Token!$A:$A,$D770),)</f>
        <v/>
      </c>
    </row>
    <row r="771">
      <c r="A771" s="39" t="str">
        <f>IF(AND($L771*1&gt;=$G$3,$L771*1&lt;=$G$4,$I771*$J771&gt;0,OR($I771&lt;&gt;$I772,$L771-$L772&gt;25),$I771/POW(10,$J771)*MAXIFS(Token!$B:$B,Token!$A:$A,$K771)&gt;0.01),$L771/86400+DATE(1970,1,1)+$G$6,)</f>
        <v/>
      </c>
      <c r="B771" s="27" t="str">
        <f t="shared" si="1"/>
        <v/>
      </c>
      <c r="C771" s="14" t="str">
        <f>IF($A771&lt;&gt;"",MINIFS(Merchant!$A:$A,Merchant!$B:$B,$G$2),)</f>
        <v/>
      </c>
      <c r="D771" s="14" t="str">
        <f t="shared" si="2"/>
        <v/>
      </c>
      <c r="E771" s="14" t="str">
        <f t="shared" si="3"/>
        <v/>
      </c>
      <c r="F771" s="7" t="str">
        <f>IF($A771&lt;&gt;"",MAXIFS(Token!$B:$B,Token!$A:$A,$D771),)</f>
        <v/>
      </c>
    </row>
    <row r="772">
      <c r="A772" s="39" t="str">
        <f>IF(AND($L772*1&gt;=$G$3,$L772*1&lt;=$G$4,$I772*$J772&gt;0,OR($I772&lt;&gt;$I773,$L772-$L773&gt;25),$I772/POW(10,$J772)*MAXIFS(Token!$B:$B,Token!$A:$A,$K772)&gt;0.01),$L772/86400+DATE(1970,1,1)+$G$6,)</f>
        <v/>
      </c>
      <c r="B772" s="27" t="str">
        <f t="shared" si="1"/>
        <v/>
      </c>
      <c r="C772" s="14" t="str">
        <f>IF($A772&lt;&gt;"",MINIFS(Merchant!$A:$A,Merchant!$B:$B,$G$2),)</f>
        <v/>
      </c>
      <c r="D772" s="14" t="str">
        <f t="shared" si="2"/>
        <v/>
      </c>
      <c r="E772" s="14" t="str">
        <f t="shared" si="3"/>
        <v/>
      </c>
      <c r="F772" s="7" t="str">
        <f>IF($A772&lt;&gt;"",MAXIFS(Token!$B:$B,Token!$A:$A,$D772),)</f>
        <v/>
      </c>
    </row>
    <row r="773">
      <c r="A773" s="39" t="str">
        <f>IF(AND($L773*1&gt;=$G$3,$L773*1&lt;=$G$4,$I773*$J773&gt;0,OR($I773&lt;&gt;$I774,$L773-$L774&gt;25),$I773/POW(10,$J773)*MAXIFS(Token!$B:$B,Token!$A:$A,$K773)&gt;0.01),$L773/86400+DATE(1970,1,1)+$G$6,)</f>
        <v/>
      </c>
      <c r="B773" s="27" t="str">
        <f t="shared" si="1"/>
        <v/>
      </c>
      <c r="C773" s="14" t="str">
        <f>IF($A773&lt;&gt;"",MINIFS(Merchant!$A:$A,Merchant!$B:$B,$G$2),)</f>
        <v/>
      </c>
      <c r="D773" s="14" t="str">
        <f t="shared" si="2"/>
        <v/>
      </c>
      <c r="E773" s="14" t="str">
        <f t="shared" si="3"/>
        <v/>
      </c>
      <c r="F773" s="7" t="str">
        <f>IF($A773&lt;&gt;"",MAXIFS(Token!$B:$B,Token!$A:$A,$D773),)</f>
        <v/>
      </c>
    </row>
    <row r="774">
      <c r="A774" s="39" t="str">
        <f>IF(AND($L774*1&gt;=$G$3,$L774*1&lt;=$G$4,$I774*$J774&gt;0,OR($I774&lt;&gt;$I775,$L774-$L775&gt;25),$I774/POW(10,$J774)*MAXIFS(Token!$B:$B,Token!$A:$A,$K774)&gt;0.01),$L774/86400+DATE(1970,1,1)+$G$6,)</f>
        <v/>
      </c>
      <c r="B774" s="27" t="str">
        <f t="shared" si="1"/>
        <v/>
      </c>
      <c r="C774" s="14" t="str">
        <f>IF($A774&lt;&gt;"",MINIFS(Merchant!$A:$A,Merchant!$B:$B,$G$2),)</f>
        <v/>
      </c>
      <c r="D774" s="14" t="str">
        <f t="shared" si="2"/>
        <v/>
      </c>
      <c r="E774" s="14" t="str">
        <f t="shared" si="3"/>
        <v/>
      </c>
      <c r="F774" s="7" t="str">
        <f>IF($A774&lt;&gt;"",MAXIFS(Token!$B:$B,Token!$A:$A,$D774),)</f>
        <v/>
      </c>
    </row>
    <row r="775">
      <c r="A775" s="39" t="str">
        <f>IF(AND($L775*1&gt;=$G$3,$L775*1&lt;=$G$4,$I775*$J775&gt;0,OR($I775&lt;&gt;$I776,$L775-$L776&gt;25),$I775/POW(10,$J775)*MAXIFS(Token!$B:$B,Token!$A:$A,$K775)&gt;0.01),$L775/86400+DATE(1970,1,1)+$G$6,)</f>
        <v/>
      </c>
      <c r="B775" s="27" t="str">
        <f t="shared" si="1"/>
        <v/>
      </c>
      <c r="C775" s="14" t="str">
        <f>IF($A775&lt;&gt;"",MINIFS(Merchant!$A:$A,Merchant!$B:$B,$G$2),)</f>
        <v/>
      </c>
      <c r="D775" s="14" t="str">
        <f t="shared" si="2"/>
        <v/>
      </c>
      <c r="E775" s="14" t="str">
        <f t="shared" si="3"/>
        <v/>
      </c>
      <c r="F775" s="7" t="str">
        <f>IF($A775&lt;&gt;"",MAXIFS(Token!$B:$B,Token!$A:$A,$D775),)</f>
        <v/>
      </c>
    </row>
    <row r="776">
      <c r="A776" s="39" t="str">
        <f>IF(AND($L776*1&gt;=$G$3,$L776*1&lt;=$G$4,$I776*$J776&gt;0,OR($I776&lt;&gt;$I777,$L776-$L777&gt;25),$I776/POW(10,$J776)*MAXIFS(Token!$B:$B,Token!$A:$A,$K776)&gt;0.01),$L776/86400+DATE(1970,1,1)+$G$6,)</f>
        <v/>
      </c>
      <c r="B776" s="27" t="str">
        <f t="shared" si="1"/>
        <v/>
      </c>
      <c r="C776" s="14" t="str">
        <f>IF($A776&lt;&gt;"",MINIFS(Merchant!$A:$A,Merchant!$B:$B,$G$2),)</f>
        <v/>
      </c>
      <c r="D776" s="14" t="str">
        <f t="shared" si="2"/>
        <v/>
      </c>
      <c r="E776" s="14" t="str">
        <f t="shared" si="3"/>
        <v/>
      </c>
      <c r="F776" s="7" t="str">
        <f>IF($A776&lt;&gt;"",MAXIFS(Token!$B:$B,Token!$A:$A,$D776),)</f>
        <v/>
      </c>
    </row>
    <row r="777">
      <c r="A777" s="39" t="str">
        <f>IF(AND($L777*1&gt;=$G$3,$L777*1&lt;=$G$4,$I777*$J777&gt;0,OR($I777&lt;&gt;$I778,$L777-$L778&gt;25),$I777/POW(10,$J777)*MAXIFS(Token!$B:$B,Token!$A:$A,$K777)&gt;0.01),$L777/86400+DATE(1970,1,1)+$G$6,)</f>
        <v/>
      </c>
      <c r="B777" s="27" t="str">
        <f t="shared" si="1"/>
        <v/>
      </c>
      <c r="C777" s="14" t="str">
        <f>IF($A777&lt;&gt;"",MINIFS(Merchant!$A:$A,Merchant!$B:$B,$G$2),)</f>
        <v/>
      </c>
      <c r="D777" s="14" t="str">
        <f t="shared" si="2"/>
        <v/>
      </c>
      <c r="E777" s="14" t="str">
        <f t="shared" si="3"/>
        <v/>
      </c>
      <c r="F777" s="7" t="str">
        <f>IF($A777&lt;&gt;"",MAXIFS(Token!$B:$B,Token!$A:$A,$D777),)</f>
        <v/>
      </c>
    </row>
    <row r="778">
      <c r="A778" s="39" t="str">
        <f>IF(AND($L778*1&gt;=$G$3,$L778*1&lt;=$G$4,$I778*$J778&gt;0,OR($I778&lt;&gt;$I779,$L778-$L779&gt;25),$I778/POW(10,$J778)*MAXIFS(Token!$B:$B,Token!$A:$A,$K778)&gt;0.01),$L778/86400+DATE(1970,1,1)+$G$6,)</f>
        <v/>
      </c>
      <c r="B778" s="27" t="str">
        <f t="shared" si="1"/>
        <v/>
      </c>
      <c r="C778" s="14" t="str">
        <f>IF($A778&lt;&gt;"",MINIFS(Merchant!$A:$A,Merchant!$B:$B,$G$2),)</f>
        <v/>
      </c>
      <c r="D778" s="14" t="str">
        <f t="shared" si="2"/>
        <v/>
      </c>
      <c r="E778" s="14" t="str">
        <f t="shared" si="3"/>
        <v/>
      </c>
      <c r="F778" s="7" t="str">
        <f>IF($A778&lt;&gt;"",MAXIFS(Token!$B:$B,Token!$A:$A,$D778),)</f>
        <v/>
      </c>
    </row>
    <row r="779">
      <c r="A779" s="39" t="str">
        <f>IF(AND($L779*1&gt;=$G$3,$L779*1&lt;=$G$4,$I779*$J779&gt;0,OR($I779&lt;&gt;$I780,$L779-$L780&gt;25),$I779/POW(10,$J779)*MAXIFS(Token!$B:$B,Token!$A:$A,$K779)&gt;0.01),$L779/86400+DATE(1970,1,1)+$G$6,)</f>
        <v/>
      </c>
      <c r="B779" s="27" t="str">
        <f t="shared" si="1"/>
        <v/>
      </c>
      <c r="C779" s="14" t="str">
        <f>IF($A779&lt;&gt;"",MINIFS(Merchant!$A:$A,Merchant!$B:$B,$G$2),)</f>
        <v/>
      </c>
      <c r="D779" s="14" t="str">
        <f t="shared" si="2"/>
        <v/>
      </c>
      <c r="E779" s="14" t="str">
        <f t="shared" si="3"/>
        <v/>
      </c>
      <c r="F779" s="7" t="str">
        <f>IF($A779&lt;&gt;"",MAXIFS(Token!$B:$B,Token!$A:$A,$D779),)</f>
        <v/>
      </c>
    </row>
    <row r="780">
      <c r="A780" s="39" t="str">
        <f>IF(AND($L780*1&gt;=$G$3,$L780*1&lt;=$G$4,$I780*$J780&gt;0,OR($I780&lt;&gt;$I781,$L780-$L781&gt;25),$I780/POW(10,$J780)*MAXIFS(Token!$B:$B,Token!$A:$A,$K780)&gt;0.01),$L780/86400+DATE(1970,1,1)+$G$6,)</f>
        <v/>
      </c>
      <c r="B780" s="27" t="str">
        <f t="shared" si="1"/>
        <v/>
      </c>
      <c r="C780" s="14" t="str">
        <f>IF($A780&lt;&gt;"",MINIFS(Merchant!$A:$A,Merchant!$B:$B,$G$2),)</f>
        <v/>
      </c>
      <c r="D780" s="14" t="str">
        <f t="shared" si="2"/>
        <v/>
      </c>
      <c r="E780" s="14" t="str">
        <f t="shared" si="3"/>
        <v/>
      </c>
      <c r="F780" s="7" t="str">
        <f>IF($A780&lt;&gt;"",MAXIFS(Token!$B:$B,Token!$A:$A,$D780),)</f>
        <v/>
      </c>
    </row>
    <row r="781">
      <c r="A781" s="39" t="str">
        <f>IF(AND($L781*1&gt;=$G$3,$L781*1&lt;=$G$4,$I781*$J781&gt;0,OR($I781&lt;&gt;$I782,$L781-$L782&gt;25),$I781/POW(10,$J781)*MAXIFS(Token!$B:$B,Token!$A:$A,$K781)&gt;0.01),$L781/86400+DATE(1970,1,1)+$G$6,)</f>
        <v/>
      </c>
      <c r="B781" s="27" t="str">
        <f t="shared" si="1"/>
        <v/>
      </c>
      <c r="C781" s="14" t="str">
        <f>IF($A781&lt;&gt;"",MINIFS(Merchant!$A:$A,Merchant!$B:$B,$G$2),)</f>
        <v/>
      </c>
      <c r="D781" s="14" t="str">
        <f t="shared" si="2"/>
        <v/>
      </c>
      <c r="E781" s="14" t="str">
        <f t="shared" si="3"/>
        <v/>
      </c>
      <c r="F781" s="7" t="str">
        <f>IF($A781&lt;&gt;"",MAXIFS(Token!$B:$B,Token!$A:$A,$D781),)</f>
        <v/>
      </c>
    </row>
    <row r="782">
      <c r="A782" s="39" t="str">
        <f>IF(AND($L782*1&gt;=$G$3,$L782*1&lt;=$G$4,$I782*$J782&gt;0,OR($I782&lt;&gt;$I783,$L782-$L783&gt;25),$I782/POW(10,$J782)*MAXIFS(Token!$B:$B,Token!$A:$A,$K782)&gt;0.01),$L782/86400+DATE(1970,1,1)+$G$6,)</f>
        <v/>
      </c>
      <c r="B782" s="27" t="str">
        <f t="shared" si="1"/>
        <v/>
      </c>
      <c r="C782" s="14" t="str">
        <f>IF($A782&lt;&gt;"",MINIFS(Merchant!$A:$A,Merchant!$B:$B,$G$2),)</f>
        <v/>
      </c>
      <c r="D782" s="14" t="str">
        <f t="shared" si="2"/>
        <v/>
      </c>
      <c r="E782" s="14" t="str">
        <f t="shared" si="3"/>
        <v/>
      </c>
      <c r="F782" s="7" t="str">
        <f>IF($A782&lt;&gt;"",MAXIFS(Token!$B:$B,Token!$A:$A,$D782),)</f>
        <v/>
      </c>
    </row>
    <row r="783">
      <c r="A783" s="39" t="str">
        <f>IF(AND($L783*1&gt;=$G$3,$L783*1&lt;=$G$4,$I783*$J783&gt;0,OR($I783&lt;&gt;$I784,$L783-$L784&gt;25),$I783/POW(10,$J783)*MAXIFS(Token!$B:$B,Token!$A:$A,$K783)&gt;0.01),$L783/86400+DATE(1970,1,1)+$G$6,)</f>
        <v/>
      </c>
      <c r="B783" s="27" t="str">
        <f t="shared" si="1"/>
        <v/>
      </c>
      <c r="C783" s="14" t="str">
        <f>IF($A783&lt;&gt;"",MINIFS(Merchant!$A:$A,Merchant!$B:$B,$G$2),)</f>
        <v/>
      </c>
      <c r="D783" s="14" t="str">
        <f t="shared" si="2"/>
        <v/>
      </c>
      <c r="E783" s="14" t="str">
        <f t="shared" si="3"/>
        <v/>
      </c>
      <c r="F783" s="7" t="str">
        <f>IF($A783&lt;&gt;"",MAXIFS(Token!$B:$B,Token!$A:$A,$D783),)</f>
        <v/>
      </c>
    </row>
    <row r="784">
      <c r="A784" s="39" t="str">
        <f>IF(AND($L784*1&gt;=$G$3,$L784*1&lt;=$G$4,$I784*$J784&gt;0,OR($I784&lt;&gt;$I785,$L784-$L785&gt;25),$I784/POW(10,$J784)*MAXIFS(Token!$B:$B,Token!$A:$A,$K784)&gt;0.01),$L784/86400+DATE(1970,1,1)+$G$6,)</f>
        <v/>
      </c>
      <c r="B784" s="27" t="str">
        <f t="shared" si="1"/>
        <v/>
      </c>
      <c r="C784" s="14" t="str">
        <f>IF($A784&lt;&gt;"",MINIFS(Merchant!$A:$A,Merchant!$B:$B,$G$2),)</f>
        <v/>
      </c>
      <c r="D784" s="14" t="str">
        <f t="shared" si="2"/>
        <v/>
      </c>
      <c r="E784" s="14" t="str">
        <f t="shared" si="3"/>
        <v/>
      </c>
      <c r="F784" s="7" t="str">
        <f>IF($A784&lt;&gt;"",MAXIFS(Token!$B:$B,Token!$A:$A,$D784),)</f>
        <v/>
      </c>
    </row>
    <row r="785">
      <c r="A785" s="39" t="str">
        <f>IF(AND($L785*1&gt;=$G$3,$L785*1&lt;=$G$4,$I785*$J785&gt;0,OR($I785&lt;&gt;$I786,$L785-$L786&gt;25),$I785/POW(10,$J785)*MAXIFS(Token!$B:$B,Token!$A:$A,$K785)&gt;0.01),$L785/86400+DATE(1970,1,1)+$G$6,)</f>
        <v/>
      </c>
      <c r="B785" s="27" t="str">
        <f t="shared" si="1"/>
        <v/>
      </c>
      <c r="C785" s="14" t="str">
        <f>IF($A785&lt;&gt;"",MINIFS(Merchant!$A:$A,Merchant!$B:$B,$G$2),)</f>
        <v/>
      </c>
      <c r="D785" s="14" t="str">
        <f t="shared" si="2"/>
        <v/>
      </c>
      <c r="E785" s="14" t="str">
        <f t="shared" si="3"/>
        <v/>
      </c>
      <c r="F785" s="7" t="str">
        <f>IF($A785&lt;&gt;"",MAXIFS(Token!$B:$B,Token!$A:$A,$D785),)</f>
        <v/>
      </c>
    </row>
    <row r="786">
      <c r="A786" s="39" t="str">
        <f>IF(AND($L786*1&gt;=$G$3,$L786*1&lt;=$G$4,$I786*$J786&gt;0,OR($I786&lt;&gt;$I787,$L786-$L787&gt;25),$I786/POW(10,$J786)*MAXIFS(Token!$B:$B,Token!$A:$A,$K786)&gt;0.01),$L786/86400+DATE(1970,1,1)+$G$6,)</f>
        <v/>
      </c>
      <c r="B786" s="27" t="str">
        <f t="shared" si="1"/>
        <v/>
      </c>
      <c r="C786" s="14" t="str">
        <f>IF($A786&lt;&gt;"",MINIFS(Merchant!$A:$A,Merchant!$B:$B,$G$2),)</f>
        <v/>
      </c>
      <c r="D786" s="14" t="str">
        <f t="shared" si="2"/>
        <v/>
      </c>
      <c r="E786" s="14" t="str">
        <f t="shared" si="3"/>
        <v/>
      </c>
      <c r="F786" s="7" t="str">
        <f>IF($A786&lt;&gt;"",MAXIFS(Token!$B:$B,Token!$A:$A,$D786),)</f>
        <v/>
      </c>
    </row>
    <row r="787">
      <c r="A787" s="39" t="str">
        <f>IF(AND($L787*1&gt;=$G$3,$L787*1&lt;=$G$4,$I787*$J787&gt;0,OR($I787&lt;&gt;$I788,$L787-$L788&gt;25),$I787/POW(10,$J787)*MAXIFS(Token!$B:$B,Token!$A:$A,$K787)&gt;0.01),$L787/86400+DATE(1970,1,1)+$G$6,)</f>
        <v/>
      </c>
      <c r="B787" s="27" t="str">
        <f t="shared" si="1"/>
        <v/>
      </c>
      <c r="C787" s="14" t="str">
        <f>IF($A787&lt;&gt;"",MINIFS(Merchant!$A:$A,Merchant!$B:$B,$G$2),)</f>
        <v/>
      </c>
      <c r="D787" s="14" t="str">
        <f t="shared" si="2"/>
        <v/>
      </c>
      <c r="E787" s="14" t="str">
        <f t="shared" si="3"/>
        <v/>
      </c>
      <c r="F787" s="7" t="str">
        <f>IF($A787&lt;&gt;"",MAXIFS(Token!$B:$B,Token!$A:$A,$D787),)</f>
        <v/>
      </c>
    </row>
    <row r="788">
      <c r="A788" s="39" t="str">
        <f>IF(AND($L788*1&gt;=$G$3,$L788*1&lt;=$G$4,$I788*$J788&gt;0,OR($I788&lt;&gt;$I789,$L788-$L789&gt;25),$I788/POW(10,$J788)*MAXIFS(Token!$B:$B,Token!$A:$A,$K788)&gt;0.01),$L788/86400+DATE(1970,1,1)+$G$6,)</f>
        <v/>
      </c>
      <c r="B788" s="27" t="str">
        <f t="shared" si="1"/>
        <v/>
      </c>
      <c r="C788" s="14" t="str">
        <f>IF($A788&lt;&gt;"",MINIFS(Merchant!$A:$A,Merchant!$B:$B,$G$2),)</f>
        <v/>
      </c>
      <c r="D788" s="14" t="str">
        <f t="shared" si="2"/>
        <v/>
      </c>
      <c r="E788" s="14" t="str">
        <f t="shared" si="3"/>
        <v/>
      </c>
      <c r="F788" s="7" t="str">
        <f>IF($A788&lt;&gt;"",MAXIFS(Token!$B:$B,Token!$A:$A,$D788),)</f>
        <v/>
      </c>
    </row>
    <row r="789">
      <c r="A789" s="39" t="str">
        <f>IF(AND($L789*1&gt;=$G$3,$L789*1&lt;=$G$4,$I789*$J789&gt;0,OR($I789&lt;&gt;$I790,$L789-$L790&gt;25),$I789/POW(10,$J789)*MAXIFS(Token!$B:$B,Token!$A:$A,$K789)&gt;0.01),$L789/86400+DATE(1970,1,1)+$G$6,)</f>
        <v/>
      </c>
      <c r="B789" s="27" t="str">
        <f t="shared" si="1"/>
        <v/>
      </c>
      <c r="C789" s="14" t="str">
        <f>IF($A789&lt;&gt;"",MINIFS(Merchant!$A:$A,Merchant!$B:$B,$G$2),)</f>
        <v/>
      </c>
      <c r="D789" s="14" t="str">
        <f t="shared" si="2"/>
        <v/>
      </c>
      <c r="E789" s="14" t="str">
        <f t="shared" si="3"/>
        <v/>
      </c>
      <c r="F789" s="7" t="str">
        <f>IF($A789&lt;&gt;"",MAXIFS(Token!$B:$B,Token!$A:$A,$D789),)</f>
        <v/>
      </c>
    </row>
    <row r="790">
      <c r="A790" s="39" t="str">
        <f>IF(AND($L790*1&gt;=$G$3,$L790*1&lt;=$G$4,$I790*$J790&gt;0,OR($I790&lt;&gt;$I791,$L790-$L791&gt;25),$I790/POW(10,$J790)*MAXIFS(Token!$B:$B,Token!$A:$A,$K790)&gt;0.01),$L790/86400+DATE(1970,1,1)+$G$6,)</f>
        <v/>
      </c>
      <c r="B790" s="27" t="str">
        <f t="shared" si="1"/>
        <v/>
      </c>
      <c r="C790" s="14" t="str">
        <f>IF($A790&lt;&gt;"",MINIFS(Merchant!$A:$A,Merchant!$B:$B,$G$2),)</f>
        <v/>
      </c>
      <c r="D790" s="14" t="str">
        <f t="shared" si="2"/>
        <v/>
      </c>
      <c r="E790" s="14" t="str">
        <f t="shared" si="3"/>
        <v/>
      </c>
      <c r="F790" s="7" t="str">
        <f>IF($A790&lt;&gt;"",MAXIFS(Token!$B:$B,Token!$A:$A,$D790),)</f>
        <v/>
      </c>
    </row>
    <row r="791">
      <c r="A791" s="39" t="str">
        <f>IF(AND($L791*1&gt;=$G$3,$L791*1&lt;=$G$4,$I791*$J791&gt;0,OR($I791&lt;&gt;$I792,$L791-$L792&gt;25),$I791/POW(10,$J791)*MAXIFS(Token!$B:$B,Token!$A:$A,$K791)&gt;0.01),$L791/86400+DATE(1970,1,1)+$G$6,)</f>
        <v/>
      </c>
      <c r="B791" s="27" t="str">
        <f t="shared" si="1"/>
        <v/>
      </c>
      <c r="C791" s="14" t="str">
        <f>IF($A791&lt;&gt;"",MINIFS(Merchant!$A:$A,Merchant!$B:$B,$G$2),)</f>
        <v/>
      </c>
      <c r="D791" s="14" t="str">
        <f t="shared" si="2"/>
        <v/>
      </c>
      <c r="E791" s="14" t="str">
        <f t="shared" si="3"/>
        <v/>
      </c>
      <c r="F791" s="7" t="str">
        <f>IF($A791&lt;&gt;"",MAXIFS(Token!$B:$B,Token!$A:$A,$D791),)</f>
        <v/>
      </c>
    </row>
    <row r="792">
      <c r="A792" s="39" t="str">
        <f>IF(AND($L792*1&gt;=$G$3,$L792*1&lt;=$G$4,$I792*$J792&gt;0,OR($I792&lt;&gt;$I793,$L792-$L793&gt;25),$I792/POW(10,$J792)*MAXIFS(Token!$B:$B,Token!$A:$A,$K792)&gt;0.01),$L792/86400+DATE(1970,1,1)+$G$6,)</f>
        <v/>
      </c>
      <c r="B792" s="27" t="str">
        <f t="shared" si="1"/>
        <v/>
      </c>
      <c r="C792" s="14" t="str">
        <f>IF($A792&lt;&gt;"",MINIFS(Merchant!$A:$A,Merchant!$B:$B,$G$2),)</f>
        <v/>
      </c>
      <c r="D792" s="14" t="str">
        <f t="shared" si="2"/>
        <v/>
      </c>
      <c r="E792" s="14" t="str">
        <f t="shared" si="3"/>
        <v/>
      </c>
      <c r="F792" s="7" t="str">
        <f>IF($A792&lt;&gt;"",MAXIFS(Token!$B:$B,Token!$A:$A,$D792),)</f>
        <v/>
      </c>
    </row>
    <row r="793">
      <c r="A793" s="39" t="str">
        <f>IF(AND($L793*1&gt;=$G$3,$L793*1&lt;=$G$4,$I793*$J793&gt;0,OR($I793&lt;&gt;$I794,$L793-$L794&gt;25),$I793/POW(10,$J793)*MAXIFS(Token!$B:$B,Token!$A:$A,$K793)&gt;0.01),$L793/86400+DATE(1970,1,1)+$G$6,)</f>
        <v/>
      </c>
      <c r="B793" s="27" t="str">
        <f t="shared" si="1"/>
        <v/>
      </c>
      <c r="C793" s="14" t="str">
        <f>IF($A793&lt;&gt;"",MINIFS(Merchant!$A:$A,Merchant!$B:$B,$G$2),)</f>
        <v/>
      </c>
      <c r="D793" s="14" t="str">
        <f t="shared" si="2"/>
        <v/>
      </c>
      <c r="E793" s="14" t="str">
        <f t="shared" si="3"/>
        <v/>
      </c>
      <c r="F793" s="7" t="str">
        <f>IF($A793&lt;&gt;"",MAXIFS(Token!$B:$B,Token!$A:$A,$D793),)</f>
        <v/>
      </c>
    </row>
    <row r="794">
      <c r="A794" s="39" t="str">
        <f>IF(AND($L794*1&gt;=$G$3,$L794*1&lt;=$G$4,$I794*$J794&gt;0,OR($I794&lt;&gt;$I795,$L794-$L795&gt;25),$I794/POW(10,$J794)*MAXIFS(Token!$B:$B,Token!$A:$A,$K794)&gt;0.01),$L794/86400+DATE(1970,1,1)+$G$6,)</f>
        <v/>
      </c>
      <c r="B794" s="27" t="str">
        <f t="shared" si="1"/>
        <v/>
      </c>
      <c r="C794" s="14" t="str">
        <f>IF($A794&lt;&gt;"",MINIFS(Merchant!$A:$A,Merchant!$B:$B,$G$2),)</f>
        <v/>
      </c>
      <c r="D794" s="14" t="str">
        <f t="shared" si="2"/>
        <v/>
      </c>
      <c r="E794" s="14" t="str">
        <f t="shared" si="3"/>
        <v/>
      </c>
      <c r="F794" s="7" t="str">
        <f>IF($A794&lt;&gt;"",MAXIFS(Token!$B:$B,Token!$A:$A,$D794),)</f>
        <v/>
      </c>
    </row>
    <row r="795">
      <c r="A795" s="39" t="str">
        <f>IF(AND($L795*1&gt;=$G$3,$L795*1&lt;=$G$4,$I795*$J795&gt;0,OR($I795&lt;&gt;$I796,$L795-$L796&gt;25),$I795/POW(10,$J795)*MAXIFS(Token!$B:$B,Token!$A:$A,$K795)&gt;0.01),$L795/86400+DATE(1970,1,1)+$G$6,)</f>
        <v/>
      </c>
      <c r="B795" s="27" t="str">
        <f t="shared" si="1"/>
        <v/>
      </c>
      <c r="C795" s="14" t="str">
        <f>IF($A795&lt;&gt;"",MINIFS(Merchant!$A:$A,Merchant!$B:$B,$G$2),)</f>
        <v/>
      </c>
      <c r="D795" s="14" t="str">
        <f t="shared" si="2"/>
        <v/>
      </c>
      <c r="E795" s="14" t="str">
        <f t="shared" si="3"/>
        <v/>
      </c>
      <c r="F795" s="7" t="str">
        <f>IF($A795&lt;&gt;"",MAXIFS(Token!$B:$B,Token!$A:$A,$D795),)</f>
        <v/>
      </c>
    </row>
    <row r="796">
      <c r="A796" s="39" t="str">
        <f>IF(AND($L796*1&gt;=$G$3,$L796*1&lt;=$G$4,$I796*$J796&gt;0,OR($I796&lt;&gt;$I797,$L796-$L797&gt;25),$I796/POW(10,$J796)*MAXIFS(Token!$B:$B,Token!$A:$A,$K796)&gt;0.01),$L796/86400+DATE(1970,1,1)+$G$6,)</f>
        <v/>
      </c>
      <c r="B796" s="27" t="str">
        <f t="shared" si="1"/>
        <v/>
      </c>
      <c r="C796" s="14" t="str">
        <f>IF($A796&lt;&gt;"",MINIFS(Merchant!$A:$A,Merchant!$B:$B,$G$2),)</f>
        <v/>
      </c>
      <c r="D796" s="14" t="str">
        <f t="shared" si="2"/>
        <v/>
      </c>
      <c r="E796" s="14" t="str">
        <f t="shared" si="3"/>
        <v/>
      </c>
      <c r="F796" s="7" t="str">
        <f>IF($A796&lt;&gt;"",MAXIFS(Token!$B:$B,Token!$A:$A,$D796),)</f>
        <v/>
      </c>
    </row>
    <row r="797">
      <c r="A797" s="39" t="str">
        <f>IF(AND($L797*1&gt;=$G$3,$L797*1&lt;=$G$4,$I797*$J797&gt;0,OR($I797&lt;&gt;$I798,$L797-$L798&gt;25),$I797/POW(10,$J797)*MAXIFS(Token!$B:$B,Token!$A:$A,$K797)&gt;0.01),$L797/86400+DATE(1970,1,1)+$G$6,)</f>
        <v/>
      </c>
      <c r="B797" s="27" t="str">
        <f t="shared" si="1"/>
        <v/>
      </c>
      <c r="C797" s="14" t="str">
        <f>IF($A797&lt;&gt;"",MINIFS(Merchant!$A:$A,Merchant!$B:$B,$G$2),)</f>
        <v/>
      </c>
      <c r="D797" s="14" t="str">
        <f t="shared" si="2"/>
        <v/>
      </c>
      <c r="E797" s="14" t="str">
        <f t="shared" si="3"/>
        <v/>
      </c>
      <c r="F797" s="7" t="str">
        <f>IF($A797&lt;&gt;"",MAXIFS(Token!$B:$B,Token!$A:$A,$D797),)</f>
        <v/>
      </c>
    </row>
    <row r="798">
      <c r="A798" s="39" t="str">
        <f>IF(AND($L798*1&gt;=$G$3,$L798*1&lt;=$G$4,$I798*$J798&gt;0,OR($I798&lt;&gt;$I799,$L798-$L799&gt;25),$I798/POW(10,$J798)*MAXIFS(Token!$B:$B,Token!$A:$A,$K798)&gt;0.01),$L798/86400+DATE(1970,1,1)+$G$6,)</f>
        <v/>
      </c>
      <c r="B798" s="27" t="str">
        <f t="shared" si="1"/>
        <v/>
      </c>
      <c r="C798" s="14" t="str">
        <f>IF($A798&lt;&gt;"",MINIFS(Merchant!$A:$A,Merchant!$B:$B,$G$2),)</f>
        <v/>
      </c>
      <c r="D798" s="14" t="str">
        <f t="shared" si="2"/>
        <v/>
      </c>
      <c r="E798" s="14" t="str">
        <f t="shared" si="3"/>
        <v/>
      </c>
      <c r="F798" s="7" t="str">
        <f>IF($A798&lt;&gt;"",MAXIFS(Token!$B:$B,Token!$A:$A,$D798),)</f>
        <v/>
      </c>
    </row>
    <row r="799">
      <c r="A799" s="39" t="str">
        <f>IF(AND($L799*1&gt;=$G$3,$L799*1&lt;=$G$4,$I799*$J799&gt;0,OR($I799&lt;&gt;$I800,$L799-$L800&gt;25),$I799/POW(10,$J799)*MAXIFS(Token!$B:$B,Token!$A:$A,$K799)&gt;0.01),$L799/86400+DATE(1970,1,1)+$G$6,)</f>
        <v/>
      </c>
      <c r="B799" s="27" t="str">
        <f t="shared" si="1"/>
        <v/>
      </c>
      <c r="C799" s="14" t="str">
        <f>IF($A799&lt;&gt;"",MINIFS(Merchant!$A:$A,Merchant!$B:$B,$G$2),)</f>
        <v/>
      </c>
      <c r="D799" s="14" t="str">
        <f t="shared" si="2"/>
        <v/>
      </c>
      <c r="E799" s="14" t="str">
        <f t="shared" si="3"/>
        <v/>
      </c>
      <c r="F799" s="7" t="str">
        <f>IF($A799&lt;&gt;"",MAXIFS(Token!$B:$B,Token!$A:$A,$D799),)</f>
        <v/>
      </c>
    </row>
    <row r="800">
      <c r="A800" s="39" t="str">
        <f>IF(AND($L800*1&gt;=$G$3,$L800*1&lt;=$G$4,$I800*$J800&gt;0,OR($I800&lt;&gt;$I801,$L800-$L801&gt;25),$I800/POW(10,$J800)*MAXIFS(Token!$B:$B,Token!$A:$A,$K800)&gt;0.01),$L800/86400+DATE(1970,1,1)+$G$6,)</f>
        <v/>
      </c>
      <c r="B800" s="27" t="str">
        <f t="shared" si="1"/>
        <v/>
      </c>
      <c r="C800" s="14" t="str">
        <f>IF($A800&lt;&gt;"",MINIFS(Merchant!$A:$A,Merchant!$B:$B,$G$2),)</f>
        <v/>
      </c>
      <c r="D800" s="14" t="str">
        <f t="shared" si="2"/>
        <v/>
      </c>
      <c r="E800" s="14" t="str">
        <f t="shared" si="3"/>
        <v/>
      </c>
      <c r="F800" s="7" t="str">
        <f>IF($A800&lt;&gt;"",MAXIFS(Token!$B:$B,Token!$A:$A,$D800),)</f>
        <v/>
      </c>
    </row>
    <row r="801">
      <c r="A801" s="39" t="str">
        <f>IF(AND($L801*1&gt;=$G$3,$L801*1&lt;=$G$4,$I801*$J801&gt;0,OR($I801&lt;&gt;$I802,$L801-$L802&gt;25),$I801/POW(10,$J801)*MAXIFS(Token!$B:$B,Token!$A:$A,$K801)&gt;0.01),$L801/86400+DATE(1970,1,1)+$G$6,)</f>
        <v/>
      </c>
      <c r="B801" s="27" t="str">
        <f t="shared" si="1"/>
        <v/>
      </c>
      <c r="C801" s="14" t="str">
        <f>IF($A801&lt;&gt;"",MINIFS(Merchant!$A:$A,Merchant!$B:$B,$G$2),)</f>
        <v/>
      </c>
      <c r="D801" s="14" t="str">
        <f t="shared" si="2"/>
        <v/>
      </c>
      <c r="E801" s="14" t="str">
        <f t="shared" si="3"/>
        <v/>
      </c>
      <c r="F801" s="7" t="str">
        <f>IF($A801&lt;&gt;"",MAXIFS(Token!$B:$B,Token!$A:$A,$D801),)</f>
        <v/>
      </c>
    </row>
    <row r="802">
      <c r="A802" s="39" t="str">
        <f>IF(AND($L802*1&gt;=$G$3,$L802*1&lt;=$G$4,$I802*$J802&gt;0,OR($I802&lt;&gt;$I803,$L802-$L803&gt;25),$I802/POW(10,$J802)*MAXIFS(Token!$B:$B,Token!$A:$A,$K802)&gt;0.01),$L802/86400+DATE(1970,1,1)+$G$6,)</f>
        <v/>
      </c>
      <c r="B802" s="27" t="str">
        <f t="shared" si="1"/>
        <v/>
      </c>
      <c r="C802" s="14" t="str">
        <f>IF($A802&lt;&gt;"",MINIFS(Merchant!$A:$A,Merchant!$B:$B,$G$2),)</f>
        <v/>
      </c>
      <c r="D802" s="14" t="str">
        <f t="shared" si="2"/>
        <v/>
      </c>
      <c r="E802" s="14" t="str">
        <f t="shared" si="3"/>
        <v/>
      </c>
      <c r="F802" s="7" t="str">
        <f>IF($A802&lt;&gt;"",MAXIFS(Token!$B:$B,Token!$A:$A,$D802),)</f>
        <v/>
      </c>
    </row>
    <row r="803">
      <c r="A803" s="39" t="str">
        <f>IF(AND($L803*1&gt;=$G$3,$L803*1&lt;=$G$4,$I803*$J803&gt;0,OR($I803&lt;&gt;$I804,$L803-$L804&gt;25),$I803/POW(10,$J803)*MAXIFS(Token!$B:$B,Token!$A:$A,$K803)&gt;0.01),$L803/86400+DATE(1970,1,1)+$G$6,)</f>
        <v/>
      </c>
      <c r="B803" s="27" t="str">
        <f t="shared" si="1"/>
        <v/>
      </c>
      <c r="C803" s="14" t="str">
        <f>IF($A803&lt;&gt;"",MINIFS(Merchant!$A:$A,Merchant!$B:$B,$G$2),)</f>
        <v/>
      </c>
      <c r="D803" s="14" t="str">
        <f t="shared" si="2"/>
        <v/>
      </c>
      <c r="E803" s="14" t="str">
        <f t="shared" si="3"/>
        <v/>
      </c>
      <c r="F803" s="7" t="str">
        <f>IF($A803&lt;&gt;"",MAXIFS(Token!$B:$B,Token!$A:$A,$D803),)</f>
        <v/>
      </c>
    </row>
    <row r="804">
      <c r="A804" s="39" t="str">
        <f>IF(AND($L804*1&gt;=$G$3,$L804*1&lt;=$G$4,$I804*$J804&gt;0,OR($I804&lt;&gt;$I805,$L804-$L805&gt;25),$I804/POW(10,$J804)*MAXIFS(Token!$B:$B,Token!$A:$A,$K804)&gt;0.01),$L804/86400+DATE(1970,1,1)+$G$6,)</f>
        <v/>
      </c>
      <c r="B804" s="27" t="str">
        <f t="shared" si="1"/>
        <v/>
      </c>
      <c r="C804" s="14" t="str">
        <f>IF($A804&lt;&gt;"",MINIFS(Merchant!$A:$A,Merchant!$B:$B,$G$2),)</f>
        <v/>
      </c>
      <c r="D804" s="14" t="str">
        <f t="shared" si="2"/>
        <v/>
      </c>
      <c r="E804" s="14" t="str">
        <f t="shared" si="3"/>
        <v/>
      </c>
      <c r="F804" s="7" t="str">
        <f>IF($A804&lt;&gt;"",MAXIFS(Token!$B:$B,Token!$A:$A,$D804),)</f>
        <v/>
      </c>
    </row>
    <row r="805">
      <c r="A805" s="39" t="str">
        <f>IF(AND($L805*1&gt;=$G$3,$L805*1&lt;=$G$4,$I805*$J805&gt;0,OR($I805&lt;&gt;$I806,$L805-$L806&gt;25),$I805/POW(10,$J805)*MAXIFS(Token!$B:$B,Token!$A:$A,$K805)&gt;0.01),$L805/86400+DATE(1970,1,1)+$G$6,)</f>
        <v/>
      </c>
      <c r="B805" s="27" t="str">
        <f t="shared" si="1"/>
        <v/>
      </c>
      <c r="C805" s="14" t="str">
        <f>IF($A805&lt;&gt;"",MINIFS(Merchant!$A:$A,Merchant!$B:$B,$G$2),)</f>
        <v/>
      </c>
      <c r="D805" s="14" t="str">
        <f t="shared" si="2"/>
        <v/>
      </c>
      <c r="E805" s="14" t="str">
        <f t="shared" si="3"/>
        <v/>
      </c>
      <c r="F805" s="7" t="str">
        <f>IF($A805&lt;&gt;"",MAXIFS(Token!$B:$B,Token!$A:$A,$D805),)</f>
        <v/>
      </c>
    </row>
    <row r="806">
      <c r="A806" s="39" t="str">
        <f>IF(AND($L806*1&gt;=$G$3,$L806*1&lt;=$G$4,$I806*$J806&gt;0,OR($I806&lt;&gt;$I807,$L806-$L807&gt;25),$I806/POW(10,$J806)*MAXIFS(Token!$B:$B,Token!$A:$A,$K806)&gt;0.01),$L806/86400+DATE(1970,1,1)+$G$6,)</f>
        <v/>
      </c>
      <c r="B806" s="27" t="str">
        <f t="shared" si="1"/>
        <v/>
      </c>
      <c r="C806" s="14" t="str">
        <f>IF($A806&lt;&gt;"",MINIFS(Merchant!$A:$A,Merchant!$B:$B,$G$2),)</f>
        <v/>
      </c>
      <c r="D806" s="14" t="str">
        <f t="shared" si="2"/>
        <v/>
      </c>
      <c r="E806" s="14" t="str">
        <f t="shared" si="3"/>
        <v/>
      </c>
      <c r="F806" s="7" t="str">
        <f>IF($A806&lt;&gt;"",MAXIFS(Token!$B:$B,Token!$A:$A,$D806),)</f>
        <v/>
      </c>
    </row>
    <row r="807">
      <c r="A807" s="39" t="str">
        <f>IF(AND($L807*1&gt;=$G$3,$L807*1&lt;=$G$4,$I807*$J807&gt;0,OR($I807&lt;&gt;$I808,$L807-$L808&gt;25),$I807/POW(10,$J807)*MAXIFS(Token!$B:$B,Token!$A:$A,$K807)&gt;0.01),$L807/86400+DATE(1970,1,1)+$G$6,)</f>
        <v/>
      </c>
      <c r="B807" s="27" t="str">
        <f t="shared" si="1"/>
        <v/>
      </c>
      <c r="C807" s="14" t="str">
        <f>IF($A807&lt;&gt;"",MINIFS(Merchant!$A:$A,Merchant!$B:$B,$G$2),)</f>
        <v/>
      </c>
      <c r="D807" s="14" t="str">
        <f t="shared" si="2"/>
        <v/>
      </c>
      <c r="E807" s="14" t="str">
        <f t="shared" si="3"/>
        <v/>
      </c>
      <c r="F807" s="7" t="str">
        <f>IF($A807&lt;&gt;"",MAXIFS(Token!$B:$B,Token!$A:$A,$D807),)</f>
        <v/>
      </c>
    </row>
    <row r="808">
      <c r="A808" s="39" t="str">
        <f>IF(AND($L808*1&gt;=$G$3,$L808*1&lt;=$G$4,$I808*$J808&gt;0,OR($I808&lt;&gt;$I809,$L808-$L809&gt;25),$I808/POW(10,$J808)*MAXIFS(Token!$B:$B,Token!$A:$A,$K808)&gt;0.01),$L808/86400+DATE(1970,1,1)+$G$6,)</f>
        <v/>
      </c>
      <c r="B808" s="27" t="str">
        <f t="shared" si="1"/>
        <v/>
      </c>
      <c r="C808" s="14" t="str">
        <f>IF($A808&lt;&gt;"",MINIFS(Merchant!$A:$A,Merchant!$B:$B,$G$2),)</f>
        <v/>
      </c>
      <c r="D808" s="14" t="str">
        <f t="shared" si="2"/>
        <v/>
      </c>
      <c r="E808" s="14" t="str">
        <f t="shared" si="3"/>
        <v/>
      </c>
      <c r="F808" s="7" t="str">
        <f>IF($A808&lt;&gt;"",MAXIFS(Token!$B:$B,Token!$A:$A,$D808),)</f>
        <v/>
      </c>
    </row>
    <row r="809">
      <c r="A809" s="39" t="str">
        <f>IF(AND($L809*1&gt;=$G$3,$L809*1&lt;=$G$4,$I809*$J809&gt;0,OR($I809&lt;&gt;$I810,$L809-$L810&gt;25),$I809/POW(10,$J809)*MAXIFS(Token!$B:$B,Token!$A:$A,$K809)&gt;0.01),$L809/86400+DATE(1970,1,1)+$G$6,)</f>
        <v/>
      </c>
      <c r="B809" s="27" t="str">
        <f t="shared" si="1"/>
        <v/>
      </c>
      <c r="C809" s="14" t="str">
        <f>IF($A809&lt;&gt;"",MINIFS(Merchant!$A:$A,Merchant!$B:$B,$G$2),)</f>
        <v/>
      </c>
      <c r="D809" s="14" t="str">
        <f t="shared" si="2"/>
        <v/>
      </c>
      <c r="E809" s="14" t="str">
        <f t="shared" si="3"/>
        <v/>
      </c>
      <c r="F809" s="7" t="str">
        <f>IF($A809&lt;&gt;"",MAXIFS(Token!$B:$B,Token!$A:$A,$D809),)</f>
        <v/>
      </c>
    </row>
    <row r="810">
      <c r="A810" s="39" t="str">
        <f>IF(AND($L810*1&gt;=$G$3,$L810*1&lt;=$G$4,$I810*$J810&gt;0,OR($I810&lt;&gt;$I811,$L810-$L811&gt;25),$I810/POW(10,$J810)*MAXIFS(Token!$B:$B,Token!$A:$A,$K810)&gt;0.01),$L810/86400+DATE(1970,1,1)+$G$6,)</f>
        <v/>
      </c>
      <c r="B810" s="27" t="str">
        <f t="shared" si="1"/>
        <v/>
      </c>
      <c r="C810" s="14" t="str">
        <f>IF($A810&lt;&gt;"",MINIFS(Merchant!$A:$A,Merchant!$B:$B,$G$2),)</f>
        <v/>
      </c>
      <c r="D810" s="14" t="str">
        <f t="shared" si="2"/>
        <v/>
      </c>
      <c r="E810" s="14" t="str">
        <f t="shared" si="3"/>
        <v/>
      </c>
      <c r="F810" s="7" t="str">
        <f>IF($A810&lt;&gt;"",MAXIFS(Token!$B:$B,Token!$A:$A,$D810),)</f>
        <v/>
      </c>
    </row>
    <row r="811">
      <c r="A811" s="39" t="str">
        <f>IF(AND($L811*1&gt;=$G$3,$L811*1&lt;=$G$4,$I811*$J811&gt;0,OR($I811&lt;&gt;$I812,$L811-$L812&gt;25),$I811/POW(10,$J811)*MAXIFS(Token!$B:$B,Token!$A:$A,$K811)&gt;0.01),$L811/86400+DATE(1970,1,1)+$G$6,)</f>
        <v/>
      </c>
      <c r="B811" s="27" t="str">
        <f t="shared" si="1"/>
        <v/>
      </c>
      <c r="C811" s="14" t="str">
        <f>IF($A811&lt;&gt;"",MINIFS(Merchant!$A:$A,Merchant!$B:$B,$G$2),)</f>
        <v/>
      </c>
      <c r="D811" s="14" t="str">
        <f t="shared" si="2"/>
        <v/>
      </c>
      <c r="E811" s="14" t="str">
        <f t="shared" si="3"/>
        <v/>
      </c>
      <c r="F811" s="7" t="str">
        <f>IF($A811&lt;&gt;"",MAXIFS(Token!$B:$B,Token!$A:$A,$D811),)</f>
        <v/>
      </c>
    </row>
    <row r="812">
      <c r="A812" s="39" t="str">
        <f>IF(AND($L812*1&gt;=$G$3,$L812*1&lt;=$G$4,$I812*$J812&gt;0,OR($I812&lt;&gt;$I813,$L812-$L813&gt;25),$I812/POW(10,$J812)*MAXIFS(Token!$B:$B,Token!$A:$A,$K812)&gt;0.01),$L812/86400+DATE(1970,1,1)+$G$6,)</f>
        <v/>
      </c>
      <c r="B812" s="27" t="str">
        <f t="shared" si="1"/>
        <v/>
      </c>
      <c r="C812" s="14" t="str">
        <f>IF($A812&lt;&gt;"",MINIFS(Merchant!$A:$A,Merchant!$B:$B,$G$2),)</f>
        <v/>
      </c>
      <c r="D812" s="14" t="str">
        <f t="shared" si="2"/>
        <v/>
      </c>
      <c r="E812" s="14" t="str">
        <f t="shared" si="3"/>
        <v/>
      </c>
      <c r="F812" s="7" t="str">
        <f>IF($A812&lt;&gt;"",MAXIFS(Token!$B:$B,Token!$A:$A,$D812),)</f>
        <v/>
      </c>
    </row>
    <row r="813">
      <c r="A813" s="39" t="str">
        <f>IF(AND($L813*1&gt;=$G$3,$L813*1&lt;=$G$4,$I813*$J813&gt;0,OR($I813&lt;&gt;$I814,$L813-$L814&gt;25),$I813/POW(10,$J813)*MAXIFS(Token!$B:$B,Token!$A:$A,$K813)&gt;0.01),$L813/86400+DATE(1970,1,1)+$G$6,)</f>
        <v/>
      </c>
      <c r="B813" s="27" t="str">
        <f t="shared" si="1"/>
        <v/>
      </c>
      <c r="C813" s="14" t="str">
        <f>IF($A813&lt;&gt;"",MINIFS(Merchant!$A:$A,Merchant!$B:$B,$G$2),)</f>
        <v/>
      </c>
      <c r="D813" s="14" t="str">
        <f t="shared" si="2"/>
        <v/>
      </c>
      <c r="E813" s="14" t="str">
        <f t="shared" si="3"/>
        <v/>
      </c>
      <c r="F813" s="7" t="str">
        <f>IF($A813&lt;&gt;"",MAXIFS(Token!$B:$B,Token!$A:$A,$D813),)</f>
        <v/>
      </c>
    </row>
    <row r="814">
      <c r="A814" s="39" t="str">
        <f>IF(AND($L814*1&gt;=$G$3,$L814*1&lt;=$G$4,$I814*$J814&gt;0,OR($I814&lt;&gt;$I815,$L814-$L815&gt;25),$I814/POW(10,$J814)*MAXIFS(Token!$B:$B,Token!$A:$A,$K814)&gt;0.01),$L814/86400+DATE(1970,1,1)+$G$6,)</f>
        <v/>
      </c>
      <c r="B814" s="27" t="str">
        <f t="shared" si="1"/>
        <v/>
      </c>
      <c r="C814" s="14" t="str">
        <f>IF($A814&lt;&gt;"",MINIFS(Merchant!$A:$A,Merchant!$B:$B,$G$2),)</f>
        <v/>
      </c>
      <c r="D814" s="14" t="str">
        <f t="shared" si="2"/>
        <v/>
      </c>
      <c r="E814" s="14" t="str">
        <f t="shared" si="3"/>
        <v/>
      </c>
      <c r="F814" s="7" t="str">
        <f>IF($A814&lt;&gt;"",MAXIFS(Token!$B:$B,Token!$A:$A,$D814),)</f>
        <v/>
      </c>
    </row>
    <row r="815">
      <c r="A815" s="39" t="str">
        <f>IF(AND($L815*1&gt;=$G$3,$L815*1&lt;=$G$4,$I815*$J815&gt;0,OR($I815&lt;&gt;$I816,$L815-$L816&gt;25),$I815/POW(10,$J815)*MAXIFS(Token!$B:$B,Token!$A:$A,$K815)&gt;0.01),$L815/86400+DATE(1970,1,1)+$G$6,)</f>
        <v/>
      </c>
      <c r="B815" s="27" t="str">
        <f t="shared" si="1"/>
        <v/>
      </c>
      <c r="C815" s="14" t="str">
        <f>IF($A815&lt;&gt;"",MINIFS(Merchant!$A:$A,Merchant!$B:$B,$G$2),)</f>
        <v/>
      </c>
      <c r="D815" s="14" t="str">
        <f t="shared" si="2"/>
        <v/>
      </c>
      <c r="E815" s="14" t="str">
        <f t="shared" si="3"/>
        <v/>
      </c>
      <c r="F815" s="7" t="str">
        <f>IF($A815&lt;&gt;"",MAXIFS(Token!$B:$B,Token!$A:$A,$D815),)</f>
        <v/>
      </c>
    </row>
    <row r="816">
      <c r="A816" s="39" t="str">
        <f>IF(AND($L816*1&gt;=$G$3,$L816*1&lt;=$G$4,$I816*$J816&gt;0,OR($I816&lt;&gt;$I817,$L816-$L817&gt;25),$I816/POW(10,$J816)*MAXIFS(Token!$B:$B,Token!$A:$A,$K816)&gt;0.01),$L816/86400+DATE(1970,1,1)+$G$6,)</f>
        <v/>
      </c>
      <c r="B816" s="27" t="str">
        <f t="shared" si="1"/>
        <v/>
      </c>
      <c r="C816" s="14" t="str">
        <f>IF($A816&lt;&gt;"",MINIFS(Merchant!$A:$A,Merchant!$B:$B,$G$2),)</f>
        <v/>
      </c>
      <c r="D816" s="14" t="str">
        <f t="shared" si="2"/>
        <v/>
      </c>
      <c r="E816" s="14" t="str">
        <f t="shared" si="3"/>
        <v/>
      </c>
      <c r="F816" s="7" t="str">
        <f>IF($A816&lt;&gt;"",MAXIFS(Token!$B:$B,Token!$A:$A,$D816),)</f>
        <v/>
      </c>
    </row>
    <row r="817">
      <c r="A817" s="39" t="str">
        <f>IF(AND($L817*1&gt;=$G$3,$L817*1&lt;=$G$4,$I817*$J817&gt;0,OR($I817&lt;&gt;$I818,$L817-$L818&gt;25),$I817/POW(10,$J817)*MAXIFS(Token!$B:$B,Token!$A:$A,$K817)&gt;0.01),$L817/86400+DATE(1970,1,1)+$G$6,)</f>
        <v/>
      </c>
      <c r="B817" s="27" t="str">
        <f t="shared" si="1"/>
        <v/>
      </c>
      <c r="C817" s="14" t="str">
        <f>IF($A817&lt;&gt;"",MINIFS(Merchant!$A:$A,Merchant!$B:$B,$G$2),)</f>
        <v/>
      </c>
      <c r="D817" s="14" t="str">
        <f t="shared" si="2"/>
        <v/>
      </c>
      <c r="E817" s="14" t="str">
        <f t="shared" si="3"/>
        <v/>
      </c>
      <c r="F817" s="7" t="str">
        <f>IF($A817&lt;&gt;"",MAXIFS(Token!$B:$B,Token!$A:$A,$D817),)</f>
        <v/>
      </c>
    </row>
    <row r="818">
      <c r="A818" s="39" t="str">
        <f>IF(AND($L818*1&gt;=$G$3,$L818*1&lt;=$G$4,$I818*$J818&gt;0,OR($I818&lt;&gt;$I819,$L818-$L819&gt;25),$I818/POW(10,$J818)*MAXIFS(Token!$B:$B,Token!$A:$A,$K818)&gt;0.01),$L818/86400+DATE(1970,1,1)+$G$6,)</f>
        <v/>
      </c>
      <c r="B818" s="27" t="str">
        <f t="shared" si="1"/>
        <v/>
      </c>
      <c r="C818" s="14" t="str">
        <f>IF($A818&lt;&gt;"",MINIFS(Merchant!$A:$A,Merchant!$B:$B,$G$2),)</f>
        <v/>
      </c>
      <c r="D818" s="14" t="str">
        <f t="shared" si="2"/>
        <v/>
      </c>
      <c r="E818" s="14" t="str">
        <f t="shared" si="3"/>
        <v/>
      </c>
      <c r="F818" s="7" t="str">
        <f>IF($A818&lt;&gt;"",MAXIFS(Token!$B:$B,Token!$A:$A,$D818),)</f>
        <v/>
      </c>
    </row>
    <row r="819">
      <c r="A819" s="39" t="str">
        <f>IF(AND($L819*1&gt;=$G$3,$L819*1&lt;=$G$4,$I819*$J819&gt;0,OR($I819&lt;&gt;$I820,$L819-$L820&gt;25),$I819/POW(10,$J819)*MAXIFS(Token!$B:$B,Token!$A:$A,$K819)&gt;0.01),$L819/86400+DATE(1970,1,1)+$G$6,)</f>
        <v/>
      </c>
      <c r="B819" s="27" t="str">
        <f t="shared" si="1"/>
        <v/>
      </c>
      <c r="C819" s="14" t="str">
        <f>IF($A819&lt;&gt;"",MINIFS(Merchant!$A:$A,Merchant!$B:$B,$G$2),)</f>
        <v/>
      </c>
      <c r="D819" s="14" t="str">
        <f t="shared" si="2"/>
        <v/>
      </c>
      <c r="E819" s="14" t="str">
        <f t="shared" si="3"/>
        <v/>
      </c>
      <c r="F819" s="7" t="str">
        <f>IF($A819&lt;&gt;"",MAXIFS(Token!$B:$B,Token!$A:$A,$D819),)</f>
        <v/>
      </c>
    </row>
    <row r="820">
      <c r="A820" s="39" t="str">
        <f>IF(AND($L820*1&gt;=$G$3,$L820*1&lt;=$G$4,$I820*$J820&gt;0,OR($I820&lt;&gt;$I821,$L820-$L821&gt;25),$I820/POW(10,$J820)*MAXIFS(Token!$B:$B,Token!$A:$A,$K820)&gt;0.01),$L820/86400+DATE(1970,1,1)+$G$6,)</f>
        <v/>
      </c>
      <c r="B820" s="27" t="str">
        <f t="shared" si="1"/>
        <v/>
      </c>
      <c r="C820" s="14" t="str">
        <f>IF($A820&lt;&gt;"",MINIFS(Merchant!$A:$A,Merchant!$B:$B,$G$2),)</f>
        <v/>
      </c>
      <c r="D820" s="14" t="str">
        <f t="shared" si="2"/>
        <v/>
      </c>
      <c r="E820" s="14" t="str">
        <f t="shared" si="3"/>
        <v/>
      </c>
      <c r="F820" s="7" t="str">
        <f>IF($A820&lt;&gt;"",MAXIFS(Token!$B:$B,Token!$A:$A,$D820),)</f>
        <v/>
      </c>
    </row>
    <row r="821">
      <c r="A821" s="39" t="str">
        <f>IF(AND($L821*1&gt;=$G$3,$L821*1&lt;=$G$4,$I821*$J821&gt;0,OR($I821&lt;&gt;$I822,$L821-$L822&gt;25),$I821/POW(10,$J821)*MAXIFS(Token!$B:$B,Token!$A:$A,$K821)&gt;0.01),$L821/86400+DATE(1970,1,1)+$G$6,)</f>
        <v/>
      </c>
      <c r="B821" s="27" t="str">
        <f t="shared" si="1"/>
        <v/>
      </c>
      <c r="C821" s="14" t="str">
        <f>IF($A821&lt;&gt;"",MINIFS(Merchant!$A:$A,Merchant!$B:$B,$G$2),)</f>
        <v/>
      </c>
      <c r="D821" s="14" t="str">
        <f t="shared" si="2"/>
        <v/>
      </c>
      <c r="E821" s="14" t="str">
        <f t="shared" si="3"/>
        <v/>
      </c>
      <c r="F821" s="7" t="str">
        <f>IF($A821&lt;&gt;"",MAXIFS(Token!$B:$B,Token!$A:$A,$D821),)</f>
        <v/>
      </c>
    </row>
    <row r="822">
      <c r="A822" s="39" t="str">
        <f>IF(AND($L822*1&gt;=$G$3,$L822*1&lt;=$G$4,$I822*$J822&gt;0,OR($I822&lt;&gt;$I823,$L822-$L823&gt;25),$I822/POW(10,$J822)*MAXIFS(Token!$B:$B,Token!$A:$A,$K822)&gt;0.01),$L822/86400+DATE(1970,1,1)+$G$6,)</f>
        <v/>
      </c>
      <c r="B822" s="27" t="str">
        <f t="shared" si="1"/>
        <v/>
      </c>
      <c r="C822" s="14" t="str">
        <f>IF($A822&lt;&gt;"",MINIFS(Merchant!$A:$A,Merchant!$B:$B,$G$2),)</f>
        <v/>
      </c>
      <c r="D822" s="14" t="str">
        <f t="shared" si="2"/>
        <v/>
      </c>
      <c r="E822" s="14" t="str">
        <f t="shared" si="3"/>
        <v/>
      </c>
      <c r="F822" s="7" t="str">
        <f>IF($A822&lt;&gt;"",MAXIFS(Token!$B:$B,Token!$A:$A,$D822),)</f>
        <v/>
      </c>
    </row>
    <row r="823">
      <c r="A823" s="39" t="str">
        <f>IF(AND($L823*1&gt;=$G$3,$L823*1&lt;=$G$4,$I823*$J823&gt;0,OR($I823&lt;&gt;$I824,$L823-$L824&gt;25),$I823/POW(10,$J823)*MAXIFS(Token!$B:$B,Token!$A:$A,$K823)&gt;0.01),$L823/86400+DATE(1970,1,1)+$G$6,)</f>
        <v/>
      </c>
      <c r="B823" s="27" t="str">
        <f t="shared" si="1"/>
        <v/>
      </c>
      <c r="C823" s="14" t="str">
        <f>IF($A823&lt;&gt;"",MINIFS(Merchant!$A:$A,Merchant!$B:$B,$G$2),)</f>
        <v/>
      </c>
      <c r="D823" s="14" t="str">
        <f t="shared" si="2"/>
        <v/>
      </c>
      <c r="E823" s="14" t="str">
        <f t="shared" si="3"/>
        <v/>
      </c>
      <c r="F823" s="7" t="str">
        <f>IF($A823&lt;&gt;"",MAXIFS(Token!$B:$B,Token!$A:$A,$D823),)</f>
        <v/>
      </c>
    </row>
    <row r="824">
      <c r="A824" s="39" t="str">
        <f>IF(AND($L824*1&gt;=$G$3,$L824*1&lt;=$G$4,$I824*$J824&gt;0,OR($I824&lt;&gt;$I825,$L824-$L825&gt;25),$I824/POW(10,$J824)*MAXIFS(Token!$B:$B,Token!$A:$A,$K824)&gt;0.01),$L824/86400+DATE(1970,1,1)+$G$6,)</f>
        <v/>
      </c>
      <c r="B824" s="27" t="str">
        <f t="shared" si="1"/>
        <v/>
      </c>
      <c r="C824" s="14" t="str">
        <f>IF($A824&lt;&gt;"",MINIFS(Merchant!$A:$A,Merchant!$B:$B,$G$2),)</f>
        <v/>
      </c>
      <c r="D824" s="14" t="str">
        <f t="shared" si="2"/>
        <v/>
      </c>
      <c r="E824" s="14" t="str">
        <f t="shared" si="3"/>
        <v/>
      </c>
      <c r="F824" s="7" t="str">
        <f>IF($A824&lt;&gt;"",MAXIFS(Token!$B:$B,Token!$A:$A,$D824),)</f>
        <v/>
      </c>
    </row>
    <row r="825">
      <c r="A825" s="39" t="str">
        <f>IF(AND($L825*1&gt;=$G$3,$L825*1&lt;=$G$4,$I825*$J825&gt;0,OR($I825&lt;&gt;$I826,$L825-$L826&gt;25),$I825/POW(10,$J825)*MAXIFS(Token!$B:$B,Token!$A:$A,$K825)&gt;0.01),$L825/86400+DATE(1970,1,1)+$G$6,)</f>
        <v/>
      </c>
      <c r="B825" s="27" t="str">
        <f t="shared" si="1"/>
        <v/>
      </c>
      <c r="C825" s="14" t="str">
        <f>IF($A825&lt;&gt;"",MINIFS(Merchant!$A:$A,Merchant!$B:$B,$G$2),)</f>
        <v/>
      </c>
      <c r="D825" s="14" t="str">
        <f t="shared" si="2"/>
        <v/>
      </c>
      <c r="E825" s="14" t="str">
        <f t="shared" si="3"/>
        <v/>
      </c>
      <c r="F825" s="7" t="str">
        <f>IF($A825&lt;&gt;"",MAXIFS(Token!$B:$B,Token!$A:$A,$D825),)</f>
        <v/>
      </c>
    </row>
    <row r="826">
      <c r="A826" s="39" t="str">
        <f>IF(AND($L826*1&gt;=$G$3,$L826*1&lt;=$G$4,$I826*$J826&gt;0,OR($I826&lt;&gt;$I827,$L826-$L827&gt;25),$I826/POW(10,$J826)*MAXIFS(Token!$B:$B,Token!$A:$A,$K826)&gt;0.01),$L826/86400+DATE(1970,1,1)+$G$6,)</f>
        <v/>
      </c>
      <c r="B826" s="27" t="str">
        <f t="shared" si="1"/>
        <v/>
      </c>
      <c r="C826" s="14" t="str">
        <f>IF($A826&lt;&gt;"",MINIFS(Merchant!$A:$A,Merchant!$B:$B,$G$2),)</f>
        <v/>
      </c>
      <c r="D826" s="14" t="str">
        <f t="shared" si="2"/>
        <v/>
      </c>
      <c r="E826" s="14" t="str">
        <f t="shared" si="3"/>
        <v/>
      </c>
      <c r="F826" s="7" t="str">
        <f>IF($A826&lt;&gt;"",MAXIFS(Token!$B:$B,Token!$A:$A,$D826),)</f>
        <v/>
      </c>
    </row>
    <row r="827">
      <c r="A827" s="39" t="str">
        <f>IF(AND($L827*1&gt;=$G$3,$L827*1&lt;=$G$4,$I827*$J827&gt;0,OR($I827&lt;&gt;$I828,$L827-$L828&gt;25),$I827/POW(10,$J827)*MAXIFS(Token!$B:$B,Token!$A:$A,$K827)&gt;0.01),$L827/86400+DATE(1970,1,1)+$G$6,)</f>
        <v/>
      </c>
      <c r="B827" s="27" t="str">
        <f t="shared" si="1"/>
        <v/>
      </c>
      <c r="C827" s="14" t="str">
        <f>IF($A827&lt;&gt;"",MINIFS(Merchant!$A:$A,Merchant!$B:$B,$G$2),)</f>
        <v/>
      </c>
      <c r="D827" s="14" t="str">
        <f t="shared" si="2"/>
        <v/>
      </c>
      <c r="E827" s="14" t="str">
        <f t="shared" si="3"/>
        <v/>
      </c>
      <c r="F827" s="7" t="str">
        <f>IF($A827&lt;&gt;"",MAXIFS(Token!$B:$B,Token!$A:$A,$D827),)</f>
        <v/>
      </c>
    </row>
    <row r="828">
      <c r="A828" s="39" t="str">
        <f>IF(AND($L828*1&gt;=$G$3,$L828*1&lt;=$G$4,$I828*$J828&gt;0,OR($I828&lt;&gt;$I829,$L828-$L829&gt;25),$I828/POW(10,$J828)*MAXIFS(Token!$B:$B,Token!$A:$A,$K828)&gt;0.01),$L828/86400+DATE(1970,1,1)+$G$6,)</f>
        <v/>
      </c>
      <c r="B828" s="27" t="str">
        <f t="shared" si="1"/>
        <v/>
      </c>
      <c r="C828" s="14" t="str">
        <f>IF($A828&lt;&gt;"",MINIFS(Merchant!$A:$A,Merchant!$B:$B,$G$2),)</f>
        <v/>
      </c>
      <c r="D828" s="14" t="str">
        <f t="shared" si="2"/>
        <v/>
      </c>
      <c r="E828" s="14" t="str">
        <f t="shared" si="3"/>
        <v/>
      </c>
      <c r="F828" s="7" t="str">
        <f>IF($A828&lt;&gt;"",MAXIFS(Token!$B:$B,Token!$A:$A,$D828),)</f>
        <v/>
      </c>
    </row>
    <row r="829">
      <c r="A829" s="39" t="str">
        <f>IF(AND($L829*1&gt;=$G$3,$L829*1&lt;=$G$4,$I829*$J829&gt;0,OR($I829&lt;&gt;$I830,$L829-$L830&gt;25),$I829/POW(10,$J829)*MAXIFS(Token!$B:$B,Token!$A:$A,$K829)&gt;0.01),$L829/86400+DATE(1970,1,1)+$G$6,)</f>
        <v/>
      </c>
      <c r="B829" s="27" t="str">
        <f t="shared" si="1"/>
        <v/>
      </c>
      <c r="C829" s="14" t="str">
        <f>IF($A829&lt;&gt;"",MINIFS(Merchant!$A:$A,Merchant!$B:$B,$G$2),)</f>
        <v/>
      </c>
      <c r="D829" s="14" t="str">
        <f t="shared" si="2"/>
        <v/>
      </c>
      <c r="E829" s="14" t="str">
        <f t="shared" si="3"/>
        <v/>
      </c>
      <c r="F829" s="7" t="str">
        <f>IF($A829&lt;&gt;"",MAXIFS(Token!$B:$B,Token!$A:$A,$D829),)</f>
        <v/>
      </c>
    </row>
    <row r="830">
      <c r="A830" s="39" t="str">
        <f>IF(AND($L830*1&gt;=$G$3,$L830*1&lt;=$G$4,$I830*$J830&gt;0,OR($I830&lt;&gt;$I831,$L830-$L831&gt;25),$I830/POW(10,$J830)*MAXIFS(Token!$B:$B,Token!$A:$A,$K830)&gt;0.01),$L830/86400+DATE(1970,1,1)+$G$6,)</f>
        <v/>
      </c>
      <c r="B830" s="27" t="str">
        <f t="shared" si="1"/>
        <v/>
      </c>
      <c r="C830" s="14" t="str">
        <f>IF($A830&lt;&gt;"",MINIFS(Merchant!$A:$A,Merchant!$B:$B,$G$2),)</f>
        <v/>
      </c>
      <c r="D830" s="14" t="str">
        <f t="shared" si="2"/>
        <v/>
      </c>
      <c r="E830" s="14" t="str">
        <f t="shared" si="3"/>
        <v/>
      </c>
      <c r="F830" s="7" t="str">
        <f>IF($A830&lt;&gt;"",MAXIFS(Token!$B:$B,Token!$A:$A,$D830),)</f>
        <v/>
      </c>
    </row>
    <row r="831">
      <c r="A831" s="39" t="str">
        <f>IF(AND($L831*1&gt;=$G$3,$L831*1&lt;=$G$4,$I831*$J831&gt;0,OR($I831&lt;&gt;$I832,$L831-$L832&gt;25),$I831/POW(10,$J831)*MAXIFS(Token!$B:$B,Token!$A:$A,$K831)&gt;0.01),$L831/86400+DATE(1970,1,1)+$G$6,)</f>
        <v/>
      </c>
      <c r="B831" s="27" t="str">
        <f t="shared" si="1"/>
        <v/>
      </c>
      <c r="C831" s="14" t="str">
        <f>IF($A831&lt;&gt;"",MINIFS(Merchant!$A:$A,Merchant!$B:$B,$G$2),)</f>
        <v/>
      </c>
      <c r="D831" s="14" t="str">
        <f t="shared" si="2"/>
        <v/>
      </c>
      <c r="E831" s="14" t="str">
        <f t="shared" si="3"/>
        <v/>
      </c>
      <c r="F831" s="7" t="str">
        <f>IF($A831&lt;&gt;"",MAXIFS(Token!$B:$B,Token!$A:$A,$D831),)</f>
        <v/>
      </c>
    </row>
    <row r="832">
      <c r="A832" s="39" t="str">
        <f>IF(AND($L832*1&gt;=$G$3,$L832*1&lt;=$G$4,$I832*$J832&gt;0,OR($I832&lt;&gt;$I833,$L832-$L833&gt;25),$I832/POW(10,$J832)*MAXIFS(Token!$B:$B,Token!$A:$A,$K832)&gt;0.01),$L832/86400+DATE(1970,1,1)+$G$6,)</f>
        <v/>
      </c>
      <c r="B832" s="27" t="str">
        <f t="shared" si="1"/>
        <v/>
      </c>
      <c r="C832" s="14" t="str">
        <f>IF($A832&lt;&gt;"",MINIFS(Merchant!$A:$A,Merchant!$B:$B,$G$2),)</f>
        <v/>
      </c>
      <c r="D832" s="14" t="str">
        <f t="shared" si="2"/>
        <v/>
      </c>
      <c r="E832" s="14" t="str">
        <f t="shared" si="3"/>
        <v/>
      </c>
      <c r="F832" s="7" t="str">
        <f>IF($A832&lt;&gt;"",MAXIFS(Token!$B:$B,Token!$A:$A,$D832),)</f>
        <v/>
      </c>
    </row>
    <row r="833">
      <c r="A833" s="39" t="str">
        <f>IF(AND($L833*1&gt;=$G$3,$L833*1&lt;=$G$4,$I833*$J833&gt;0,OR($I833&lt;&gt;$I834,$L833-$L834&gt;25),$I833/POW(10,$J833)*MAXIFS(Token!$B:$B,Token!$A:$A,$K833)&gt;0.01),$L833/86400+DATE(1970,1,1)+$G$6,)</f>
        <v/>
      </c>
      <c r="B833" s="27" t="str">
        <f t="shared" si="1"/>
        <v/>
      </c>
      <c r="C833" s="14" t="str">
        <f>IF($A833&lt;&gt;"",MINIFS(Merchant!$A:$A,Merchant!$B:$B,$G$2),)</f>
        <v/>
      </c>
      <c r="D833" s="14" t="str">
        <f t="shared" si="2"/>
        <v/>
      </c>
      <c r="E833" s="14" t="str">
        <f t="shared" si="3"/>
        <v/>
      </c>
      <c r="F833" s="7" t="str">
        <f>IF($A833&lt;&gt;"",MAXIFS(Token!$B:$B,Token!$A:$A,$D833),)</f>
        <v/>
      </c>
    </row>
    <row r="834">
      <c r="A834" s="39" t="str">
        <f>IF(AND($L834*1&gt;=$G$3,$L834*1&lt;=$G$4,$I834*$J834&gt;0,OR($I834&lt;&gt;$I835,$L834-$L835&gt;25),$I834/POW(10,$J834)*MAXIFS(Token!$B:$B,Token!$A:$A,$K834)&gt;0.01),$L834/86400+DATE(1970,1,1)+$G$6,)</f>
        <v/>
      </c>
      <c r="B834" s="27" t="str">
        <f t="shared" si="1"/>
        <v/>
      </c>
      <c r="C834" s="14" t="str">
        <f>IF($A834&lt;&gt;"",MINIFS(Merchant!$A:$A,Merchant!$B:$B,$G$2),)</f>
        <v/>
      </c>
      <c r="D834" s="14" t="str">
        <f t="shared" si="2"/>
        <v/>
      </c>
      <c r="E834" s="14" t="str">
        <f t="shared" si="3"/>
        <v/>
      </c>
      <c r="F834" s="7" t="str">
        <f>IF($A834&lt;&gt;"",MAXIFS(Token!$B:$B,Token!$A:$A,$D834),)</f>
        <v/>
      </c>
    </row>
    <row r="835">
      <c r="A835" s="39" t="str">
        <f>IF(AND($L835*1&gt;=$G$3,$L835*1&lt;=$G$4,$I835*$J835&gt;0,OR($I835&lt;&gt;$I836,$L835-$L836&gt;25),$I835/POW(10,$J835)*MAXIFS(Token!$B:$B,Token!$A:$A,$K835)&gt;0.01),$L835/86400+DATE(1970,1,1)+$G$6,)</f>
        <v/>
      </c>
      <c r="B835" s="27" t="str">
        <f t="shared" si="1"/>
        <v/>
      </c>
      <c r="C835" s="14" t="str">
        <f>IF($A835&lt;&gt;"",MINIFS(Merchant!$A:$A,Merchant!$B:$B,$G$2),)</f>
        <v/>
      </c>
      <c r="D835" s="14" t="str">
        <f t="shared" si="2"/>
        <v/>
      </c>
      <c r="E835" s="14" t="str">
        <f t="shared" si="3"/>
        <v/>
      </c>
      <c r="F835" s="7" t="str">
        <f>IF($A835&lt;&gt;"",MAXIFS(Token!$B:$B,Token!$A:$A,$D835),)</f>
        <v/>
      </c>
    </row>
    <row r="836">
      <c r="A836" s="39" t="str">
        <f>IF(AND($L836*1&gt;=$G$3,$L836*1&lt;=$G$4,$I836*$J836&gt;0,OR($I836&lt;&gt;$I837,$L836-$L837&gt;25),$I836/POW(10,$J836)*MAXIFS(Token!$B:$B,Token!$A:$A,$K836)&gt;0.01),$L836/86400+DATE(1970,1,1)+$G$6,)</f>
        <v/>
      </c>
      <c r="B836" s="27" t="str">
        <f t="shared" si="1"/>
        <v/>
      </c>
      <c r="C836" s="14" t="str">
        <f>IF($A836&lt;&gt;"",MINIFS(Merchant!$A:$A,Merchant!$B:$B,$G$2),)</f>
        <v/>
      </c>
      <c r="D836" s="14" t="str">
        <f t="shared" si="2"/>
        <v/>
      </c>
      <c r="E836" s="14" t="str">
        <f t="shared" si="3"/>
        <v/>
      </c>
      <c r="F836" s="7" t="str">
        <f>IF($A836&lt;&gt;"",MAXIFS(Token!$B:$B,Token!$A:$A,$D836),)</f>
        <v/>
      </c>
    </row>
    <row r="837">
      <c r="A837" s="39" t="str">
        <f>IF(AND($L837*1&gt;=$G$3,$L837*1&lt;=$G$4,$I837*$J837&gt;0,OR($I837&lt;&gt;$I838,$L837-$L838&gt;25),$I837/POW(10,$J837)*MAXIFS(Token!$B:$B,Token!$A:$A,$K837)&gt;0.01),$L837/86400+DATE(1970,1,1)+$G$6,)</f>
        <v/>
      </c>
      <c r="B837" s="27" t="str">
        <f t="shared" si="1"/>
        <v/>
      </c>
      <c r="C837" s="14" t="str">
        <f>IF($A837&lt;&gt;"",MINIFS(Merchant!$A:$A,Merchant!$B:$B,$G$2),)</f>
        <v/>
      </c>
      <c r="D837" s="14" t="str">
        <f t="shared" si="2"/>
        <v/>
      </c>
      <c r="E837" s="14" t="str">
        <f t="shared" si="3"/>
        <v/>
      </c>
      <c r="F837" s="7" t="str">
        <f>IF($A837&lt;&gt;"",MAXIFS(Token!$B:$B,Token!$A:$A,$D837),)</f>
        <v/>
      </c>
    </row>
    <row r="838">
      <c r="A838" s="39" t="str">
        <f>IF(AND($L838*1&gt;=$G$3,$L838*1&lt;=$G$4,$I838*$J838&gt;0,OR($I838&lt;&gt;$I839,$L838-$L839&gt;25),$I838/POW(10,$J838)*MAXIFS(Token!$B:$B,Token!$A:$A,$K838)&gt;0.01),$L838/86400+DATE(1970,1,1)+$G$6,)</f>
        <v/>
      </c>
      <c r="B838" s="27" t="str">
        <f t="shared" si="1"/>
        <v/>
      </c>
      <c r="C838" s="14" t="str">
        <f>IF($A838&lt;&gt;"",MINIFS(Merchant!$A:$A,Merchant!$B:$B,$G$2),)</f>
        <v/>
      </c>
      <c r="D838" s="14" t="str">
        <f t="shared" si="2"/>
        <v/>
      </c>
      <c r="E838" s="14" t="str">
        <f t="shared" si="3"/>
        <v/>
      </c>
      <c r="F838" s="7" t="str">
        <f>IF($A838&lt;&gt;"",MAXIFS(Token!$B:$B,Token!$A:$A,$D838),)</f>
        <v/>
      </c>
    </row>
    <row r="839">
      <c r="A839" s="39" t="str">
        <f>IF(AND($L839*1&gt;=$G$3,$L839*1&lt;=$G$4,$I839*$J839&gt;0,OR($I839&lt;&gt;$I840,$L839-$L840&gt;25),$I839/POW(10,$J839)*MAXIFS(Token!$B:$B,Token!$A:$A,$K839)&gt;0.01),$L839/86400+DATE(1970,1,1)+$G$6,)</f>
        <v/>
      </c>
      <c r="B839" s="27" t="str">
        <f t="shared" si="1"/>
        <v/>
      </c>
      <c r="C839" s="14" t="str">
        <f>IF($A839&lt;&gt;"",MINIFS(Merchant!$A:$A,Merchant!$B:$B,$G$2),)</f>
        <v/>
      </c>
      <c r="D839" s="14" t="str">
        <f t="shared" si="2"/>
        <v/>
      </c>
      <c r="E839" s="14" t="str">
        <f t="shared" si="3"/>
        <v/>
      </c>
      <c r="F839" s="7" t="str">
        <f>IF($A839&lt;&gt;"",MAXIFS(Token!$B:$B,Token!$A:$A,$D839),)</f>
        <v/>
      </c>
    </row>
    <row r="840">
      <c r="A840" s="39" t="str">
        <f>IF(AND($L840*1&gt;=$G$3,$L840*1&lt;=$G$4,$I840*$J840&gt;0,OR($I840&lt;&gt;$I841,$L840-$L841&gt;25),$I840/POW(10,$J840)*MAXIFS(Token!$B:$B,Token!$A:$A,$K840)&gt;0.01),$L840/86400+DATE(1970,1,1)+$G$6,)</f>
        <v/>
      </c>
      <c r="B840" s="27" t="str">
        <f t="shared" si="1"/>
        <v/>
      </c>
      <c r="C840" s="14" t="str">
        <f>IF($A840&lt;&gt;"",MINIFS(Merchant!$A:$A,Merchant!$B:$B,$G$2),)</f>
        <v/>
      </c>
      <c r="D840" s="14" t="str">
        <f t="shared" si="2"/>
        <v/>
      </c>
      <c r="E840" s="14" t="str">
        <f t="shared" si="3"/>
        <v/>
      </c>
      <c r="F840" s="7" t="str">
        <f>IF($A840&lt;&gt;"",MAXIFS(Token!$B:$B,Token!$A:$A,$D840),)</f>
        <v/>
      </c>
    </row>
    <row r="841">
      <c r="A841" s="39" t="str">
        <f>IF(AND($L841*1&gt;=$G$3,$L841*1&lt;=$G$4,$I841*$J841&gt;0,OR($I841&lt;&gt;$I842,$L841-$L842&gt;25),$I841/POW(10,$J841)*MAXIFS(Token!$B:$B,Token!$A:$A,$K841)&gt;0.01),$L841/86400+DATE(1970,1,1)+$G$6,)</f>
        <v/>
      </c>
      <c r="B841" s="27" t="str">
        <f t="shared" si="1"/>
        <v/>
      </c>
      <c r="C841" s="14" t="str">
        <f>IF($A841&lt;&gt;"",MINIFS(Merchant!$A:$A,Merchant!$B:$B,$G$2),)</f>
        <v/>
      </c>
      <c r="D841" s="14" t="str">
        <f t="shared" si="2"/>
        <v/>
      </c>
      <c r="E841" s="14" t="str">
        <f t="shared" si="3"/>
        <v/>
      </c>
      <c r="F841" s="7" t="str">
        <f>IF($A841&lt;&gt;"",MAXIFS(Token!$B:$B,Token!$A:$A,$D841),)</f>
        <v/>
      </c>
    </row>
    <row r="842">
      <c r="A842" s="39" t="str">
        <f>IF(AND($L842*1&gt;=$G$3,$L842*1&lt;=$G$4,$I842*$J842&gt;0,OR($I842&lt;&gt;$I843,$L842-$L843&gt;25),$I842/POW(10,$J842)*MAXIFS(Token!$B:$B,Token!$A:$A,$K842)&gt;0.01),$L842/86400+DATE(1970,1,1)+$G$6,)</f>
        <v/>
      </c>
      <c r="B842" s="27" t="str">
        <f t="shared" si="1"/>
        <v/>
      </c>
      <c r="C842" s="14" t="str">
        <f>IF($A842&lt;&gt;"",MINIFS(Merchant!$A:$A,Merchant!$B:$B,$G$2),)</f>
        <v/>
      </c>
      <c r="D842" s="14" t="str">
        <f t="shared" si="2"/>
        <v/>
      </c>
      <c r="E842" s="14" t="str">
        <f t="shared" si="3"/>
        <v/>
      </c>
      <c r="F842" s="7" t="str">
        <f>IF($A842&lt;&gt;"",MAXIFS(Token!$B:$B,Token!$A:$A,$D842),)</f>
        <v/>
      </c>
    </row>
    <row r="843">
      <c r="A843" s="39" t="str">
        <f>IF(AND($L843*1&gt;=$G$3,$L843*1&lt;=$G$4,$I843*$J843&gt;0,OR($I843&lt;&gt;$I844,$L843-$L844&gt;25),$I843/POW(10,$J843)*MAXIFS(Token!$B:$B,Token!$A:$A,$K843)&gt;0.01),$L843/86400+DATE(1970,1,1)+$G$6,)</f>
        <v/>
      </c>
      <c r="B843" s="27" t="str">
        <f t="shared" si="1"/>
        <v/>
      </c>
      <c r="C843" s="14" t="str">
        <f>IF($A843&lt;&gt;"",MINIFS(Merchant!$A:$A,Merchant!$B:$B,$G$2),)</f>
        <v/>
      </c>
      <c r="D843" s="14" t="str">
        <f t="shared" si="2"/>
        <v/>
      </c>
      <c r="E843" s="14" t="str">
        <f t="shared" si="3"/>
        <v/>
      </c>
      <c r="F843" s="7" t="str">
        <f>IF($A843&lt;&gt;"",MAXIFS(Token!$B:$B,Token!$A:$A,$D843),)</f>
        <v/>
      </c>
    </row>
    <row r="844">
      <c r="A844" s="39" t="str">
        <f>IF(AND($L844*1&gt;=$G$3,$L844*1&lt;=$G$4,$I844*$J844&gt;0,OR($I844&lt;&gt;$I845,$L844-$L845&gt;25),$I844/POW(10,$J844)*MAXIFS(Token!$B:$B,Token!$A:$A,$K844)&gt;0.01),$L844/86400+DATE(1970,1,1)+$G$6,)</f>
        <v/>
      </c>
      <c r="B844" s="27" t="str">
        <f t="shared" si="1"/>
        <v/>
      </c>
      <c r="C844" s="14" t="str">
        <f>IF($A844&lt;&gt;"",MINIFS(Merchant!$A:$A,Merchant!$B:$B,$G$2),)</f>
        <v/>
      </c>
      <c r="D844" s="14" t="str">
        <f t="shared" si="2"/>
        <v/>
      </c>
      <c r="E844" s="14" t="str">
        <f t="shared" si="3"/>
        <v/>
      </c>
      <c r="F844" s="7" t="str">
        <f>IF($A844&lt;&gt;"",MAXIFS(Token!$B:$B,Token!$A:$A,$D844),)</f>
        <v/>
      </c>
    </row>
    <row r="845">
      <c r="A845" s="39" t="str">
        <f>IF(AND($L845*1&gt;=$G$3,$L845*1&lt;=$G$4,$I845*$J845&gt;0,OR($I845&lt;&gt;$I846,$L845-$L846&gt;25),$I845/POW(10,$J845)*MAXIFS(Token!$B:$B,Token!$A:$A,$K845)&gt;0.01),$L845/86400+DATE(1970,1,1)+$G$6,)</f>
        <v/>
      </c>
      <c r="B845" s="27" t="str">
        <f t="shared" si="1"/>
        <v/>
      </c>
      <c r="C845" s="14" t="str">
        <f>IF($A845&lt;&gt;"",MINIFS(Merchant!$A:$A,Merchant!$B:$B,$G$2),)</f>
        <v/>
      </c>
      <c r="D845" s="14" t="str">
        <f t="shared" si="2"/>
        <v/>
      </c>
      <c r="E845" s="14" t="str">
        <f t="shared" si="3"/>
        <v/>
      </c>
      <c r="F845" s="7" t="str">
        <f>IF($A845&lt;&gt;"",MAXIFS(Token!$B:$B,Token!$A:$A,$D845),)</f>
        <v/>
      </c>
    </row>
    <row r="846">
      <c r="A846" s="39" t="str">
        <f>IF(AND($L846*1&gt;=$G$3,$L846*1&lt;=$G$4,$I846*$J846&gt;0,OR($I846&lt;&gt;$I847,$L846-$L847&gt;25),$I846/POW(10,$J846)*MAXIFS(Token!$B:$B,Token!$A:$A,$K846)&gt;0.01),$L846/86400+DATE(1970,1,1)+$G$6,)</f>
        <v/>
      </c>
      <c r="B846" s="27" t="str">
        <f t="shared" si="1"/>
        <v/>
      </c>
      <c r="C846" s="14" t="str">
        <f>IF($A846&lt;&gt;"",MINIFS(Merchant!$A:$A,Merchant!$B:$B,$G$2),)</f>
        <v/>
      </c>
      <c r="D846" s="14" t="str">
        <f t="shared" si="2"/>
        <v/>
      </c>
      <c r="E846" s="14" t="str">
        <f t="shared" si="3"/>
        <v/>
      </c>
      <c r="F846" s="7" t="str">
        <f>IF($A846&lt;&gt;"",MAXIFS(Token!$B:$B,Token!$A:$A,$D846),)</f>
        <v/>
      </c>
    </row>
    <row r="847">
      <c r="A847" s="39" t="str">
        <f>IF(AND($L847*1&gt;=$G$3,$L847*1&lt;=$G$4,$I847*$J847&gt;0,OR($I847&lt;&gt;$I848,$L847-$L848&gt;25),$I847/POW(10,$J847)*MAXIFS(Token!$B:$B,Token!$A:$A,$K847)&gt;0.01),$L847/86400+DATE(1970,1,1)+$G$6,)</f>
        <v/>
      </c>
      <c r="B847" s="27" t="str">
        <f t="shared" si="1"/>
        <v/>
      </c>
      <c r="C847" s="14" t="str">
        <f>IF($A847&lt;&gt;"",MINIFS(Merchant!$A:$A,Merchant!$B:$B,$G$2),)</f>
        <v/>
      </c>
      <c r="D847" s="14" t="str">
        <f t="shared" si="2"/>
        <v/>
      </c>
      <c r="E847" s="14" t="str">
        <f t="shared" si="3"/>
        <v/>
      </c>
      <c r="F847" s="7" t="str">
        <f>IF($A847&lt;&gt;"",MAXIFS(Token!$B:$B,Token!$A:$A,$D847),)</f>
        <v/>
      </c>
    </row>
    <row r="848">
      <c r="A848" s="39" t="str">
        <f>IF(AND($L848*1&gt;=$G$3,$L848*1&lt;=$G$4,$I848*$J848&gt;0,OR($I848&lt;&gt;$I849,$L848-$L849&gt;25),$I848/POW(10,$J848)*MAXIFS(Token!$B:$B,Token!$A:$A,$K848)&gt;0.01),$L848/86400+DATE(1970,1,1)+$G$6,)</f>
        <v/>
      </c>
      <c r="B848" s="27" t="str">
        <f t="shared" si="1"/>
        <v/>
      </c>
      <c r="C848" s="14" t="str">
        <f>IF($A848&lt;&gt;"",MINIFS(Merchant!$A:$A,Merchant!$B:$B,$G$2),)</f>
        <v/>
      </c>
      <c r="D848" s="14" t="str">
        <f t="shared" si="2"/>
        <v/>
      </c>
      <c r="E848" s="14" t="str">
        <f t="shared" si="3"/>
        <v/>
      </c>
      <c r="F848" s="7" t="str">
        <f>IF($A848&lt;&gt;"",MAXIFS(Token!$B:$B,Token!$A:$A,$D848),)</f>
        <v/>
      </c>
    </row>
    <row r="849">
      <c r="A849" s="39" t="str">
        <f>IF(AND($L849*1&gt;=$G$3,$L849*1&lt;=$G$4,$I849*$J849&gt;0,OR($I849&lt;&gt;$I850,$L849-$L850&gt;25),$I849/POW(10,$J849)*MAXIFS(Token!$B:$B,Token!$A:$A,$K849)&gt;0.01),$L849/86400+DATE(1970,1,1)+$G$6,)</f>
        <v/>
      </c>
      <c r="B849" s="27" t="str">
        <f t="shared" si="1"/>
        <v/>
      </c>
      <c r="C849" s="14" t="str">
        <f>IF($A849&lt;&gt;"",MINIFS(Merchant!$A:$A,Merchant!$B:$B,$G$2),)</f>
        <v/>
      </c>
      <c r="D849" s="14" t="str">
        <f t="shared" si="2"/>
        <v/>
      </c>
      <c r="E849" s="14" t="str">
        <f t="shared" si="3"/>
        <v/>
      </c>
      <c r="F849" s="7" t="str">
        <f>IF($A849&lt;&gt;"",MAXIFS(Token!$B:$B,Token!$A:$A,$D849),)</f>
        <v/>
      </c>
    </row>
    <row r="850">
      <c r="A850" s="39" t="str">
        <f>IF(AND($L850*1&gt;=$G$3,$L850*1&lt;=$G$4,$I850*$J850&gt;0,OR($I850&lt;&gt;$I851,$L850-$L851&gt;25),$I850/POW(10,$J850)*MAXIFS(Token!$B:$B,Token!$A:$A,$K850)&gt;0.01),$L850/86400+DATE(1970,1,1)+$G$6,)</f>
        <v/>
      </c>
      <c r="B850" s="27" t="str">
        <f t="shared" si="1"/>
        <v/>
      </c>
      <c r="C850" s="14" t="str">
        <f>IF($A850&lt;&gt;"",MINIFS(Merchant!$A:$A,Merchant!$B:$B,$G$2),)</f>
        <v/>
      </c>
      <c r="D850" s="14" t="str">
        <f t="shared" si="2"/>
        <v/>
      </c>
      <c r="E850" s="14" t="str">
        <f t="shared" si="3"/>
        <v/>
      </c>
      <c r="F850" s="7" t="str">
        <f>IF($A850&lt;&gt;"",MAXIFS(Token!$B:$B,Token!$A:$A,$D850),)</f>
        <v/>
      </c>
    </row>
    <row r="851">
      <c r="A851" s="39" t="str">
        <f>IF(AND($L851*1&gt;=$G$3,$L851*1&lt;=$G$4,$I851*$J851&gt;0,OR($I851&lt;&gt;$I852,$L851-$L852&gt;25),$I851/POW(10,$J851)*MAXIFS(Token!$B:$B,Token!$A:$A,$K851)&gt;0.01),$L851/86400+DATE(1970,1,1)+$G$6,)</f>
        <v/>
      </c>
      <c r="B851" s="27" t="str">
        <f t="shared" si="1"/>
        <v/>
      </c>
      <c r="C851" s="14" t="str">
        <f>IF($A851&lt;&gt;"",MINIFS(Merchant!$A:$A,Merchant!$B:$B,$G$2),)</f>
        <v/>
      </c>
      <c r="D851" s="14" t="str">
        <f t="shared" si="2"/>
        <v/>
      </c>
      <c r="E851" s="14" t="str">
        <f t="shared" si="3"/>
        <v/>
      </c>
      <c r="F851" s="7" t="str">
        <f>IF($A851&lt;&gt;"",MAXIFS(Token!$B:$B,Token!$A:$A,$D851),)</f>
        <v/>
      </c>
    </row>
    <row r="852">
      <c r="A852" s="39" t="str">
        <f>IF(AND($L852*1&gt;=$G$3,$L852*1&lt;=$G$4,$I852*$J852&gt;0,OR($I852&lt;&gt;$I853,$L852-$L853&gt;25),$I852/POW(10,$J852)*MAXIFS(Token!$B:$B,Token!$A:$A,$K852)&gt;0.01),$L852/86400+DATE(1970,1,1)+$G$6,)</f>
        <v/>
      </c>
      <c r="B852" s="27" t="str">
        <f t="shared" si="1"/>
        <v/>
      </c>
      <c r="C852" s="14" t="str">
        <f>IF($A852&lt;&gt;"",MINIFS(Merchant!$A:$A,Merchant!$B:$B,$G$2),)</f>
        <v/>
      </c>
      <c r="D852" s="14" t="str">
        <f t="shared" si="2"/>
        <v/>
      </c>
      <c r="E852" s="14" t="str">
        <f t="shared" si="3"/>
        <v/>
      </c>
      <c r="F852" s="7" t="str">
        <f>IF($A852&lt;&gt;"",MAXIFS(Token!$B:$B,Token!$A:$A,$D852),)</f>
        <v/>
      </c>
    </row>
    <row r="853">
      <c r="A853" s="39" t="str">
        <f>IF(AND($L853*1&gt;=$G$3,$L853*1&lt;=$G$4,$I853*$J853&gt;0,OR($I853&lt;&gt;$I854,$L853-$L854&gt;25),$I853/POW(10,$J853)*MAXIFS(Token!$B:$B,Token!$A:$A,$K853)&gt;0.01),$L853/86400+DATE(1970,1,1)+$G$6,)</f>
        <v/>
      </c>
      <c r="B853" s="27" t="str">
        <f t="shared" si="1"/>
        <v/>
      </c>
      <c r="C853" s="14" t="str">
        <f>IF($A853&lt;&gt;"",MINIFS(Merchant!$A:$A,Merchant!$B:$B,$G$2),)</f>
        <v/>
      </c>
      <c r="D853" s="14" t="str">
        <f t="shared" si="2"/>
        <v/>
      </c>
      <c r="E853" s="14" t="str">
        <f t="shared" si="3"/>
        <v/>
      </c>
      <c r="F853" s="7" t="str">
        <f>IF($A853&lt;&gt;"",MAXIFS(Token!$B:$B,Token!$A:$A,$D853),)</f>
        <v/>
      </c>
    </row>
    <row r="854">
      <c r="A854" s="39" t="str">
        <f>IF(AND($L854*1&gt;=$G$3,$L854*1&lt;=$G$4,$I854*$J854&gt;0,OR($I854&lt;&gt;$I855,$L854-$L855&gt;25),$I854/POW(10,$J854)*MAXIFS(Token!$B:$B,Token!$A:$A,$K854)&gt;0.01),$L854/86400+DATE(1970,1,1)+$G$6,)</f>
        <v/>
      </c>
      <c r="B854" s="27" t="str">
        <f t="shared" si="1"/>
        <v/>
      </c>
      <c r="C854" s="14" t="str">
        <f>IF($A854&lt;&gt;"",MINIFS(Merchant!$A:$A,Merchant!$B:$B,$G$2),)</f>
        <v/>
      </c>
      <c r="D854" s="14" t="str">
        <f t="shared" si="2"/>
        <v/>
      </c>
      <c r="E854" s="14" t="str">
        <f t="shared" si="3"/>
        <v/>
      </c>
      <c r="F854" s="7" t="str">
        <f>IF($A854&lt;&gt;"",MAXIFS(Token!$B:$B,Token!$A:$A,$D854),)</f>
        <v/>
      </c>
    </row>
    <row r="855">
      <c r="A855" s="39" t="str">
        <f>IF(AND($L855*1&gt;=$G$3,$L855*1&lt;=$G$4,$I855*$J855&gt;0,OR($I855&lt;&gt;$I856,$L855-$L856&gt;25),$I855/POW(10,$J855)*MAXIFS(Token!$B:$B,Token!$A:$A,$K855)&gt;0.01),$L855/86400+DATE(1970,1,1)+$G$6,)</f>
        <v/>
      </c>
      <c r="B855" s="27" t="str">
        <f t="shared" si="1"/>
        <v/>
      </c>
      <c r="C855" s="14" t="str">
        <f>IF($A855&lt;&gt;"",MINIFS(Merchant!$A:$A,Merchant!$B:$B,$G$2),)</f>
        <v/>
      </c>
      <c r="D855" s="14" t="str">
        <f t="shared" si="2"/>
        <v/>
      </c>
      <c r="E855" s="14" t="str">
        <f t="shared" si="3"/>
        <v/>
      </c>
      <c r="F855" s="7" t="str">
        <f>IF($A855&lt;&gt;"",MAXIFS(Token!$B:$B,Token!$A:$A,$D855),)</f>
        <v/>
      </c>
    </row>
    <row r="856">
      <c r="A856" s="39" t="str">
        <f>IF(AND($L856*1&gt;=$G$3,$L856*1&lt;=$G$4,$I856*$J856&gt;0,OR($I856&lt;&gt;$I857,$L856-$L857&gt;25),$I856/POW(10,$J856)*MAXIFS(Token!$B:$B,Token!$A:$A,$K856)&gt;0.01),$L856/86400+DATE(1970,1,1)+$G$6,)</f>
        <v/>
      </c>
      <c r="B856" s="27" t="str">
        <f t="shared" si="1"/>
        <v/>
      </c>
      <c r="C856" s="14" t="str">
        <f>IF($A856&lt;&gt;"",MINIFS(Merchant!$A:$A,Merchant!$B:$B,$G$2),)</f>
        <v/>
      </c>
      <c r="D856" s="14" t="str">
        <f t="shared" si="2"/>
        <v/>
      </c>
      <c r="E856" s="14" t="str">
        <f t="shared" si="3"/>
        <v/>
      </c>
      <c r="F856" s="7" t="str">
        <f>IF($A856&lt;&gt;"",MAXIFS(Token!$B:$B,Token!$A:$A,$D856),)</f>
        <v/>
      </c>
    </row>
    <row r="857">
      <c r="A857" s="39" t="str">
        <f>IF(AND($L857*1&gt;=$G$3,$L857*1&lt;=$G$4,$I857*$J857&gt;0,OR($I857&lt;&gt;$I858,$L857-$L858&gt;25),$I857/POW(10,$J857)*MAXIFS(Token!$B:$B,Token!$A:$A,$K857)&gt;0.01),$L857/86400+DATE(1970,1,1)+$G$6,)</f>
        <v/>
      </c>
      <c r="B857" s="27" t="str">
        <f t="shared" si="1"/>
        <v/>
      </c>
      <c r="C857" s="14" t="str">
        <f>IF($A857&lt;&gt;"",MINIFS(Merchant!$A:$A,Merchant!$B:$B,$G$2),)</f>
        <v/>
      </c>
      <c r="D857" s="14" t="str">
        <f t="shared" si="2"/>
        <v/>
      </c>
      <c r="E857" s="14" t="str">
        <f t="shared" si="3"/>
        <v/>
      </c>
      <c r="F857" s="7" t="str">
        <f>IF($A857&lt;&gt;"",MAXIFS(Token!$B:$B,Token!$A:$A,$D857),)</f>
        <v/>
      </c>
    </row>
    <row r="858">
      <c r="A858" s="39" t="str">
        <f>IF(AND($L858*1&gt;=$G$3,$L858*1&lt;=$G$4,$I858*$J858&gt;0,OR($I858&lt;&gt;$I859,$L858-$L859&gt;25),$I858/POW(10,$J858)*MAXIFS(Token!$B:$B,Token!$A:$A,$K858)&gt;0.01),$L858/86400+DATE(1970,1,1)+$G$6,)</f>
        <v/>
      </c>
      <c r="B858" s="27" t="str">
        <f t="shared" si="1"/>
        <v/>
      </c>
      <c r="C858" s="14" t="str">
        <f>IF($A858&lt;&gt;"",MINIFS(Merchant!$A:$A,Merchant!$B:$B,$G$2),)</f>
        <v/>
      </c>
      <c r="D858" s="14" t="str">
        <f t="shared" si="2"/>
        <v/>
      </c>
      <c r="E858" s="14" t="str">
        <f t="shared" si="3"/>
        <v/>
      </c>
      <c r="F858" s="7" t="str">
        <f>IF($A858&lt;&gt;"",MAXIFS(Token!$B:$B,Token!$A:$A,$D858),)</f>
        <v/>
      </c>
    </row>
    <row r="859">
      <c r="A859" s="39" t="str">
        <f>IF(AND($L859*1&gt;=$G$3,$L859*1&lt;=$G$4,$I859*$J859&gt;0,OR($I859&lt;&gt;$I860,$L859-$L860&gt;25),$I859/POW(10,$J859)*MAXIFS(Token!$B:$B,Token!$A:$A,$K859)&gt;0.01),$L859/86400+DATE(1970,1,1)+$G$6,)</f>
        <v/>
      </c>
      <c r="B859" s="27" t="str">
        <f t="shared" si="1"/>
        <v/>
      </c>
      <c r="C859" s="14" t="str">
        <f>IF($A859&lt;&gt;"",MINIFS(Merchant!$A:$A,Merchant!$B:$B,$G$2),)</f>
        <v/>
      </c>
      <c r="D859" s="14" t="str">
        <f t="shared" si="2"/>
        <v/>
      </c>
      <c r="E859" s="14" t="str">
        <f t="shared" si="3"/>
        <v/>
      </c>
      <c r="F859" s="7" t="str">
        <f>IF($A859&lt;&gt;"",MAXIFS(Token!$B:$B,Token!$A:$A,$D859),)</f>
        <v/>
      </c>
    </row>
    <row r="860">
      <c r="A860" s="39" t="str">
        <f>IF(AND($L860*1&gt;=$G$3,$L860*1&lt;=$G$4,$I860*$J860&gt;0,OR($I860&lt;&gt;$I861,$L860-$L861&gt;25),$I860/POW(10,$J860)*MAXIFS(Token!$B:$B,Token!$A:$A,$K860)&gt;0.01),$L860/86400+DATE(1970,1,1)+$G$6,)</f>
        <v/>
      </c>
      <c r="B860" s="27" t="str">
        <f t="shared" si="1"/>
        <v/>
      </c>
      <c r="C860" s="14" t="str">
        <f>IF($A860&lt;&gt;"",MINIFS(Merchant!$A:$A,Merchant!$B:$B,$G$2),)</f>
        <v/>
      </c>
      <c r="D860" s="14" t="str">
        <f t="shared" si="2"/>
        <v/>
      </c>
      <c r="E860" s="14" t="str">
        <f t="shared" si="3"/>
        <v/>
      </c>
      <c r="F860" s="7" t="str">
        <f>IF($A860&lt;&gt;"",MAXIFS(Token!$B:$B,Token!$A:$A,$D860),)</f>
        <v/>
      </c>
    </row>
    <row r="861">
      <c r="A861" s="39" t="str">
        <f>IF(AND($L861*1&gt;=$G$3,$L861*1&lt;=$G$4,$I861*$J861&gt;0,OR($I861&lt;&gt;$I862,$L861-$L862&gt;25),$I861/POW(10,$J861)*MAXIFS(Token!$B:$B,Token!$A:$A,$K861)&gt;0.01),$L861/86400+DATE(1970,1,1)+$G$6,)</f>
        <v/>
      </c>
      <c r="B861" s="27" t="str">
        <f t="shared" si="1"/>
        <v/>
      </c>
      <c r="C861" s="14" t="str">
        <f>IF($A861&lt;&gt;"",MINIFS(Merchant!$A:$A,Merchant!$B:$B,$G$2),)</f>
        <v/>
      </c>
      <c r="D861" s="14" t="str">
        <f t="shared" si="2"/>
        <v/>
      </c>
      <c r="E861" s="14" t="str">
        <f t="shared" si="3"/>
        <v/>
      </c>
      <c r="F861" s="7" t="str">
        <f>IF($A861&lt;&gt;"",MAXIFS(Token!$B:$B,Token!$A:$A,$D861),)</f>
        <v/>
      </c>
    </row>
    <row r="862">
      <c r="A862" s="39" t="str">
        <f>IF(AND($L862*1&gt;=$G$3,$L862*1&lt;=$G$4,$I862*$J862&gt;0,OR($I862&lt;&gt;$I863,$L862-$L863&gt;25),$I862/POW(10,$J862)*MAXIFS(Token!$B:$B,Token!$A:$A,$K862)&gt;0.01),$L862/86400+DATE(1970,1,1)+$G$6,)</f>
        <v/>
      </c>
      <c r="B862" s="27" t="str">
        <f t="shared" si="1"/>
        <v/>
      </c>
      <c r="C862" s="14" t="str">
        <f>IF($A862&lt;&gt;"",MINIFS(Merchant!$A:$A,Merchant!$B:$B,$G$2),)</f>
        <v/>
      </c>
      <c r="D862" s="14" t="str">
        <f t="shared" si="2"/>
        <v/>
      </c>
      <c r="E862" s="14" t="str">
        <f t="shared" si="3"/>
        <v/>
      </c>
      <c r="F862" s="7" t="str">
        <f>IF($A862&lt;&gt;"",MAXIFS(Token!$B:$B,Token!$A:$A,$D862),)</f>
        <v/>
      </c>
    </row>
    <row r="863">
      <c r="A863" s="39" t="str">
        <f>IF(AND($L863*1&gt;=$G$3,$L863*1&lt;=$G$4,$I863*$J863&gt;0,OR($I863&lt;&gt;$I864,$L863-$L864&gt;25),$I863/POW(10,$J863)*MAXIFS(Token!$B:$B,Token!$A:$A,$K863)&gt;0.01),$L863/86400+DATE(1970,1,1)+$G$6,)</f>
        <v/>
      </c>
      <c r="B863" s="27" t="str">
        <f t="shared" si="1"/>
        <v/>
      </c>
      <c r="C863" s="14" t="str">
        <f>IF($A863&lt;&gt;"",MINIFS(Merchant!$A:$A,Merchant!$B:$B,$G$2),)</f>
        <v/>
      </c>
      <c r="D863" s="14" t="str">
        <f t="shared" si="2"/>
        <v/>
      </c>
      <c r="E863" s="14" t="str">
        <f t="shared" si="3"/>
        <v/>
      </c>
      <c r="F863" s="7" t="str">
        <f>IF($A863&lt;&gt;"",MAXIFS(Token!$B:$B,Token!$A:$A,$D863),)</f>
        <v/>
      </c>
    </row>
    <row r="864">
      <c r="A864" s="39" t="str">
        <f>IF(AND($L864*1&gt;=$G$3,$L864*1&lt;=$G$4,$I864*$J864&gt;0,OR($I864&lt;&gt;$I865,$L864-$L865&gt;25),$I864/POW(10,$J864)*MAXIFS(Token!$B:$B,Token!$A:$A,$K864)&gt;0.01),$L864/86400+DATE(1970,1,1)+$G$6,)</f>
        <v/>
      </c>
      <c r="B864" s="27" t="str">
        <f t="shared" si="1"/>
        <v/>
      </c>
      <c r="C864" s="14" t="str">
        <f>IF($A864&lt;&gt;"",MINIFS(Merchant!$A:$A,Merchant!$B:$B,$G$2),)</f>
        <v/>
      </c>
      <c r="D864" s="14" t="str">
        <f t="shared" si="2"/>
        <v/>
      </c>
      <c r="E864" s="14" t="str">
        <f t="shared" si="3"/>
        <v/>
      </c>
      <c r="F864" s="7" t="str">
        <f>IF($A864&lt;&gt;"",MAXIFS(Token!$B:$B,Token!$A:$A,$D864),)</f>
        <v/>
      </c>
    </row>
    <row r="865">
      <c r="A865" s="39" t="str">
        <f>IF(AND($L865*1&gt;=$G$3,$L865*1&lt;=$G$4,$I865*$J865&gt;0,OR($I865&lt;&gt;$I866,$L865-$L866&gt;25),$I865/POW(10,$J865)*MAXIFS(Token!$B:$B,Token!$A:$A,$K865)&gt;0.01),$L865/86400+DATE(1970,1,1)+$G$6,)</f>
        <v/>
      </c>
      <c r="B865" s="27" t="str">
        <f t="shared" si="1"/>
        <v/>
      </c>
      <c r="C865" s="14" t="str">
        <f>IF($A865&lt;&gt;"",MINIFS(Merchant!$A:$A,Merchant!$B:$B,$G$2),)</f>
        <v/>
      </c>
      <c r="D865" s="14" t="str">
        <f t="shared" si="2"/>
        <v/>
      </c>
      <c r="E865" s="14" t="str">
        <f t="shared" si="3"/>
        <v/>
      </c>
      <c r="F865" s="7" t="str">
        <f>IF($A865&lt;&gt;"",MAXIFS(Token!$B:$B,Token!$A:$A,$D865),)</f>
        <v/>
      </c>
    </row>
    <row r="866">
      <c r="A866" s="39" t="str">
        <f>IF(AND($L866*1&gt;=$G$3,$L866*1&lt;=$G$4,$I866*$J866&gt;0,OR($I866&lt;&gt;$I867,$L866-$L867&gt;25),$I866/POW(10,$J866)*MAXIFS(Token!$B:$B,Token!$A:$A,$K866)&gt;0.01),$L866/86400+DATE(1970,1,1)+$G$6,)</f>
        <v/>
      </c>
      <c r="B866" s="27" t="str">
        <f t="shared" si="1"/>
        <v/>
      </c>
      <c r="C866" s="14" t="str">
        <f>IF($A866&lt;&gt;"",MINIFS(Merchant!$A:$A,Merchant!$B:$B,$G$2),)</f>
        <v/>
      </c>
      <c r="D866" s="14" t="str">
        <f t="shared" si="2"/>
        <v/>
      </c>
      <c r="E866" s="14" t="str">
        <f t="shared" si="3"/>
        <v/>
      </c>
      <c r="F866" s="7" t="str">
        <f>IF($A866&lt;&gt;"",MAXIFS(Token!$B:$B,Token!$A:$A,$D866),)</f>
        <v/>
      </c>
    </row>
    <row r="867">
      <c r="A867" s="39" t="str">
        <f>IF(AND($L867*1&gt;=$G$3,$L867*1&lt;=$G$4,$I867*$J867&gt;0,OR($I867&lt;&gt;$I868,$L867-$L868&gt;25),$I867/POW(10,$J867)*MAXIFS(Token!$B:$B,Token!$A:$A,$K867)&gt;0.01),$L867/86400+DATE(1970,1,1)+$G$6,)</f>
        <v/>
      </c>
      <c r="B867" s="27" t="str">
        <f t="shared" si="1"/>
        <v/>
      </c>
      <c r="C867" s="14" t="str">
        <f>IF($A867&lt;&gt;"",MINIFS(Merchant!$A:$A,Merchant!$B:$B,$G$2),)</f>
        <v/>
      </c>
      <c r="D867" s="14" t="str">
        <f t="shared" si="2"/>
        <v/>
      </c>
      <c r="E867" s="14" t="str">
        <f t="shared" si="3"/>
        <v/>
      </c>
      <c r="F867" s="7" t="str">
        <f>IF($A867&lt;&gt;"",MAXIFS(Token!$B:$B,Token!$A:$A,$D867),)</f>
        <v/>
      </c>
    </row>
    <row r="868">
      <c r="A868" s="39" t="str">
        <f>IF(AND($L868*1&gt;=$G$3,$L868*1&lt;=$G$4,$I868*$J868&gt;0,OR($I868&lt;&gt;$I869,$L868-$L869&gt;25),$I868/POW(10,$J868)*MAXIFS(Token!$B:$B,Token!$A:$A,$K868)&gt;0.01),$L868/86400+DATE(1970,1,1)+$G$6,)</f>
        <v/>
      </c>
      <c r="B868" s="27" t="str">
        <f t="shared" si="1"/>
        <v/>
      </c>
      <c r="C868" s="14" t="str">
        <f>IF($A868&lt;&gt;"",MINIFS(Merchant!$A:$A,Merchant!$B:$B,$G$2),)</f>
        <v/>
      </c>
      <c r="D868" s="14" t="str">
        <f t="shared" si="2"/>
        <v/>
      </c>
      <c r="E868" s="14" t="str">
        <f t="shared" si="3"/>
        <v/>
      </c>
      <c r="F868" s="7" t="str">
        <f>IF($A868&lt;&gt;"",MAXIFS(Token!$B:$B,Token!$A:$A,$D868),)</f>
        <v/>
      </c>
    </row>
    <row r="869">
      <c r="A869" s="39" t="str">
        <f>IF(AND($L869*1&gt;=$G$3,$L869*1&lt;=$G$4,$I869*$J869&gt;0,OR($I869&lt;&gt;$I870,$L869-$L870&gt;25),$I869/POW(10,$J869)*MAXIFS(Token!$B:$B,Token!$A:$A,$K869)&gt;0.01),$L869/86400+DATE(1970,1,1)+$G$6,)</f>
        <v/>
      </c>
      <c r="B869" s="27" t="str">
        <f t="shared" si="1"/>
        <v/>
      </c>
      <c r="C869" s="14" t="str">
        <f>IF($A869&lt;&gt;"",MINIFS(Merchant!$A:$A,Merchant!$B:$B,$G$2),)</f>
        <v/>
      </c>
      <c r="D869" s="14" t="str">
        <f t="shared" si="2"/>
        <v/>
      </c>
      <c r="E869" s="14" t="str">
        <f t="shared" si="3"/>
        <v/>
      </c>
      <c r="F869" s="7" t="str">
        <f>IF($A869&lt;&gt;"",MAXIFS(Token!$B:$B,Token!$A:$A,$D869),)</f>
        <v/>
      </c>
    </row>
    <row r="870">
      <c r="A870" s="39" t="str">
        <f>IF(AND($L870*1&gt;=$G$3,$L870*1&lt;=$G$4,$I870*$J870&gt;0,OR($I870&lt;&gt;$I871,$L870-$L871&gt;25),$I870/POW(10,$J870)*MAXIFS(Token!$B:$B,Token!$A:$A,$K870)&gt;0.01),$L870/86400+DATE(1970,1,1)+$G$6,)</f>
        <v/>
      </c>
      <c r="B870" s="27" t="str">
        <f t="shared" si="1"/>
        <v/>
      </c>
      <c r="C870" s="14" t="str">
        <f>IF($A870&lt;&gt;"",MINIFS(Merchant!$A:$A,Merchant!$B:$B,$G$2),)</f>
        <v/>
      </c>
      <c r="D870" s="14" t="str">
        <f t="shared" si="2"/>
        <v/>
      </c>
      <c r="E870" s="14" t="str">
        <f t="shared" si="3"/>
        <v/>
      </c>
      <c r="F870" s="7" t="str">
        <f>IF($A870&lt;&gt;"",MAXIFS(Token!$B:$B,Token!$A:$A,$D870),)</f>
        <v/>
      </c>
    </row>
    <row r="871">
      <c r="A871" s="39" t="str">
        <f>IF(AND($L871*1&gt;=$G$3,$L871*1&lt;=$G$4,$I871*$J871&gt;0,OR($I871&lt;&gt;$I872,$L871-$L872&gt;25),$I871/POW(10,$J871)*MAXIFS(Token!$B:$B,Token!$A:$A,$K871)&gt;0.01),$L871/86400+DATE(1970,1,1)+$G$6,)</f>
        <v/>
      </c>
      <c r="B871" s="27" t="str">
        <f t="shared" si="1"/>
        <v/>
      </c>
      <c r="C871" s="14" t="str">
        <f>IF($A871&lt;&gt;"",MINIFS(Merchant!$A:$A,Merchant!$B:$B,$G$2),)</f>
        <v/>
      </c>
      <c r="D871" s="14" t="str">
        <f t="shared" si="2"/>
        <v/>
      </c>
      <c r="E871" s="14" t="str">
        <f t="shared" si="3"/>
        <v/>
      </c>
      <c r="F871" s="7" t="str">
        <f>IF($A871&lt;&gt;"",MAXIFS(Token!$B:$B,Token!$A:$A,$D871),)</f>
        <v/>
      </c>
    </row>
    <row r="872">
      <c r="A872" s="39" t="str">
        <f>IF(AND($L872*1&gt;=$G$3,$L872*1&lt;=$G$4,$I872*$J872&gt;0,OR($I872&lt;&gt;$I873,$L872-$L873&gt;25),$I872/POW(10,$J872)*MAXIFS(Token!$B:$B,Token!$A:$A,$K872)&gt;0.01),$L872/86400+DATE(1970,1,1)+$G$6,)</f>
        <v/>
      </c>
      <c r="B872" s="27" t="str">
        <f t="shared" si="1"/>
        <v/>
      </c>
      <c r="C872" s="14" t="str">
        <f>IF($A872&lt;&gt;"",MINIFS(Merchant!$A:$A,Merchant!$B:$B,$G$2),)</f>
        <v/>
      </c>
      <c r="D872" s="14" t="str">
        <f t="shared" si="2"/>
        <v/>
      </c>
      <c r="E872" s="14" t="str">
        <f t="shared" si="3"/>
        <v/>
      </c>
      <c r="F872" s="7" t="str">
        <f>IF($A872&lt;&gt;"",MAXIFS(Token!$B:$B,Token!$A:$A,$D872),)</f>
        <v/>
      </c>
    </row>
    <row r="873">
      <c r="A873" s="39" t="str">
        <f>IF(AND($L873*1&gt;=$G$3,$L873*1&lt;=$G$4,$I873*$J873&gt;0,OR($I873&lt;&gt;$I874,$L873-$L874&gt;25),$I873/POW(10,$J873)*MAXIFS(Token!$B:$B,Token!$A:$A,$K873)&gt;0.01),$L873/86400+DATE(1970,1,1)+$G$6,)</f>
        <v/>
      </c>
      <c r="B873" s="27" t="str">
        <f t="shared" si="1"/>
        <v/>
      </c>
      <c r="C873" s="14" t="str">
        <f>IF($A873&lt;&gt;"",MINIFS(Merchant!$A:$A,Merchant!$B:$B,$G$2),)</f>
        <v/>
      </c>
      <c r="D873" s="14" t="str">
        <f t="shared" si="2"/>
        <v/>
      </c>
      <c r="E873" s="14" t="str">
        <f t="shared" si="3"/>
        <v/>
      </c>
      <c r="F873" s="7" t="str">
        <f>IF($A873&lt;&gt;"",MAXIFS(Token!$B:$B,Token!$A:$A,$D873),)</f>
        <v/>
      </c>
    </row>
    <row r="874">
      <c r="A874" s="39" t="str">
        <f>IF(AND($L874*1&gt;=$G$3,$L874*1&lt;=$G$4,$I874*$J874&gt;0,OR($I874&lt;&gt;$I875,$L874-$L875&gt;25),$I874/POW(10,$J874)*MAXIFS(Token!$B:$B,Token!$A:$A,$K874)&gt;0.01),$L874/86400+DATE(1970,1,1)+$G$6,)</f>
        <v/>
      </c>
      <c r="B874" s="27" t="str">
        <f t="shared" si="1"/>
        <v/>
      </c>
      <c r="C874" s="14" t="str">
        <f>IF($A874&lt;&gt;"",MINIFS(Merchant!$A:$A,Merchant!$B:$B,$G$2),)</f>
        <v/>
      </c>
      <c r="D874" s="14" t="str">
        <f t="shared" si="2"/>
        <v/>
      </c>
      <c r="E874" s="14" t="str">
        <f t="shared" si="3"/>
        <v/>
      </c>
      <c r="F874" s="7" t="str">
        <f>IF($A874&lt;&gt;"",MAXIFS(Token!$B:$B,Token!$A:$A,$D874),)</f>
        <v/>
      </c>
    </row>
    <row r="875">
      <c r="A875" s="39" t="str">
        <f>IF(AND($L875*1&gt;=$G$3,$L875*1&lt;=$G$4,$I875*$J875&gt;0,OR($I875&lt;&gt;$I876,$L875-$L876&gt;25),$I875/POW(10,$J875)*MAXIFS(Token!$B:$B,Token!$A:$A,$K875)&gt;0.01),$L875/86400+DATE(1970,1,1)+$G$6,)</f>
        <v/>
      </c>
      <c r="B875" s="27" t="str">
        <f t="shared" si="1"/>
        <v/>
      </c>
      <c r="C875" s="14" t="str">
        <f>IF($A875&lt;&gt;"",MINIFS(Merchant!$A:$A,Merchant!$B:$B,$G$2),)</f>
        <v/>
      </c>
      <c r="D875" s="14" t="str">
        <f t="shared" si="2"/>
        <v/>
      </c>
      <c r="E875" s="14" t="str">
        <f t="shared" si="3"/>
        <v/>
      </c>
      <c r="F875" s="7" t="str">
        <f>IF($A875&lt;&gt;"",MAXIFS(Token!$B:$B,Token!$A:$A,$D875),)</f>
        <v/>
      </c>
    </row>
    <row r="876">
      <c r="A876" s="39" t="str">
        <f>IF(AND($L876*1&gt;=$G$3,$L876*1&lt;=$G$4,$I876*$J876&gt;0,OR($I876&lt;&gt;$I877,$L876-$L877&gt;25),$I876/POW(10,$J876)*MAXIFS(Token!$B:$B,Token!$A:$A,$K876)&gt;0.01),$L876/86400+DATE(1970,1,1)+$G$6,)</f>
        <v/>
      </c>
      <c r="B876" s="27" t="str">
        <f t="shared" si="1"/>
        <v/>
      </c>
      <c r="C876" s="14" t="str">
        <f>IF($A876&lt;&gt;"",MINIFS(Merchant!$A:$A,Merchant!$B:$B,$G$2),)</f>
        <v/>
      </c>
      <c r="D876" s="14" t="str">
        <f t="shared" si="2"/>
        <v/>
      </c>
      <c r="E876" s="14" t="str">
        <f t="shared" si="3"/>
        <v/>
      </c>
      <c r="F876" s="7" t="str">
        <f>IF($A876&lt;&gt;"",MAXIFS(Token!$B:$B,Token!$A:$A,$D876),)</f>
        <v/>
      </c>
    </row>
    <row r="877">
      <c r="A877" s="39" t="str">
        <f>IF(AND($L877*1&gt;=$G$3,$L877*1&lt;=$G$4,$I877*$J877&gt;0,OR($I877&lt;&gt;$I878,$L877-$L878&gt;25),$I877/POW(10,$J877)*MAXIFS(Token!$B:$B,Token!$A:$A,$K877)&gt;0.01),$L877/86400+DATE(1970,1,1)+$G$6,)</f>
        <v/>
      </c>
      <c r="B877" s="27" t="str">
        <f t="shared" si="1"/>
        <v/>
      </c>
      <c r="C877" s="14" t="str">
        <f>IF($A877&lt;&gt;"",MINIFS(Merchant!$A:$A,Merchant!$B:$B,$G$2),)</f>
        <v/>
      </c>
      <c r="D877" s="14" t="str">
        <f t="shared" si="2"/>
        <v/>
      </c>
      <c r="E877" s="14" t="str">
        <f t="shared" si="3"/>
        <v/>
      </c>
      <c r="F877" s="7" t="str">
        <f>IF($A877&lt;&gt;"",MAXIFS(Token!$B:$B,Token!$A:$A,$D877),)</f>
        <v/>
      </c>
    </row>
    <row r="878">
      <c r="A878" s="39" t="str">
        <f>IF(AND($L878*1&gt;=$G$3,$L878*1&lt;=$G$4,$I878*$J878&gt;0,OR($I878&lt;&gt;$I879,$L878-$L879&gt;25),$I878/POW(10,$J878)*MAXIFS(Token!$B:$B,Token!$A:$A,$K878)&gt;0.01),$L878/86400+DATE(1970,1,1)+$G$6,)</f>
        <v/>
      </c>
      <c r="B878" s="27" t="str">
        <f t="shared" si="1"/>
        <v/>
      </c>
      <c r="C878" s="14" t="str">
        <f>IF($A878&lt;&gt;"",MINIFS(Merchant!$A:$A,Merchant!$B:$B,$G$2),)</f>
        <v/>
      </c>
      <c r="D878" s="14" t="str">
        <f t="shared" si="2"/>
        <v/>
      </c>
      <c r="E878" s="14" t="str">
        <f t="shared" si="3"/>
        <v/>
      </c>
      <c r="F878" s="7" t="str">
        <f>IF($A878&lt;&gt;"",MAXIFS(Token!$B:$B,Token!$A:$A,$D878),)</f>
        <v/>
      </c>
    </row>
    <row r="879">
      <c r="A879" s="39" t="str">
        <f>IF(AND($L879*1&gt;=$G$3,$L879*1&lt;=$G$4,$I879*$J879&gt;0,OR($I879&lt;&gt;$I880,$L879-$L880&gt;25),$I879/POW(10,$J879)*MAXIFS(Token!$B:$B,Token!$A:$A,$K879)&gt;0.01),$L879/86400+DATE(1970,1,1)+$G$6,)</f>
        <v/>
      </c>
      <c r="B879" s="27" t="str">
        <f t="shared" si="1"/>
        <v/>
      </c>
      <c r="C879" s="14" t="str">
        <f>IF($A879&lt;&gt;"",MINIFS(Merchant!$A:$A,Merchant!$B:$B,$G$2),)</f>
        <v/>
      </c>
      <c r="D879" s="14" t="str">
        <f t="shared" si="2"/>
        <v/>
      </c>
      <c r="E879" s="14" t="str">
        <f t="shared" si="3"/>
        <v/>
      </c>
      <c r="F879" s="7" t="str">
        <f>IF($A879&lt;&gt;"",MAXIFS(Token!$B:$B,Token!$A:$A,$D879),)</f>
        <v/>
      </c>
    </row>
    <row r="880">
      <c r="A880" s="39" t="str">
        <f>IF(AND($L880*1&gt;=$G$3,$L880*1&lt;=$G$4,$I880*$J880&gt;0,OR($I880&lt;&gt;$I881,$L880-$L881&gt;25),$I880/POW(10,$J880)*MAXIFS(Token!$B:$B,Token!$A:$A,$K880)&gt;0.01),$L880/86400+DATE(1970,1,1)+$G$6,)</f>
        <v/>
      </c>
      <c r="B880" s="27" t="str">
        <f t="shared" si="1"/>
        <v/>
      </c>
      <c r="C880" s="14" t="str">
        <f>IF($A880&lt;&gt;"",MINIFS(Merchant!$A:$A,Merchant!$B:$B,$G$2),)</f>
        <v/>
      </c>
      <c r="D880" s="14" t="str">
        <f t="shared" si="2"/>
        <v/>
      </c>
      <c r="E880" s="14" t="str">
        <f t="shared" si="3"/>
        <v/>
      </c>
      <c r="F880" s="7" t="str">
        <f>IF($A880&lt;&gt;"",MAXIFS(Token!$B:$B,Token!$A:$A,$D880),)</f>
        <v/>
      </c>
    </row>
    <row r="881">
      <c r="A881" s="39" t="str">
        <f>IF(AND($L881*1&gt;=$G$3,$L881*1&lt;=$G$4,$I881*$J881&gt;0,OR($I881&lt;&gt;$I882,$L881-$L882&gt;25),$I881/POW(10,$J881)*MAXIFS(Token!$B:$B,Token!$A:$A,$K881)&gt;0.01),$L881/86400+DATE(1970,1,1)+$G$6,)</f>
        <v/>
      </c>
      <c r="B881" s="27" t="str">
        <f t="shared" si="1"/>
        <v/>
      </c>
      <c r="C881" s="14" t="str">
        <f>IF($A881&lt;&gt;"",MINIFS(Merchant!$A:$A,Merchant!$B:$B,$G$2),)</f>
        <v/>
      </c>
      <c r="D881" s="14" t="str">
        <f t="shared" si="2"/>
        <v/>
      </c>
      <c r="E881" s="14" t="str">
        <f t="shared" si="3"/>
        <v/>
      </c>
      <c r="F881" s="7" t="str">
        <f>IF($A881&lt;&gt;"",MAXIFS(Token!$B:$B,Token!$A:$A,$D881),)</f>
        <v/>
      </c>
    </row>
    <row r="882">
      <c r="A882" s="39" t="str">
        <f>IF(AND($L882*1&gt;=$G$3,$L882*1&lt;=$G$4,$I882*$J882&gt;0,OR($I882&lt;&gt;$I883,$L882-$L883&gt;25),$I882/POW(10,$J882)*MAXIFS(Token!$B:$B,Token!$A:$A,$K882)&gt;0.01),$L882/86400+DATE(1970,1,1)+$G$6,)</f>
        <v/>
      </c>
      <c r="B882" s="27" t="str">
        <f t="shared" si="1"/>
        <v/>
      </c>
      <c r="C882" s="14" t="str">
        <f>IF($A882&lt;&gt;"",MINIFS(Merchant!$A:$A,Merchant!$B:$B,$G$2),)</f>
        <v/>
      </c>
      <c r="D882" s="14" t="str">
        <f t="shared" si="2"/>
        <v/>
      </c>
      <c r="E882" s="14" t="str">
        <f t="shared" si="3"/>
        <v/>
      </c>
      <c r="F882" s="7" t="str">
        <f>IF($A882&lt;&gt;"",MAXIFS(Token!$B:$B,Token!$A:$A,$D882),)</f>
        <v/>
      </c>
    </row>
    <row r="883">
      <c r="A883" s="39" t="str">
        <f>IF(AND($L883*1&gt;=$G$3,$L883*1&lt;=$G$4,$I883*$J883&gt;0,OR($I883&lt;&gt;$I884,$L883-$L884&gt;25),$I883/POW(10,$J883)*MAXIFS(Token!$B:$B,Token!$A:$A,$K883)&gt;0.01),$L883/86400+DATE(1970,1,1)+$G$6,)</f>
        <v/>
      </c>
      <c r="B883" s="27" t="str">
        <f t="shared" si="1"/>
        <v/>
      </c>
      <c r="C883" s="14" t="str">
        <f>IF($A883&lt;&gt;"",MINIFS(Merchant!$A:$A,Merchant!$B:$B,$G$2),)</f>
        <v/>
      </c>
      <c r="D883" s="14" t="str">
        <f t="shared" si="2"/>
        <v/>
      </c>
      <c r="E883" s="14" t="str">
        <f t="shared" si="3"/>
        <v/>
      </c>
      <c r="F883" s="7" t="str">
        <f>IF($A883&lt;&gt;"",MAXIFS(Token!$B:$B,Token!$A:$A,$D883),)</f>
        <v/>
      </c>
    </row>
    <row r="884">
      <c r="A884" s="39" t="str">
        <f>IF(AND($L884*1&gt;=$G$3,$L884*1&lt;=$G$4,$I884*$J884&gt;0,OR($I884&lt;&gt;$I885,$L884-$L885&gt;25),$I884/POW(10,$J884)*MAXIFS(Token!$B:$B,Token!$A:$A,$K884)&gt;0.01),$L884/86400+DATE(1970,1,1)+$G$6,)</f>
        <v/>
      </c>
      <c r="B884" s="27" t="str">
        <f t="shared" si="1"/>
        <v/>
      </c>
      <c r="C884" s="14" t="str">
        <f>IF($A884&lt;&gt;"",MINIFS(Merchant!$A:$A,Merchant!$B:$B,$G$2),)</f>
        <v/>
      </c>
      <c r="D884" s="14" t="str">
        <f t="shared" si="2"/>
        <v/>
      </c>
      <c r="E884" s="14" t="str">
        <f t="shared" si="3"/>
        <v/>
      </c>
      <c r="F884" s="7" t="str">
        <f>IF($A884&lt;&gt;"",MAXIFS(Token!$B:$B,Token!$A:$A,$D884),)</f>
        <v/>
      </c>
    </row>
    <row r="885">
      <c r="A885" s="39" t="str">
        <f>IF(AND($L885*1&gt;=$G$3,$L885*1&lt;=$G$4,$I885*$J885&gt;0,OR($I885&lt;&gt;$I886,$L885-$L886&gt;25),$I885/POW(10,$J885)*MAXIFS(Token!$B:$B,Token!$A:$A,$K885)&gt;0.01),$L885/86400+DATE(1970,1,1)+$G$6,)</f>
        <v/>
      </c>
      <c r="B885" s="27" t="str">
        <f t="shared" si="1"/>
        <v/>
      </c>
      <c r="C885" s="14" t="str">
        <f>IF($A885&lt;&gt;"",MINIFS(Merchant!$A:$A,Merchant!$B:$B,$G$2),)</f>
        <v/>
      </c>
      <c r="D885" s="14" t="str">
        <f t="shared" si="2"/>
        <v/>
      </c>
      <c r="E885" s="14" t="str">
        <f t="shared" si="3"/>
        <v/>
      </c>
      <c r="F885" s="7" t="str">
        <f>IF($A885&lt;&gt;"",MAXIFS(Token!$B:$B,Token!$A:$A,$D885),)</f>
        <v/>
      </c>
    </row>
    <row r="886">
      <c r="A886" s="39" t="str">
        <f>IF(AND($L886*1&gt;=$G$3,$L886*1&lt;=$G$4,$I886*$J886&gt;0,OR($I886&lt;&gt;$I887,$L886-$L887&gt;25),$I886/POW(10,$J886)*MAXIFS(Token!$B:$B,Token!$A:$A,$K886)&gt;0.01),$L886/86400+DATE(1970,1,1)+$G$6,)</f>
        <v/>
      </c>
      <c r="B886" s="27" t="str">
        <f t="shared" si="1"/>
        <v/>
      </c>
      <c r="C886" s="14" t="str">
        <f>IF($A886&lt;&gt;"",MINIFS(Merchant!$A:$A,Merchant!$B:$B,$G$2),)</f>
        <v/>
      </c>
      <c r="D886" s="14" t="str">
        <f t="shared" si="2"/>
        <v/>
      </c>
      <c r="E886" s="14" t="str">
        <f t="shared" si="3"/>
        <v/>
      </c>
      <c r="F886" s="7" t="str">
        <f>IF($A886&lt;&gt;"",MAXIFS(Token!$B:$B,Token!$A:$A,$D886),)</f>
        <v/>
      </c>
    </row>
    <row r="887">
      <c r="A887" s="39" t="str">
        <f>IF(AND($L887*1&gt;=$G$3,$L887*1&lt;=$G$4,$I887*$J887&gt;0,OR($I887&lt;&gt;$I888,$L887-$L888&gt;25),$I887/POW(10,$J887)*MAXIFS(Token!$B:$B,Token!$A:$A,$K887)&gt;0.01),$L887/86400+DATE(1970,1,1)+$G$6,)</f>
        <v/>
      </c>
      <c r="B887" s="27" t="str">
        <f t="shared" si="1"/>
        <v/>
      </c>
      <c r="C887" s="14" t="str">
        <f>IF($A887&lt;&gt;"",MINIFS(Merchant!$A:$A,Merchant!$B:$B,$G$2),)</f>
        <v/>
      </c>
      <c r="D887" s="14" t="str">
        <f t="shared" si="2"/>
        <v/>
      </c>
      <c r="E887" s="14" t="str">
        <f t="shared" si="3"/>
        <v/>
      </c>
      <c r="F887" s="7" t="str">
        <f>IF($A887&lt;&gt;"",MAXIFS(Token!$B:$B,Token!$A:$A,$D887),)</f>
        <v/>
      </c>
    </row>
    <row r="888">
      <c r="A888" s="39" t="str">
        <f>IF(AND($L888*1&gt;=$G$3,$L888*1&lt;=$G$4,$I888*$J888&gt;0,OR($I888&lt;&gt;$I889,$L888-$L889&gt;25),$I888/POW(10,$J888)*MAXIFS(Token!$B:$B,Token!$A:$A,$K888)&gt;0.01),$L888/86400+DATE(1970,1,1)+$G$6,)</f>
        <v/>
      </c>
      <c r="B888" s="27" t="str">
        <f t="shared" si="1"/>
        <v/>
      </c>
      <c r="C888" s="14" t="str">
        <f>IF($A888&lt;&gt;"",MINIFS(Merchant!$A:$A,Merchant!$B:$B,$G$2),)</f>
        <v/>
      </c>
      <c r="D888" s="14" t="str">
        <f t="shared" si="2"/>
        <v/>
      </c>
      <c r="E888" s="14" t="str">
        <f t="shared" si="3"/>
        <v/>
      </c>
      <c r="F888" s="7" t="str">
        <f>IF($A888&lt;&gt;"",MAXIFS(Token!$B:$B,Token!$A:$A,$D888),)</f>
        <v/>
      </c>
    </row>
    <row r="889">
      <c r="A889" s="39" t="str">
        <f>IF(AND($L889*1&gt;=$G$3,$L889*1&lt;=$G$4,$I889*$J889&gt;0,OR($I889&lt;&gt;$I890,$L889-$L890&gt;25),$I889/POW(10,$J889)*MAXIFS(Token!$B:$B,Token!$A:$A,$K889)&gt;0.01),$L889/86400+DATE(1970,1,1)+$G$6,)</f>
        <v/>
      </c>
      <c r="B889" s="27" t="str">
        <f t="shared" si="1"/>
        <v/>
      </c>
      <c r="C889" s="14" t="str">
        <f>IF($A889&lt;&gt;"",MINIFS(Merchant!$A:$A,Merchant!$B:$B,$G$2),)</f>
        <v/>
      </c>
      <c r="D889" s="14" t="str">
        <f t="shared" si="2"/>
        <v/>
      </c>
      <c r="E889" s="14" t="str">
        <f t="shared" si="3"/>
        <v/>
      </c>
      <c r="F889" s="7" t="str">
        <f>IF($A889&lt;&gt;"",MAXIFS(Token!$B:$B,Token!$A:$A,$D889),)</f>
        <v/>
      </c>
    </row>
    <row r="890">
      <c r="A890" s="39" t="str">
        <f>IF(AND($L890*1&gt;=$G$3,$L890*1&lt;=$G$4,$I890*$J890&gt;0,OR($I890&lt;&gt;$I891,$L890-$L891&gt;25),$I890/POW(10,$J890)*MAXIFS(Token!$B:$B,Token!$A:$A,$K890)&gt;0.01),$L890/86400+DATE(1970,1,1)+$G$6,)</f>
        <v/>
      </c>
      <c r="B890" s="27" t="str">
        <f t="shared" si="1"/>
        <v/>
      </c>
      <c r="C890" s="14" t="str">
        <f>IF($A890&lt;&gt;"",MINIFS(Merchant!$A:$A,Merchant!$B:$B,$G$2),)</f>
        <v/>
      </c>
      <c r="D890" s="14" t="str">
        <f t="shared" si="2"/>
        <v/>
      </c>
      <c r="E890" s="14" t="str">
        <f t="shared" si="3"/>
        <v/>
      </c>
      <c r="F890" s="7" t="str">
        <f>IF($A890&lt;&gt;"",MAXIFS(Token!$B:$B,Token!$A:$A,$D890),)</f>
        <v/>
      </c>
    </row>
    <row r="891">
      <c r="A891" s="39" t="str">
        <f>IF(AND($L891*1&gt;=$G$3,$L891*1&lt;=$G$4,$I891*$J891&gt;0,OR($I891&lt;&gt;$I892,$L891-$L892&gt;25),$I891/POW(10,$J891)*MAXIFS(Token!$B:$B,Token!$A:$A,$K891)&gt;0.01),$L891/86400+DATE(1970,1,1)+$G$6,)</f>
        <v/>
      </c>
      <c r="B891" s="27" t="str">
        <f t="shared" si="1"/>
        <v/>
      </c>
      <c r="C891" s="14" t="str">
        <f>IF($A891&lt;&gt;"",MINIFS(Merchant!$A:$A,Merchant!$B:$B,$G$2),)</f>
        <v/>
      </c>
      <c r="D891" s="14" t="str">
        <f t="shared" si="2"/>
        <v/>
      </c>
      <c r="E891" s="14" t="str">
        <f t="shared" si="3"/>
        <v/>
      </c>
      <c r="F891" s="7" t="str">
        <f>IF($A891&lt;&gt;"",MAXIFS(Token!$B:$B,Token!$A:$A,$D891),)</f>
        <v/>
      </c>
    </row>
    <row r="892">
      <c r="A892" s="39" t="str">
        <f>IF(AND($L892*1&gt;=$G$3,$L892*1&lt;=$G$4,$I892*$J892&gt;0,OR($I892&lt;&gt;$I893,$L892-$L893&gt;25),$I892/POW(10,$J892)*MAXIFS(Token!$B:$B,Token!$A:$A,$K892)&gt;0.01),$L892/86400+DATE(1970,1,1)+$G$6,)</f>
        <v/>
      </c>
      <c r="B892" s="27" t="str">
        <f t="shared" si="1"/>
        <v/>
      </c>
      <c r="C892" s="14" t="str">
        <f>IF($A892&lt;&gt;"",MINIFS(Merchant!$A:$A,Merchant!$B:$B,$G$2),)</f>
        <v/>
      </c>
      <c r="D892" s="14" t="str">
        <f t="shared" si="2"/>
        <v/>
      </c>
      <c r="E892" s="14" t="str">
        <f t="shared" si="3"/>
        <v/>
      </c>
      <c r="F892" s="7" t="str">
        <f>IF($A892&lt;&gt;"",MAXIFS(Token!$B:$B,Token!$A:$A,$D892),)</f>
        <v/>
      </c>
    </row>
    <row r="893">
      <c r="A893" s="39" t="str">
        <f>IF(AND($L893*1&gt;=$G$3,$L893*1&lt;=$G$4,$I893*$J893&gt;0,OR($I893&lt;&gt;$I894,$L893-$L894&gt;25),$I893/POW(10,$J893)*MAXIFS(Token!$B:$B,Token!$A:$A,$K893)&gt;0.01),$L893/86400+DATE(1970,1,1)+$G$6,)</f>
        <v/>
      </c>
      <c r="B893" s="27" t="str">
        <f t="shared" si="1"/>
        <v/>
      </c>
      <c r="C893" s="14" t="str">
        <f>IF($A893&lt;&gt;"",MINIFS(Merchant!$A:$A,Merchant!$B:$B,$G$2),)</f>
        <v/>
      </c>
      <c r="D893" s="14" t="str">
        <f t="shared" si="2"/>
        <v/>
      </c>
      <c r="E893" s="14" t="str">
        <f t="shared" si="3"/>
        <v/>
      </c>
      <c r="F893" s="7" t="str">
        <f>IF($A893&lt;&gt;"",MAXIFS(Token!$B:$B,Token!$A:$A,$D893),)</f>
        <v/>
      </c>
    </row>
    <row r="894">
      <c r="A894" s="39" t="str">
        <f>IF(AND($L894*1&gt;=$G$3,$L894*1&lt;=$G$4,$I894*$J894&gt;0,OR($I894&lt;&gt;$I895,$L894-$L895&gt;25),$I894/POW(10,$J894)*MAXIFS(Token!$B:$B,Token!$A:$A,$K894)&gt;0.01),$L894/86400+DATE(1970,1,1)+$G$6,)</f>
        <v/>
      </c>
      <c r="B894" s="27" t="str">
        <f t="shared" si="1"/>
        <v/>
      </c>
      <c r="C894" s="14" t="str">
        <f>IF($A894&lt;&gt;"",MINIFS(Merchant!$A:$A,Merchant!$B:$B,$G$2),)</f>
        <v/>
      </c>
      <c r="D894" s="14" t="str">
        <f t="shared" si="2"/>
        <v/>
      </c>
      <c r="E894" s="14" t="str">
        <f t="shared" si="3"/>
        <v/>
      </c>
      <c r="F894" s="7" t="str">
        <f>IF($A894&lt;&gt;"",MAXIFS(Token!$B:$B,Token!$A:$A,$D894),)</f>
        <v/>
      </c>
    </row>
    <row r="895">
      <c r="A895" s="39" t="str">
        <f>IF(AND($L895*1&gt;=$G$3,$L895*1&lt;=$G$4,$I895*$J895&gt;0,OR($I895&lt;&gt;$I896,$L895-$L896&gt;25),$I895/POW(10,$J895)*MAXIFS(Token!$B:$B,Token!$A:$A,$K895)&gt;0.01),$L895/86400+DATE(1970,1,1)+$G$6,)</f>
        <v/>
      </c>
      <c r="B895" s="27" t="str">
        <f t="shared" si="1"/>
        <v/>
      </c>
      <c r="C895" s="14" t="str">
        <f>IF($A895&lt;&gt;"",MINIFS(Merchant!$A:$A,Merchant!$B:$B,$G$2),)</f>
        <v/>
      </c>
      <c r="D895" s="14" t="str">
        <f t="shared" si="2"/>
        <v/>
      </c>
      <c r="E895" s="14" t="str">
        <f t="shared" si="3"/>
        <v/>
      </c>
      <c r="F895" s="7" t="str">
        <f>IF($A895&lt;&gt;"",MAXIFS(Token!$B:$B,Token!$A:$A,$D895),)</f>
        <v/>
      </c>
    </row>
    <row r="896">
      <c r="A896" s="39" t="str">
        <f>IF(AND($L896*1&gt;=$G$3,$L896*1&lt;=$G$4,$I896*$J896&gt;0,OR($I896&lt;&gt;$I897,$L896-$L897&gt;25),$I896/POW(10,$J896)*MAXIFS(Token!$B:$B,Token!$A:$A,$K896)&gt;0.01),$L896/86400+DATE(1970,1,1)+$G$6,)</f>
        <v/>
      </c>
      <c r="B896" s="27" t="str">
        <f t="shared" si="1"/>
        <v/>
      </c>
      <c r="C896" s="14" t="str">
        <f>IF($A896&lt;&gt;"",MINIFS(Merchant!$A:$A,Merchant!$B:$B,$G$2),)</f>
        <v/>
      </c>
      <c r="D896" s="14" t="str">
        <f t="shared" si="2"/>
        <v/>
      </c>
      <c r="E896" s="14" t="str">
        <f t="shared" si="3"/>
        <v/>
      </c>
      <c r="F896" s="7" t="str">
        <f>IF($A896&lt;&gt;"",MAXIFS(Token!$B:$B,Token!$A:$A,$D896),)</f>
        <v/>
      </c>
    </row>
    <row r="897">
      <c r="A897" s="39" t="str">
        <f>IF(AND($L897*1&gt;=$G$3,$L897*1&lt;=$G$4,$I897*$J897&gt;0,OR($I897&lt;&gt;$I898,$L897-$L898&gt;25),$I897/POW(10,$J897)*MAXIFS(Token!$B:$B,Token!$A:$A,$K897)&gt;0.01),$L897/86400+DATE(1970,1,1)+$G$6,)</f>
        <v/>
      </c>
      <c r="B897" s="27" t="str">
        <f t="shared" si="1"/>
        <v/>
      </c>
      <c r="C897" s="14" t="str">
        <f>IF($A897&lt;&gt;"",MINIFS(Merchant!$A:$A,Merchant!$B:$B,$G$2),)</f>
        <v/>
      </c>
      <c r="D897" s="14" t="str">
        <f t="shared" si="2"/>
        <v/>
      </c>
      <c r="E897" s="14" t="str">
        <f t="shared" si="3"/>
        <v/>
      </c>
      <c r="F897" s="7" t="str">
        <f>IF($A897&lt;&gt;"",MAXIFS(Token!$B:$B,Token!$A:$A,$D897),)</f>
        <v/>
      </c>
    </row>
    <row r="898">
      <c r="A898" s="39" t="str">
        <f>IF(AND($L898*1&gt;=$G$3,$L898*1&lt;=$G$4,$I898*$J898&gt;0,OR($I898&lt;&gt;$I899,$L898-$L899&gt;25),$I898/POW(10,$J898)*MAXIFS(Token!$B:$B,Token!$A:$A,$K898)&gt;0.01),$L898/86400+DATE(1970,1,1)+$G$6,)</f>
        <v/>
      </c>
      <c r="B898" s="27" t="str">
        <f t="shared" si="1"/>
        <v/>
      </c>
      <c r="C898" s="14" t="str">
        <f>IF($A898&lt;&gt;"",MINIFS(Merchant!$A:$A,Merchant!$B:$B,$G$2),)</f>
        <v/>
      </c>
      <c r="D898" s="14" t="str">
        <f t="shared" si="2"/>
        <v/>
      </c>
      <c r="E898" s="14" t="str">
        <f t="shared" si="3"/>
        <v/>
      </c>
      <c r="F898" s="7" t="str">
        <f>IF($A898&lt;&gt;"",MAXIFS(Token!$B:$B,Token!$A:$A,$D898),)</f>
        <v/>
      </c>
    </row>
    <row r="899">
      <c r="A899" s="39" t="str">
        <f>IF(AND($L899*1&gt;=$G$3,$L899*1&lt;=$G$4,$I899*$J899&gt;0,OR($I899&lt;&gt;$I900,$L899-$L900&gt;25),$I899/POW(10,$J899)*MAXIFS(Token!$B:$B,Token!$A:$A,$K899)&gt;0.01),$L899/86400+DATE(1970,1,1)+$G$6,)</f>
        <v/>
      </c>
      <c r="B899" s="27" t="str">
        <f t="shared" si="1"/>
        <v/>
      </c>
      <c r="C899" s="14" t="str">
        <f>IF($A899&lt;&gt;"",MINIFS(Merchant!$A:$A,Merchant!$B:$B,$G$2),)</f>
        <v/>
      </c>
      <c r="D899" s="14" t="str">
        <f t="shared" si="2"/>
        <v/>
      </c>
      <c r="E899" s="14" t="str">
        <f t="shared" si="3"/>
        <v/>
      </c>
      <c r="F899" s="7" t="str">
        <f>IF($A899&lt;&gt;"",MAXIFS(Token!$B:$B,Token!$A:$A,$D899),)</f>
        <v/>
      </c>
    </row>
    <row r="900">
      <c r="A900" s="39" t="str">
        <f>IF(AND($L900*1&gt;=$G$3,$L900*1&lt;=$G$4,$I900*$J900&gt;0,OR($I900&lt;&gt;$I901,$L900-$L901&gt;25),$I900/POW(10,$J900)*MAXIFS(Token!$B:$B,Token!$A:$A,$K900)&gt;0.01),$L900/86400+DATE(1970,1,1)+$G$6,)</f>
        <v/>
      </c>
      <c r="B900" s="27" t="str">
        <f t="shared" si="1"/>
        <v/>
      </c>
      <c r="C900" s="14" t="str">
        <f>IF($A900&lt;&gt;"",MINIFS(Merchant!$A:$A,Merchant!$B:$B,$G$2),)</f>
        <v/>
      </c>
      <c r="D900" s="14" t="str">
        <f t="shared" si="2"/>
        <v/>
      </c>
      <c r="E900" s="14" t="str">
        <f t="shared" si="3"/>
        <v/>
      </c>
      <c r="F900" s="7" t="str">
        <f>IF($A900&lt;&gt;"",MAXIFS(Token!$B:$B,Token!$A:$A,$D900),)</f>
        <v/>
      </c>
    </row>
    <row r="901">
      <c r="A901" s="39" t="str">
        <f>IF(AND($L901*1&gt;=$G$3,$L901*1&lt;=$G$4,$I901*$J901&gt;0,OR($I901&lt;&gt;$I902,$L901-$L902&gt;25),$I901/POW(10,$J901)*MAXIFS(Token!$B:$B,Token!$A:$A,$K901)&gt;0.01),$L901/86400+DATE(1970,1,1)+$G$6,)</f>
        <v/>
      </c>
      <c r="B901" s="27" t="str">
        <f t="shared" si="1"/>
        <v/>
      </c>
      <c r="C901" s="14" t="str">
        <f>IF($A901&lt;&gt;"",MINIFS(Merchant!$A:$A,Merchant!$B:$B,$G$2),)</f>
        <v/>
      </c>
      <c r="D901" s="14" t="str">
        <f t="shared" si="2"/>
        <v/>
      </c>
      <c r="E901" s="14" t="str">
        <f t="shared" si="3"/>
        <v/>
      </c>
      <c r="F901" s="7" t="str">
        <f>IF($A901&lt;&gt;"",MAXIFS(Token!$B:$B,Token!$A:$A,$D901),)</f>
        <v/>
      </c>
    </row>
    <row r="902">
      <c r="A902" s="39" t="str">
        <f>IF(AND($L902*1&gt;=$G$3,$L902*1&lt;=$G$4,$I902*$J902&gt;0,OR($I902&lt;&gt;$I903,$L902-$L903&gt;25),$I902/POW(10,$J902)*MAXIFS(Token!$B:$B,Token!$A:$A,$K902)&gt;0.01),$L902/86400+DATE(1970,1,1)+$G$6,)</f>
        <v/>
      </c>
      <c r="B902" s="27" t="str">
        <f t="shared" si="1"/>
        <v/>
      </c>
      <c r="C902" s="14" t="str">
        <f>IF($A902&lt;&gt;"",MINIFS(Merchant!$A:$A,Merchant!$B:$B,$G$2),)</f>
        <v/>
      </c>
      <c r="D902" s="14" t="str">
        <f t="shared" si="2"/>
        <v/>
      </c>
      <c r="E902" s="14" t="str">
        <f t="shared" si="3"/>
        <v/>
      </c>
      <c r="F902" s="7" t="str">
        <f>IF($A902&lt;&gt;"",MAXIFS(Token!$B:$B,Token!$A:$A,$D902),)</f>
        <v/>
      </c>
    </row>
    <row r="903">
      <c r="A903" s="39" t="str">
        <f>IF(AND($L903*1&gt;=$G$3,$L903*1&lt;=$G$4,$I903*$J903&gt;0,OR($I903&lt;&gt;$I904,$L903-$L904&gt;25),$I903/POW(10,$J903)*MAXIFS(Token!$B:$B,Token!$A:$A,$K903)&gt;0.01),$L903/86400+DATE(1970,1,1)+$G$6,)</f>
        <v/>
      </c>
      <c r="B903" s="27" t="str">
        <f t="shared" si="1"/>
        <v/>
      </c>
      <c r="C903" s="14" t="str">
        <f>IF($A903&lt;&gt;"",MINIFS(Merchant!$A:$A,Merchant!$B:$B,$G$2),)</f>
        <v/>
      </c>
      <c r="D903" s="14" t="str">
        <f t="shared" si="2"/>
        <v/>
      </c>
      <c r="E903" s="14" t="str">
        <f t="shared" si="3"/>
        <v/>
      </c>
      <c r="F903" s="7" t="str">
        <f>IF($A903&lt;&gt;"",MAXIFS(Token!$B:$B,Token!$A:$A,$D903),)</f>
        <v/>
      </c>
    </row>
    <row r="904">
      <c r="A904" s="39" t="str">
        <f>IF(AND($L904*1&gt;=$G$3,$L904*1&lt;=$G$4,$I904*$J904&gt;0,OR($I904&lt;&gt;$I905,$L904-$L905&gt;25),$I904/POW(10,$J904)*MAXIFS(Token!$B:$B,Token!$A:$A,$K904)&gt;0.01),$L904/86400+DATE(1970,1,1)+$G$6,)</f>
        <v/>
      </c>
      <c r="B904" s="27" t="str">
        <f t="shared" si="1"/>
        <v/>
      </c>
      <c r="C904" s="14" t="str">
        <f>IF($A904&lt;&gt;"",MINIFS(Merchant!$A:$A,Merchant!$B:$B,$G$2),)</f>
        <v/>
      </c>
      <c r="D904" s="14" t="str">
        <f t="shared" si="2"/>
        <v/>
      </c>
      <c r="E904" s="14" t="str">
        <f t="shared" si="3"/>
        <v/>
      </c>
      <c r="F904" s="7" t="str">
        <f>IF($A904&lt;&gt;"",MAXIFS(Token!$B:$B,Token!$A:$A,$D904),)</f>
        <v/>
      </c>
    </row>
    <row r="905">
      <c r="A905" s="39" t="str">
        <f>IF(AND($L905*1&gt;=$G$3,$L905*1&lt;=$G$4,$I905*$J905&gt;0,OR($I905&lt;&gt;$I906,$L905-$L906&gt;25),$I905/POW(10,$J905)*MAXIFS(Token!$B:$B,Token!$A:$A,$K905)&gt;0.01),$L905/86400+DATE(1970,1,1)+$G$6,)</f>
        <v/>
      </c>
      <c r="B905" s="27" t="str">
        <f t="shared" si="1"/>
        <v/>
      </c>
      <c r="C905" s="14" t="str">
        <f>IF($A905&lt;&gt;"",MINIFS(Merchant!$A:$A,Merchant!$B:$B,$G$2),)</f>
        <v/>
      </c>
      <c r="D905" s="14" t="str">
        <f t="shared" si="2"/>
        <v/>
      </c>
      <c r="E905" s="14" t="str">
        <f t="shared" si="3"/>
        <v/>
      </c>
      <c r="F905" s="7" t="str">
        <f>IF($A905&lt;&gt;"",MAXIFS(Token!$B:$B,Token!$A:$A,$D905),)</f>
        <v/>
      </c>
    </row>
    <row r="906">
      <c r="A906" s="39" t="str">
        <f>IF(AND($L906*1&gt;=$G$3,$L906*1&lt;=$G$4,$I906*$J906&gt;0,OR($I906&lt;&gt;$I907,$L906-$L907&gt;25),$I906/POW(10,$J906)*MAXIFS(Token!$B:$B,Token!$A:$A,$K906)&gt;0.01),$L906/86400+DATE(1970,1,1)+$G$6,)</f>
        <v/>
      </c>
      <c r="B906" s="27" t="str">
        <f t="shared" si="1"/>
        <v/>
      </c>
      <c r="C906" s="14" t="str">
        <f>IF($A906&lt;&gt;"",MINIFS(Merchant!$A:$A,Merchant!$B:$B,$G$2),)</f>
        <v/>
      </c>
      <c r="D906" s="14" t="str">
        <f t="shared" si="2"/>
        <v/>
      </c>
      <c r="E906" s="14" t="str">
        <f t="shared" si="3"/>
        <v/>
      </c>
      <c r="F906" s="7" t="str">
        <f>IF($A906&lt;&gt;"",MAXIFS(Token!$B:$B,Token!$A:$A,$D906),)</f>
        <v/>
      </c>
    </row>
    <row r="907">
      <c r="A907" s="39" t="str">
        <f>IF(AND($L907*1&gt;=$G$3,$L907*1&lt;=$G$4,$I907*$J907&gt;0,OR($I907&lt;&gt;$I908,$L907-$L908&gt;25),$I907/POW(10,$J907)*MAXIFS(Token!$B:$B,Token!$A:$A,$K907)&gt;0.01),$L907/86400+DATE(1970,1,1)+$G$6,)</f>
        <v/>
      </c>
      <c r="B907" s="27" t="str">
        <f t="shared" si="1"/>
        <v/>
      </c>
      <c r="C907" s="14" t="str">
        <f>IF($A907&lt;&gt;"",MINIFS(Merchant!$A:$A,Merchant!$B:$B,$G$2),)</f>
        <v/>
      </c>
      <c r="D907" s="14" t="str">
        <f t="shared" si="2"/>
        <v/>
      </c>
      <c r="E907" s="14" t="str">
        <f t="shared" si="3"/>
        <v/>
      </c>
      <c r="F907" s="7" t="str">
        <f>IF($A907&lt;&gt;"",MAXIFS(Token!$B:$B,Token!$A:$A,$D907),)</f>
        <v/>
      </c>
    </row>
    <row r="908">
      <c r="A908" s="39" t="str">
        <f>IF(AND($L908*1&gt;=$G$3,$L908*1&lt;=$G$4,$I908*$J908&gt;0,OR($I908&lt;&gt;$I909,$L908-$L909&gt;25),$I908/POW(10,$J908)*MAXIFS(Token!$B:$B,Token!$A:$A,$K908)&gt;0.01),$L908/86400+DATE(1970,1,1)+$G$6,)</f>
        <v/>
      </c>
      <c r="B908" s="27" t="str">
        <f t="shared" si="1"/>
        <v/>
      </c>
      <c r="C908" s="14" t="str">
        <f>IF($A908&lt;&gt;"",MINIFS(Merchant!$A:$A,Merchant!$B:$B,$G$2),)</f>
        <v/>
      </c>
      <c r="D908" s="14" t="str">
        <f t="shared" si="2"/>
        <v/>
      </c>
      <c r="E908" s="14" t="str">
        <f t="shared" si="3"/>
        <v/>
      </c>
      <c r="F908" s="7" t="str">
        <f>IF($A908&lt;&gt;"",MAXIFS(Token!$B:$B,Token!$A:$A,$D908),)</f>
        <v/>
      </c>
    </row>
    <row r="909">
      <c r="A909" s="39" t="str">
        <f>IF(AND($L909*1&gt;=$G$3,$L909*1&lt;=$G$4,$I909*$J909&gt;0,OR($I909&lt;&gt;$I910,$L909-$L910&gt;25),$I909/POW(10,$J909)*MAXIFS(Token!$B:$B,Token!$A:$A,$K909)&gt;0.01),$L909/86400+DATE(1970,1,1)+$G$6,)</f>
        <v/>
      </c>
      <c r="B909" s="27" t="str">
        <f t="shared" si="1"/>
        <v/>
      </c>
      <c r="C909" s="14" t="str">
        <f>IF($A909&lt;&gt;"",MINIFS(Merchant!$A:$A,Merchant!$B:$B,$G$2),)</f>
        <v/>
      </c>
      <c r="D909" s="14" t="str">
        <f t="shared" si="2"/>
        <v/>
      </c>
      <c r="E909" s="14" t="str">
        <f t="shared" si="3"/>
        <v/>
      </c>
      <c r="F909" s="7" t="str">
        <f>IF($A909&lt;&gt;"",MAXIFS(Token!$B:$B,Token!$A:$A,$D909),)</f>
        <v/>
      </c>
    </row>
    <row r="910">
      <c r="A910" s="39" t="str">
        <f>IF(AND($L910*1&gt;=$G$3,$L910*1&lt;=$G$4,$I910*$J910&gt;0,OR($I910&lt;&gt;$I911,$L910-$L911&gt;25),$I910/POW(10,$J910)*MAXIFS(Token!$B:$B,Token!$A:$A,$K910)&gt;0.01),$L910/86400+DATE(1970,1,1)+$G$6,)</f>
        <v/>
      </c>
      <c r="B910" s="27" t="str">
        <f t="shared" si="1"/>
        <v/>
      </c>
      <c r="C910" s="14" t="str">
        <f>IF($A910&lt;&gt;"",MINIFS(Merchant!$A:$A,Merchant!$B:$B,$G$2),)</f>
        <v/>
      </c>
      <c r="D910" s="14" t="str">
        <f t="shared" si="2"/>
        <v/>
      </c>
      <c r="E910" s="14" t="str">
        <f t="shared" si="3"/>
        <v/>
      </c>
      <c r="F910" s="7" t="str">
        <f>IF($A910&lt;&gt;"",MAXIFS(Token!$B:$B,Token!$A:$A,$D910),)</f>
        <v/>
      </c>
    </row>
    <row r="911">
      <c r="A911" s="39" t="str">
        <f>IF(AND($L911*1&gt;=$G$3,$L911*1&lt;=$G$4,$I911*$J911&gt;0,OR($I911&lt;&gt;$I912,$L911-$L912&gt;25),$I911/POW(10,$J911)*MAXIFS(Token!$B:$B,Token!$A:$A,$K911)&gt;0.01),$L911/86400+DATE(1970,1,1)+$G$6,)</f>
        <v/>
      </c>
      <c r="B911" s="27" t="str">
        <f t="shared" si="1"/>
        <v/>
      </c>
      <c r="C911" s="14" t="str">
        <f>IF($A911&lt;&gt;"",MINIFS(Merchant!$A:$A,Merchant!$B:$B,$G$2),)</f>
        <v/>
      </c>
      <c r="D911" s="14" t="str">
        <f t="shared" si="2"/>
        <v/>
      </c>
      <c r="E911" s="14" t="str">
        <f t="shared" si="3"/>
        <v/>
      </c>
      <c r="F911" s="7" t="str">
        <f>IF($A911&lt;&gt;"",MAXIFS(Token!$B:$B,Token!$A:$A,$D911),)</f>
        <v/>
      </c>
    </row>
    <row r="912">
      <c r="A912" s="39" t="str">
        <f>IF(AND($L912*1&gt;=$G$3,$L912*1&lt;=$G$4,$I912*$J912&gt;0,OR($I912&lt;&gt;$I913,$L912-$L913&gt;25),$I912/POW(10,$J912)*MAXIFS(Token!$B:$B,Token!$A:$A,$K912)&gt;0.01),$L912/86400+DATE(1970,1,1)+$G$6,)</f>
        <v/>
      </c>
      <c r="B912" s="27" t="str">
        <f t="shared" si="1"/>
        <v/>
      </c>
      <c r="C912" s="14" t="str">
        <f>IF($A912&lt;&gt;"",MINIFS(Merchant!$A:$A,Merchant!$B:$B,$G$2),)</f>
        <v/>
      </c>
      <c r="D912" s="14" t="str">
        <f t="shared" si="2"/>
        <v/>
      </c>
      <c r="E912" s="14" t="str">
        <f t="shared" si="3"/>
        <v/>
      </c>
      <c r="F912" s="7" t="str">
        <f>IF($A912&lt;&gt;"",MAXIFS(Token!$B:$B,Token!$A:$A,$D912),)</f>
        <v/>
      </c>
    </row>
    <row r="913">
      <c r="A913" s="39" t="str">
        <f>IF(AND($L913*1&gt;=$G$3,$L913*1&lt;=$G$4,$I913*$J913&gt;0,OR($I913&lt;&gt;$I914,$L913-$L914&gt;25),$I913/POW(10,$J913)*MAXIFS(Token!$B:$B,Token!$A:$A,$K913)&gt;0.01),$L913/86400+DATE(1970,1,1)+$G$6,)</f>
        <v/>
      </c>
      <c r="B913" s="27" t="str">
        <f t="shared" si="1"/>
        <v/>
      </c>
      <c r="C913" s="14" t="str">
        <f>IF($A913&lt;&gt;"",MINIFS(Merchant!$A:$A,Merchant!$B:$B,$G$2),)</f>
        <v/>
      </c>
      <c r="D913" s="14" t="str">
        <f t="shared" si="2"/>
        <v/>
      </c>
      <c r="E913" s="14" t="str">
        <f t="shared" si="3"/>
        <v/>
      </c>
      <c r="F913" s="7" t="str">
        <f>IF($A913&lt;&gt;"",MAXIFS(Token!$B:$B,Token!$A:$A,$D913),)</f>
        <v/>
      </c>
    </row>
    <row r="914">
      <c r="A914" s="39" t="str">
        <f>IF(AND($L914*1&gt;=$G$3,$L914*1&lt;=$G$4,$I914*$J914&gt;0,OR($I914&lt;&gt;$I915,$L914-$L915&gt;25),$I914/POW(10,$J914)*MAXIFS(Token!$B:$B,Token!$A:$A,$K914)&gt;0.01),$L914/86400+DATE(1970,1,1)+$G$6,)</f>
        <v/>
      </c>
      <c r="B914" s="27" t="str">
        <f t="shared" si="1"/>
        <v/>
      </c>
      <c r="C914" s="14" t="str">
        <f>IF($A914&lt;&gt;"",MINIFS(Merchant!$A:$A,Merchant!$B:$B,$G$2),)</f>
        <v/>
      </c>
      <c r="D914" s="14" t="str">
        <f t="shared" si="2"/>
        <v/>
      </c>
      <c r="E914" s="14" t="str">
        <f t="shared" si="3"/>
        <v/>
      </c>
      <c r="F914" s="7" t="str">
        <f>IF($A914&lt;&gt;"",MAXIFS(Token!$B:$B,Token!$A:$A,$D914),)</f>
        <v/>
      </c>
    </row>
    <row r="915">
      <c r="A915" s="39" t="str">
        <f>IF(AND($L915*1&gt;=$G$3,$L915*1&lt;=$G$4,$I915*$J915&gt;0,OR($I915&lt;&gt;$I916,$L915-$L916&gt;25),$I915/POW(10,$J915)*MAXIFS(Token!$B:$B,Token!$A:$A,$K915)&gt;0.01),$L915/86400+DATE(1970,1,1)+$G$6,)</f>
        <v/>
      </c>
      <c r="B915" s="27" t="str">
        <f t="shared" si="1"/>
        <v/>
      </c>
      <c r="C915" s="14" t="str">
        <f>IF($A915&lt;&gt;"",MINIFS(Merchant!$A:$A,Merchant!$B:$B,$G$2),)</f>
        <v/>
      </c>
      <c r="D915" s="14" t="str">
        <f t="shared" si="2"/>
        <v/>
      </c>
      <c r="E915" s="14" t="str">
        <f t="shared" si="3"/>
        <v/>
      </c>
      <c r="F915" s="7" t="str">
        <f>IF($A915&lt;&gt;"",MAXIFS(Token!$B:$B,Token!$A:$A,$D915),)</f>
        <v/>
      </c>
    </row>
    <row r="916">
      <c r="A916" s="39" t="str">
        <f>IF(AND($L916*1&gt;=$G$3,$L916*1&lt;=$G$4,$I916*$J916&gt;0,OR($I916&lt;&gt;$I917,$L916-$L917&gt;25),$I916/POW(10,$J916)*MAXIFS(Token!$B:$B,Token!$A:$A,$K916)&gt;0.01),$L916/86400+DATE(1970,1,1)+$G$6,)</f>
        <v/>
      </c>
      <c r="B916" s="27" t="str">
        <f t="shared" si="1"/>
        <v/>
      </c>
      <c r="C916" s="14" t="str">
        <f>IF($A916&lt;&gt;"",MINIFS(Merchant!$A:$A,Merchant!$B:$B,$G$2),)</f>
        <v/>
      </c>
      <c r="D916" s="14" t="str">
        <f t="shared" si="2"/>
        <v/>
      </c>
      <c r="E916" s="14" t="str">
        <f t="shared" si="3"/>
        <v/>
      </c>
      <c r="F916" s="7" t="str">
        <f>IF($A916&lt;&gt;"",MAXIFS(Token!$B:$B,Token!$A:$A,$D916),)</f>
        <v/>
      </c>
    </row>
    <row r="917">
      <c r="A917" s="39" t="str">
        <f>IF(AND($L917*1&gt;=$G$3,$L917*1&lt;=$G$4,$I917*$J917&gt;0,OR($I917&lt;&gt;$I918,$L917-$L918&gt;25),$I917/POW(10,$J917)*MAXIFS(Token!$B:$B,Token!$A:$A,$K917)&gt;0.01),$L917/86400+DATE(1970,1,1)+$G$6,)</f>
        <v/>
      </c>
      <c r="B917" s="27" t="str">
        <f t="shared" si="1"/>
        <v/>
      </c>
      <c r="C917" s="14" t="str">
        <f>IF($A917&lt;&gt;"",MINIFS(Merchant!$A:$A,Merchant!$B:$B,$G$2),)</f>
        <v/>
      </c>
      <c r="D917" s="14" t="str">
        <f t="shared" si="2"/>
        <v/>
      </c>
      <c r="E917" s="14" t="str">
        <f t="shared" si="3"/>
        <v/>
      </c>
      <c r="F917" s="7" t="str">
        <f>IF($A917&lt;&gt;"",MAXIFS(Token!$B:$B,Token!$A:$A,$D917),)</f>
        <v/>
      </c>
    </row>
    <row r="918">
      <c r="A918" s="39" t="str">
        <f>IF(AND($L918*1&gt;=$G$3,$L918*1&lt;=$G$4,$I918*$J918&gt;0,OR($I918&lt;&gt;$I919,$L918-$L919&gt;25),$I918/POW(10,$J918)*MAXIFS(Token!$B:$B,Token!$A:$A,$K918)&gt;0.01),$L918/86400+DATE(1970,1,1)+$G$6,)</f>
        <v/>
      </c>
      <c r="B918" s="27" t="str">
        <f t="shared" si="1"/>
        <v/>
      </c>
      <c r="C918" s="14" t="str">
        <f>IF($A918&lt;&gt;"",MINIFS(Merchant!$A:$A,Merchant!$B:$B,$G$2),)</f>
        <v/>
      </c>
      <c r="D918" s="14" t="str">
        <f t="shared" si="2"/>
        <v/>
      </c>
      <c r="E918" s="14" t="str">
        <f t="shared" si="3"/>
        <v/>
      </c>
      <c r="F918" s="7" t="str">
        <f>IF($A918&lt;&gt;"",MAXIFS(Token!$B:$B,Token!$A:$A,$D918),)</f>
        <v/>
      </c>
    </row>
    <row r="919">
      <c r="A919" s="39" t="str">
        <f>IF(AND($L919*1&gt;=$G$3,$L919*1&lt;=$G$4,$I919*$J919&gt;0,OR($I919&lt;&gt;$I920,$L919-$L920&gt;25),$I919/POW(10,$J919)*MAXIFS(Token!$B:$B,Token!$A:$A,$K919)&gt;0.01),$L919/86400+DATE(1970,1,1)+$G$6,)</f>
        <v/>
      </c>
      <c r="B919" s="27" t="str">
        <f t="shared" si="1"/>
        <v/>
      </c>
      <c r="C919" s="14" t="str">
        <f>IF($A919&lt;&gt;"",MINIFS(Merchant!$A:$A,Merchant!$B:$B,$G$2),)</f>
        <v/>
      </c>
      <c r="D919" s="14" t="str">
        <f t="shared" si="2"/>
        <v/>
      </c>
      <c r="E919" s="14" t="str">
        <f t="shared" si="3"/>
        <v/>
      </c>
      <c r="F919" s="7" t="str">
        <f>IF($A919&lt;&gt;"",MAXIFS(Token!$B:$B,Token!$A:$A,$D919),)</f>
        <v/>
      </c>
    </row>
    <row r="920">
      <c r="A920" s="39" t="str">
        <f>IF(AND($L920*1&gt;=$G$3,$L920*1&lt;=$G$4,$I920*$J920&gt;0,OR($I920&lt;&gt;$I921,$L920-$L921&gt;25),$I920/POW(10,$J920)*MAXIFS(Token!$B:$B,Token!$A:$A,$K920)&gt;0.01),$L920/86400+DATE(1970,1,1)+$G$6,)</f>
        <v/>
      </c>
      <c r="B920" s="27" t="str">
        <f t="shared" si="1"/>
        <v/>
      </c>
      <c r="C920" s="14" t="str">
        <f>IF($A920&lt;&gt;"",MINIFS(Merchant!$A:$A,Merchant!$B:$B,$G$2),)</f>
        <v/>
      </c>
      <c r="D920" s="14" t="str">
        <f t="shared" si="2"/>
        <v/>
      </c>
      <c r="E920" s="14" t="str">
        <f t="shared" si="3"/>
        <v/>
      </c>
      <c r="F920" s="7" t="str">
        <f>IF($A920&lt;&gt;"",MAXIFS(Token!$B:$B,Token!$A:$A,$D920),)</f>
        <v/>
      </c>
    </row>
    <row r="921">
      <c r="A921" s="39" t="str">
        <f>IF(AND($L921*1&gt;=$G$3,$L921*1&lt;=$G$4,$I921*$J921&gt;0,OR($I921&lt;&gt;$I922,$L921-$L922&gt;25),$I921/POW(10,$J921)*MAXIFS(Token!$B:$B,Token!$A:$A,$K921)&gt;0.01),$L921/86400+DATE(1970,1,1)+$G$6,)</f>
        <v/>
      </c>
      <c r="B921" s="27" t="str">
        <f t="shared" si="1"/>
        <v/>
      </c>
      <c r="C921" s="14" t="str">
        <f>IF($A921&lt;&gt;"",MINIFS(Merchant!$A:$A,Merchant!$B:$B,$G$2),)</f>
        <v/>
      </c>
      <c r="D921" s="14" t="str">
        <f t="shared" si="2"/>
        <v/>
      </c>
      <c r="E921" s="14" t="str">
        <f t="shared" si="3"/>
        <v/>
      </c>
      <c r="F921" s="7" t="str">
        <f>IF($A921&lt;&gt;"",MAXIFS(Token!$B:$B,Token!$A:$A,$D921),)</f>
        <v/>
      </c>
    </row>
    <row r="922">
      <c r="A922" s="39" t="str">
        <f>IF(AND($L922*1&gt;=$G$3,$L922*1&lt;=$G$4,$I922*$J922&gt;0,OR($I922&lt;&gt;$I923,$L922-$L923&gt;25),$I922/POW(10,$J922)*MAXIFS(Token!$B:$B,Token!$A:$A,$K922)&gt;0.01),$L922/86400+DATE(1970,1,1)+$G$6,)</f>
        <v/>
      </c>
      <c r="B922" s="27" t="str">
        <f t="shared" si="1"/>
        <v/>
      </c>
      <c r="C922" s="14" t="str">
        <f>IF($A922&lt;&gt;"",MINIFS(Merchant!$A:$A,Merchant!$B:$B,$G$2),)</f>
        <v/>
      </c>
      <c r="D922" s="14" t="str">
        <f t="shared" si="2"/>
        <v/>
      </c>
      <c r="E922" s="14" t="str">
        <f t="shared" si="3"/>
        <v/>
      </c>
      <c r="F922" s="7" t="str">
        <f>IF($A922&lt;&gt;"",MAXIFS(Token!$B:$B,Token!$A:$A,$D922),)</f>
        <v/>
      </c>
    </row>
    <row r="923">
      <c r="A923" s="39" t="str">
        <f>IF(AND($L923*1&gt;=$G$3,$L923*1&lt;=$G$4,$I923*$J923&gt;0,OR($I923&lt;&gt;$I924,$L923-$L924&gt;25),$I923/POW(10,$J923)*MAXIFS(Token!$B:$B,Token!$A:$A,$K923)&gt;0.01),$L923/86400+DATE(1970,1,1)+$G$6,)</f>
        <v/>
      </c>
      <c r="B923" s="27" t="str">
        <f t="shared" si="1"/>
        <v/>
      </c>
      <c r="C923" s="14" t="str">
        <f>IF($A923&lt;&gt;"",MINIFS(Merchant!$A:$A,Merchant!$B:$B,$G$2),)</f>
        <v/>
      </c>
      <c r="D923" s="14" t="str">
        <f t="shared" si="2"/>
        <v/>
      </c>
      <c r="E923" s="14" t="str">
        <f t="shared" si="3"/>
        <v/>
      </c>
      <c r="F923" s="7" t="str">
        <f>IF($A923&lt;&gt;"",MAXIFS(Token!$B:$B,Token!$A:$A,$D923),)</f>
        <v/>
      </c>
    </row>
    <row r="924">
      <c r="A924" s="39" t="str">
        <f>IF(AND($L924*1&gt;=$G$3,$L924*1&lt;=$G$4,$I924*$J924&gt;0,OR($I924&lt;&gt;$I925,$L924-$L925&gt;25),$I924/POW(10,$J924)*MAXIFS(Token!$B:$B,Token!$A:$A,$K924)&gt;0.01),$L924/86400+DATE(1970,1,1)+$G$6,)</f>
        <v/>
      </c>
      <c r="B924" s="27" t="str">
        <f t="shared" si="1"/>
        <v/>
      </c>
      <c r="C924" s="14" t="str">
        <f>IF($A924&lt;&gt;"",MINIFS(Merchant!$A:$A,Merchant!$B:$B,$G$2),)</f>
        <v/>
      </c>
      <c r="D924" s="14" t="str">
        <f t="shared" si="2"/>
        <v/>
      </c>
      <c r="E924" s="14" t="str">
        <f t="shared" si="3"/>
        <v/>
      </c>
      <c r="F924" s="7" t="str">
        <f>IF($A924&lt;&gt;"",MAXIFS(Token!$B:$B,Token!$A:$A,$D924),)</f>
        <v/>
      </c>
    </row>
    <row r="925">
      <c r="A925" s="39" t="str">
        <f>IF(AND($L925*1&gt;=$G$3,$L925*1&lt;=$G$4,$I925*$J925&gt;0,OR($I925&lt;&gt;$I926,$L925-$L926&gt;25),$I925/POW(10,$J925)*MAXIFS(Token!$B:$B,Token!$A:$A,$K925)&gt;0.01),$L925/86400+DATE(1970,1,1)+$G$6,)</f>
        <v/>
      </c>
      <c r="B925" s="27" t="str">
        <f t="shared" si="1"/>
        <v/>
      </c>
      <c r="C925" s="14" t="str">
        <f>IF($A925&lt;&gt;"",MINIFS(Merchant!$A:$A,Merchant!$B:$B,$G$2),)</f>
        <v/>
      </c>
      <c r="D925" s="14" t="str">
        <f t="shared" si="2"/>
        <v/>
      </c>
      <c r="E925" s="14" t="str">
        <f t="shared" si="3"/>
        <v/>
      </c>
      <c r="F925" s="7" t="str">
        <f>IF($A925&lt;&gt;"",MAXIFS(Token!$B:$B,Token!$A:$A,$D925),)</f>
        <v/>
      </c>
    </row>
    <row r="926">
      <c r="A926" s="39" t="str">
        <f>IF(AND($L926*1&gt;=$G$3,$L926*1&lt;=$G$4,$I926*$J926&gt;0,OR($I926&lt;&gt;$I927,$L926-$L927&gt;25),$I926/POW(10,$J926)*MAXIFS(Token!$B:$B,Token!$A:$A,$K926)&gt;0.01),$L926/86400+DATE(1970,1,1)+$G$6,)</f>
        <v/>
      </c>
      <c r="B926" s="27" t="str">
        <f t="shared" si="1"/>
        <v/>
      </c>
      <c r="C926" s="14" t="str">
        <f>IF($A926&lt;&gt;"",MINIFS(Merchant!$A:$A,Merchant!$B:$B,$G$2),)</f>
        <v/>
      </c>
      <c r="D926" s="14" t="str">
        <f t="shared" si="2"/>
        <v/>
      </c>
      <c r="E926" s="14" t="str">
        <f t="shared" si="3"/>
        <v/>
      </c>
      <c r="F926" s="7" t="str">
        <f>IF($A926&lt;&gt;"",MAXIFS(Token!$B:$B,Token!$A:$A,$D926),)</f>
        <v/>
      </c>
    </row>
    <row r="927">
      <c r="A927" s="39" t="str">
        <f>IF(AND($L927*1&gt;=$G$3,$L927*1&lt;=$G$4,$I927*$J927&gt;0,OR($I927&lt;&gt;$I928,$L927-$L928&gt;25),$I927/POW(10,$J927)*MAXIFS(Token!$B:$B,Token!$A:$A,$K927)&gt;0.01),$L927/86400+DATE(1970,1,1)+$G$6,)</f>
        <v/>
      </c>
      <c r="B927" s="27" t="str">
        <f t="shared" si="1"/>
        <v/>
      </c>
      <c r="C927" s="14" t="str">
        <f>IF($A927&lt;&gt;"",MINIFS(Merchant!$A:$A,Merchant!$B:$B,$G$2),)</f>
        <v/>
      </c>
      <c r="D927" s="14" t="str">
        <f t="shared" si="2"/>
        <v/>
      </c>
      <c r="E927" s="14" t="str">
        <f t="shared" si="3"/>
        <v/>
      </c>
      <c r="F927" s="7" t="str">
        <f>IF($A927&lt;&gt;"",MAXIFS(Token!$B:$B,Token!$A:$A,$D927),)</f>
        <v/>
      </c>
    </row>
    <row r="928">
      <c r="A928" s="39" t="str">
        <f>IF(AND($L928*1&gt;=$G$3,$L928*1&lt;=$G$4,$I928*$J928&gt;0,OR($I928&lt;&gt;$I929,$L928-$L929&gt;25),$I928/POW(10,$J928)*MAXIFS(Token!$B:$B,Token!$A:$A,$K928)&gt;0.01),$L928/86400+DATE(1970,1,1)+$G$6,)</f>
        <v/>
      </c>
      <c r="B928" s="27" t="str">
        <f t="shared" si="1"/>
        <v/>
      </c>
      <c r="C928" s="14" t="str">
        <f>IF($A928&lt;&gt;"",MINIFS(Merchant!$A:$A,Merchant!$B:$B,$G$2),)</f>
        <v/>
      </c>
      <c r="D928" s="14" t="str">
        <f t="shared" si="2"/>
        <v/>
      </c>
      <c r="E928" s="14" t="str">
        <f t="shared" si="3"/>
        <v/>
      </c>
      <c r="F928" s="7" t="str">
        <f>IF($A928&lt;&gt;"",MAXIFS(Token!$B:$B,Token!$A:$A,$D928),)</f>
        <v/>
      </c>
    </row>
    <row r="929">
      <c r="A929" s="39" t="str">
        <f>IF(AND($L929*1&gt;=$G$3,$L929*1&lt;=$G$4,$I929*$J929&gt;0,OR($I929&lt;&gt;$I930,$L929-$L930&gt;25),$I929/POW(10,$J929)*MAXIFS(Token!$B:$B,Token!$A:$A,$K929)&gt;0.01),$L929/86400+DATE(1970,1,1)+$G$6,)</f>
        <v/>
      </c>
      <c r="B929" s="27" t="str">
        <f t="shared" si="1"/>
        <v/>
      </c>
      <c r="C929" s="14" t="str">
        <f>IF($A929&lt;&gt;"",MINIFS(Merchant!$A:$A,Merchant!$B:$B,$G$2),)</f>
        <v/>
      </c>
      <c r="D929" s="14" t="str">
        <f t="shared" si="2"/>
        <v/>
      </c>
      <c r="E929" s="14" t="str">
        <f t="shared" si="3"/>
        <v/>
      </c>
      <c r="F929" s="7" t="str">
        <f>IF($A929&lt;&gt;"",MAXIFS(Token!$B:$B,Token!$A:$A,$D929),)</f>
        <v/>
      </c>
    </row>
    <row r="930">
      <c r="A930" s="39" t="str">
        <f>IF(AND($L930*1&gt;=$G$3,$L930*1&lt;=$G$4,$I930*$J930&gt;0,OR($I930&lt;&gt;$I931,$L930-$L931&gt;25),$I930/POW(10,$J930)*MAXIFS(Token!$B:$B,Token!$A:$A,$K930)&gt;0.01),$L930/86400+DATE(1970,1,1)+$G$6,)</f>
        <v/>
      </c>
      <c r="B930" s="27" t="str">
        <f t="shared" si="1"/>
        <v/>
      </c>
      <c r="C930" s="14" t="str">
        <f>IF($A930&lt;&gt;"",MINIFS(Merchant!$A:$A,Merchant!$B:$B,$G$2),)</f>
        <v/>
      </c>
      <c r="D930" s="14" t="str">
        <f t="shared" si="2"/>
        <v/>
      </c>
      <c r="E930" s="14" t="str">
        <f t="shared" si="3"/>
        <v/>
      </c>
      <c r="F930" s="7" t="str">
        <f>IF($A930&lt;&gt;"",MAXIFS(Token!$B:$B,Token!$A:$A,$D930),)</f>
        <v/>
      </c>
    </row>
    <row r="931">
      <c r="A931" s="39" t="str">
        <f>IF(AND($L931*1&gt;=$G$3,$L931*1&lt;=$G$4,$I931*$J931&gt;0,OR($I931&lt;&gt;$I932,$L931-$L932&gt;25),$I931/POW(10,$J931)*MAXIFS(Token!$B:$B,Token!$A:$A,$K931)&gt;0.01),$L931/86400+DATE(1970,1,1)+$G$6,)</f>
        <v/>
      </c>
      <c r="B931" s="27" t="str">
        <f t="shared" si="1"/>
        <v/>
      </c>
      <c r="C931" s="14" t="str">
        <f>IF($A931&lt;&gt;"",MINIFS(Merchant!$A:$A,Merchant!$B:$B,$G$2),)</f>
        <v/>
      </c>
      <c r="D931" s="14" t="str">
        <f t="shared" si="2"/>
        <v/>
      </c>
      <c r="E931" s="14" t="str">
        <f t="shared" si="3"/>
        <v/>
      </c>
      <c r="F931" s="7" t="str">
        <f>IF($A931&lt;&gt;"",MAXIFS(Token!$B:$B,Token!$A:$A,$D931),)</f>
        <v/>
      </c>
    </row>
    <row r="932">
      <c r="A932" s="39" t="str">
        <f>IF(AND($L932*1&gt;=$G$3,$L932*1&lt;=$G$4,$I932*$J932&gt;0,OR($I932&lt;&gt;$I933,$L932-$L933&gt;25),$I932/POW(10,$J932)*MAXIFS(Token!$B:$B,Token!$A:$A,$K932)&gt;0.01),$L932/86400+DATE(1970,1,1)+$G$6,)</f>
        <v/>
      </c>
      <c r="B932" s="27" t="str">
        <f t="shared" si="1"/>
        <v/>
      </c>
      <c r="C932" s="14" t="str">
        <f>IF($A932&lt;&gt;"",MINIFS(Merchant!$A:$A,Merchant!$B:$B,$G$2),)</f>
        <v/>
      </c>
      <c r="D932" s="14" t="str">
        <f t="shared" si="2"/>
        <v/>
      </c>
      <c r="E932" s="14" t="str">
        <f t="shared" si="3"/>
        <v/>
      </c>
      <c r="F932" s="7" t="str">
        <f>IF($A932&lt;&gt;"",MAXIFS(Token!$B:$B,Token!$A:$A,$D932),)</f>
        <v/>
      </c>
    </row>
    <row r="933">
      <c r="A933" s="39" t="str">
        <f>IF(AND($L933*1&gt;=$G$3,$L933*1&lt;=$G$4,$I933*$J933&gt;0,OR($I933&lt;&gt;$I934,$L933-$L934&gt;25),$I933/POW(10,$J933)*MAXIFS(Token!$B:$B,Token!$A:$A,$K933)&gt;0.01),$L933/86400+DATE(1970,1,1)+$G$6,)</f>
        <v/>
      </c>
      <c r="B933" s="27" t="str">
        <f t="shared" si="1"/>
        <v/>
      </c>
      <c r="C933" s="14" t="str">
        <f>IF($A933&lt;&gt;"",MINIFS(Merchant!$A:$A,Merchant!$B:$B,$G$2),)</f>
        <v/>
      </c>
      <c r="D933" s="14" t="str">
        <f t="shared" si="2"/>
        <v/>
      </c>
      <c r="E933" s="14" t="str">
        <f t="shared" si="3"/>
        <v/>
      </c>
      <c r="F933" s="7" t="str">
        <f>IF($A933&lt;&gt;"",MAXIFS(Token!$B:$B,Token!$A:$A,$D933),)</f>
        <v/>
      </c>
    </row>
    <row r="934">
      <c r="A934" s="39" t="str">
        <f>IF(AND($L934*1&gt;=$G$3,$L934*1&lt;=$G$4,$I934*$J934&gt;0,OR($I934&lt;&gt;$I935,$L934-$L935&gt;25),$I934/POW(10,$J934)*MAXIFS(Token!$B:$B,Token!$A:$A,$K934)&gt;0.01),$L934/86400+DATE(1970,1,1)+$G$6,)</f>
        <v/>
      </c>
      <c r="B934" s="27" t="str">
        <f t="shared" si="1"/>
        <v/>
      </c>
      <c r="C934" s="14" t="str">
        <f>IF($A934&lt;&gt;"",MINIFS(Merchant!$A:$A,Merchant!$B:$B,$G$2),)</f>
        <v/>
      </c>
      <c r="D934" s="14" t="str">
        <f t="shared" si="2"/>
        <v/>
      </c>
      <c r="E934" s="14" t="str">
        <f t="shared" si="3"/>
        <v/>
      </c>
      <c r="F934" s="7" t="str">
        <f>IF($A934&lt;&gt;"",MAXIFS(Token!$B:$B,Token!$A:$A,$D934),)</f>
        <v/>
      </c>
    </row>
    <row r="935">
      <c r="A935" s="39" t="str">
        <f>IF(AND($L935*1&gt;=$G$3,$L935*1&lt;=$G$4,$I935*$J935&gt;0,OR($I935&lt;&gt;$I936,$L935-$L936&gt;25),$I935/POW(10,$J935)*MAXIFS(Token!$B:$B,Token!$A:$A,$K935)&gt;0.01),$L935/86400+DATE(1970,1,1)+$G$6,)</f>
        <v/>
      </c>
      <c r="B935" s="27" t="str">
        <f t="shared" si="1"/>
        <v/>
      </c>
      <c r="C935" s="14" t="str">
        <f>IF($A935&lt;&gt;"",MINIFS(Merchant!$A:$A,Merchant!$B:$B,$G$2),)</f>
        <v/>
      </c>
      <c r="D935" s="14" t="str">
        <f t="shared" si="2"/>
        <v/>
      </c>
      <c r="E935" s="14" t="str">
        <f t="shared" si="3"/>
        <v/>
      </c>
      <c r="F935" s="7" t="str">
        <f>IF($A935&lt;&gt;"",MAXIFS(Token!$B:$B,Token!$A:$A,$D935),)</f>
        <v/>
      </c>
    </row>
    <row r="936">
      <c r="A936" s="39" t="str">
        <f>IF(AND($L936*1&gt;=$G$3,$L936*1&lt;=$G$4,$I936*$J936&gt;0,OR($I936&lt;&gt;$I937,$L936-$L937&gt;25),$I936/POW(10,$J936)*MAXIFS(Token!$B:$B,Token!$A:$A,$K936)&gt;0.01),$L936/86400+DATE(1970,1,1)+$G$6,)</f>
        <v/>
      </c>
      <c r="B936" s="27" t="str">
        <f t="shared" si="1"/>
        <v/>
      </c>
      <c r="C936" s="14" t="str">
        <f>IF($A936&lt;&gt;"",MINIFS(Merchant!$A:$A,Merchant!$B:$B,$G$2),)</f>
        <v/>
      </c>
      <c r="D936" s="14" t="str">
        <f t="shared" si="2"/>
        <v/>
      </c>
      <c r="E936" s="14" t="str">
        <f t="shared" si="3"/>
        <v/>
      </c>
      <c r="F936" s="7" t="str">
        <f>IF($A936&lt;&gt;"",MAXIFS(Token!$B:$B,Token!$A:$A,$D936),)</f>
        <v/>
      </c>
    </row>
    <row r="937">
      <c r="A937" s="39" t="str">
        <f>IF(AND($L937*1&gt;=$G$3,$L937*1&lt;=$G$4,$I937*$J937&gt;0,OR($I937&lt;&gt;$I938,$L937-$L938&gt;25),$I937/POW(10,$J937)*MAXIFS(Token!$B:$B,Token!$A:$A,$K937)&gt;0.01),$L937/86400+DATE(1970,1,1)+$G$6,)</f>
        <v/>
      </c>
      <c r="B937" s="27" t="str">
        <f t="shared" si="1"/>
        <v/>
      </c>
      <c r="C937" s="14" t="str">
        <f>IF($A937&lt;&gt;"",MINIFS(Merchant!$A:$A,Merchant!$B:$B,$G$2),)</f>
        <v/>
      </c>
      <c r="D937" s="14" t="str">
        <f t="shared" si="2"/>
        <v/>
      </c>
      <c r="E937" s="14" t="str">
        <f t="shared" si="3"/>
        <v/>
      </c>
      <c r="F937" s="7" t="str">
        <f>IF($A937&lt;&gt;"",MAXIFS(Token!$B:$B,Token!$A:$A,$D937),)</f>
        <v/>
      </c>
    </row>
    <row r="938">
      <c r="A938" s="39" t="str">
        <f>IF(AND($L938*1&gt;=$G$3,$L938*1&lt;=$G$4,$I938*$J938&gt;0,OR($I938&lt;&gt;$I939,$L938-$L939&gt;25),$I938/POW(10,$J938)*MAXIFS(Token!$B:$B,Token!$A:$A,$K938)&gt;0.01),$L938/86400+DATE(1970,1,1)+$G$6,)</f>
        <v/>
      </c>
      <c r="B938" s="27" t="str">
        <f t="shared" si="1"/>
        <v/>
      </c>
      <c r="C938" s="14" t="str">
        <f>IF($A938&lt;&gt;"",MINIFS(Merchant!$A:$A,Merchant!$B:$B,$G$2),)</f>
        <v/>
      </c>
      <c r="D938" s="14" t="str">
        <f t="shared" si="2"/>
        <v/>
      </c>
      <c r="E938" s="14" t="str">
        <f t="shared" si="3"/>
        <v/>
      </c>
      <c r="F938" s="7" t="str">
        <f>IF($A938&lt;&gt;"",MAXIFS(Token!$B:$B,Token!$A:$A,$D938),)</f>
        <v/>
      </c>
    </row>
    <row r="939">
      <c r="A939" s="39" t="str">
        <f>IF(AND($L939*1&gt;=$G$3,$L939*1&lt;=$G$4,$I939*$J939&gt;0,OR($I939&lt;&gt;$I940,$L939-$L940&gt;25),$I939/POW(10,$J939)*MAXIFS(Token!$B:$B,Token!$A:$A,$K939)&gt;0.01),$L939/86400+DATE(1970,1,1)+$G$6,)</f>
        <v/>
      </c>
      <c r="B939" s="27" t="str">
        <f t="shared" si="1"/>
        <v/>
      </c>
      <c r="C939" s="14" t="str">
        <f>IF($A939&lt;&gt;"",MINIFS(Merchant!$A:$A,Merchant!$B:$B,$G$2),)</f>
        <v/>
      </c>
      <c r="D939" s="14" t="str">
        <f t="shared" si="2"/>
        <v/>
      </c>
      <c r="E939" s="14" t="str">
        <f t="shared" si="3"/>
        <v/>
      </c>
      <c r="F939" s="7" t="str">
        <f>IF($A939&lt;&gt;"",MAXIFS(Token!$B:$B,Token!$A:$A,$D939),)</f>
        <v/>
      </c>
    </row>
    <row r="940">
      <c r="A940" s="39" t="str">
        <f>IF(AND($L940*1&gt;=$G$3,$L940*1&lt;=$G$4,$I940*$J940&gt;0,OR($I940&lt;&gt;$I941,$L940-$L941&gt;25),$I940/POW(10,$J940)*MAXIFS(Token!$B:$B,Token!$A:$A,$K940)&gt;0.01),$L940/86400+DATE(1970,1,1)+$G$6,)</f>
        <v/>
      </c>
      <c r="B940" s="27" t="str">
        <f t="shared" si="1"/>
        <v/>
      </c>
      <c r="C940" s="14" t="str">
        <f>IF($A940&lt;&gt;"",MINIFS(Merchant!$A:$A,Merchant!$B:$B,$G$2),)</f>
        <v/>
      </c>
      <c r="D940" s="14" t="str">
        <f t="shared" si="2"/>
        <v/>
      </c>
      <c r="E940" s="14" t="str">
        <f t="shared" si="3"/>
        <v/>
      </c>
      <c r="F940" s="7" t="str">
        <f>IF($A940&lt;&gt;"",MAXIFS(Token!$B:$B,Token!$A:$A,$D940),)</f>
        <v/>
      </c>
    </row>
    <row r="941">
      <c r="A941" s="39" t="str">
        <f>IF(AND($L941*1&gt;=$G$3,$L941*1&lt;=$G$4,$I941*$J941&gt;0,OR($I941&lt;&gt;$I942,$L941-$L942&gt;25),$I941/POW(10,$J941)*MAXIFS(Token!$B:$B,Token!$A:$A,$K941)&gt;0.01),$L941/86400+DATE(1970,1,1)+$G$6,)</f>
        <v/>
      </c>
      <c r="B941" s="27" t="str">
        <f t="shared" si="1"/>
        <v/>
      </c>
      <c r="C941" s="14" t="str">
        <f>IF($A941&lt;&gt;"",MINIFS(Merchant!$A:$A,Merchant!$B:$B,$G$2),)</f>
        <v/>
      </c>
      <c r="D941" s="14" t="str">
        <f t="shared" si="2"/>
        <v/>
      </c>
      <c r="E941" s="14" t="str">
        <f t="shared" si="3"/>
        <v/>
      </c>
      <c r="F941" s="7" t="str">
        <f>IF($A941&lt;&gt;"",MAXIFS(Token!$B:$B,Token!$A:$A,$D941),)</f>
        <v/>
      </c>
    </row>
    <row r="942">
      <c r="A942" s="39" t="str">
        <f>IF(AND($L942*1&gt;=$G$3,$L942*1&lt;=$G$4,$I942*$J942&gt;0,OR($I942&lt;&gt;$I943,$L942-$L943&gt;25),$I942/POW(10,$J942)*MAXIFS(Token!$B:$B,Token!$A:$A,$K942)&gt;0.01),$L942/86400+DATE(1970,1,1)+$G$6,)</f>
        <v/>
      </c>
      <c r="B942" s="27" t="str">
        <f t="shared" si="1"/>
        <v/>
      </c>
      <c r="C942" s="14" t="str">
        <f>IF($A942&lt;&gt;"",MINIFS(Merchant!$A:$A,Merchant!$B:$B,$G$2),)</f>
        <v/>
      </c>
      <c r="D942" s="14" t="str">
        <f t="shared" si="2"/>
        <v/>
      </c>
      <c r="E942" s="14" t="str">
        <f t="shared" si="3"/>
        <v/>
      </c>
      <c r="F942" s="7" t="str">
        <f>IF($A942&lt;&gt;"",MAXIFS(Token!$B:$B,Token!$A:$A,$D942),)</f>
        <v/>
      </c>
    </row>
    <row r="943">
      <c r="A943" s="39" t="str">
        <f>IF(AND($L943*1&gt;=$G$3,$L943*1&lt;=$G$4,$I943*$J943&gt;0,OR($I943&lt;&gt;$I944,$L943-$L944&gt;25),$I943/POW(10,$J943)*MAXIFS(Token!$B:$B,Token!$A:$A,$K943)&gt;0.01),$L943/86400+DATE(1970,1,1)+$G$6,)</f>
        <v/>
      </c>
      <c r="B943" s="27" t="str">
        <f t="shared" si="1"/>
        <v/>
      </c>
      <c r="C943" s="14" t="str">
        <f>IF($A943&lt;&gt;"",MINIFS(Merchant!$A:$A,Merchant!$B:$B,$G$2),)</f>
        <v/>
      </c>
      <c r="D943" s="14" t="str">
        <f t="shared" si="2"/>
        <v/>
      </c>
      <c r="E943" s="14" t="str">
        <f t="shared" si="3"/>
        <v/>
      </c>
      <c r="F943" s="7" t="str">
        <f>IF($A943&lt;&gt;"",MAXIFS(Token!$B:$B,Token!$A:$A,$D943),)</f>
        <v/>
      </c>
    </row>
    <row r="944">
      <c r="A944" s="39" t="str">
        <f>IF(AND($L944*1&gt;=$G$3,$L944*1&lt;=$G$4,$I944*$J944&gt;0,OR($I944&lt;&gt;$I945,$L944-$L945&gt;25),$I944/POW(10,$J944)*MAXIFS(Token!$B:$B,Token!$A:$A,$K944)&gt;0.01),$L944/86400+DATE(1970,1,1)+$G$6,)</f>
        <v/>
      </c>
      <c r="B944" s="27" t="str">
        <f t="shared" si="1"/>
        <v/>
      </c>
      <c r="C944" s="14" t="str">
        <f>IF($A944&lt;&gt;"",MINIFS(Merchant!$A:$A,Merchant!$B:$B,$G$2),)</f>
        <v/>
      </c>
      <c r="D944" s="14" t="str">
        <f t="shared" si="2"/>
        <v/>
      </c>
      <c r="E944" s="14" t="str">
        <f t="shared" si="3"/>
        <v/>
      </c>
      <c r="F944" s="7" t="str">
        <f>IF($A944&lt;&gt;"",MAXIFS(Token!$B:$B,Token!$A:$A,$D944),)</f>
        <v/>
      </c>
    </row>
    <row r="945">
      <c r="A945" s="39" t="str">
        <f>IF(AND($L945*1&gt;=$G$3,$L945*1&lt;=$G$4,$I945*$J945&gt;0,OR($I945&lt;&gt;$I946,$L945-$L946&gt;25),$I945/POW(10,$J945)*MAXIFS(Token!$B:$B,Token!$A:$A,$K945)&gt;0.01),$L945/86400+DATE(1970,1,1)+$G$6,)</f>
        <v/>
      </c>
      <c r="B945" s="27" t="str">
        <f t="shared" si="1"/>
        <v/>
      </c>
      <c r="C945" s="14" t="str">
        <f>IF($A945&lt;&gt;"",MINIFS(Merchant!$A:$A,Merchant!$B:$B,$G$2),)</f>
        <v/>
      </c>
      <c r="D945" s="14" t="str">
        <f t="shared" si="2"/>
        <v/>
      </c>
      <c r="E945" s="14" t="str">
        <f t="shared" si="3"/>
        <v/>
      </c>
      <c r="F945" s="7" t="str">
        <f>IF($A945&lt;&gt;"",MAXIFS(Token!$B:$B,Token!$A:$A,$D945),)</f>
        <v/>
      </c>
    </row>
    <row r="946">
      <c r="A946" s="39" t="str">
        <f>IF(AND($L946*1&gt;=$G$3,$L946*1&lt;=$G$4,$I946*$J946&gt;0,OR($I946&lt;&gt;$I947,$L946-$L947&gt;25),$I946/POW(10,$J946)*MAXIFS(Token!$B:$B,Token!$A:$A,$K946)&gt;0.01),$L946/86400+DATE(1970,1,1)+$G$6,)</f>
        <v/>
      </c>
      <c r="B946" s="27" t="str">
        <f t="shared" si="1"/>
        <v/>
      </c>
      <c r="C946" s="14" t="str">
        <f>IF($A946&lt;&gt;"",MINIFS(Merchant!$A:$A,Merchant!$B:$B,$G$2),)</f>
        <v/>
      </c>
      <c r="D946" s="14" t="str">
        <f t="shared" si="2"/>
        <v/>
      </c>
      <c r="E946" s="14" t="str">
        <f t="shared" si="3"/>
        <v/>
      </c>
      <c r="F946" s="7" t="str">
        <f>IF($A946&lt;&gt;"",MAXIFS(Token!$B:$B,Token!$A:$A,$D946),)</f>
        <v/>
      </c>
    </row>
    <row r="947">
      <c r="A947" s="39" t="str">
        <f>IF(AND($L947*1&gt;=$G$3,$L947*1&lt;=$G$4,$I947*$J947&gt;0,OR($I947&lt;&gt;$I948,$L947-$L948&gt;25),$I947/POW(10,$J947)*MAXIFS(Token!$B:$B,Token!$A:$A,$K947)&gt;0.01),$L947/86400+DATE(1970,1,1)+$G$6,)</f>
        <v/>
      </c>
      <c r="B947" s="27" t="str">
        <f t="shared" si="1"/>
        <v/>
      </c>
      <c r="C947" s="14" t="str">
        <f>IF($A947&lt;&gt;"",MINIFS(Merchant!$A:$A,Merchant!$B:$B,$G$2),)</f>
        <v/>
      </c>
      <c r="D947" s="14" t="str">
        <f t="shared" si="2"/>
        <v/>
      </c>
      <c r="E947" s="14" t="str">
        <f t="shared" si="3"/>
        <v/>
      </c>
      <c r="F947" s="7" t="str">
        <f>IF($A947&lt;&gt;"",MAXIFS(Token!$B:$B,Token!$A:$A,$D947),)</f>
        <v/>
      </c>
    </row>
    <row r="948">
      <c r="A948" s="39" t="str">
        <f>IF(AND($L948*1&gt;=$G$3,$L948*1&lt;=$G$4,$I948*$J948&gt;0,OR($I948&lt;&gt;$I949,$L948-$L949&gt;25),$I948/POW(10,$J948)*MAXIFS(Token!$B:$B,Token!$A:$A,$K948)&gt;0.01),$L948/86400+DATE(1970,1,1)+$G$6,)</f>
        <v/>
      </c>
      <c r="B948" s="27" t="str">
        <f t="shared" si="1"/>
        <v/>
      </c>
      <c r="C948" s="14" t="str">
        <f>IF($A948&lt;&gt;"",MINIFS(Merchant!$A:$A,Merchant!$B:$B,$G$2),)</f>
        <v/>
      </c>
      <c r="D948" s="14" t="str">
        <f t="shared" si="2"/>
        <v/>
      </c>
      <c r="E948" s="14" t="str">
        <f t="shared" si="3"/>
        <v/>
      </c>
      <c r="F948" s="7" t="str">
        <f>IF($A948&lt;&gt;"",MAXIFS(Token!$B:$B,Token!$A:$A,$D948),)</f>
        <v/>
      </c>
    </row>
    <row r="949">
      <c r="A949" s="39" t="str">
        <f>IF(AND($L949*1&gt;=$G$3,$L949*1&lt;=$G$4,$I949*$J949&gt;0,OR($I949&lt;&gt;$I950,$L949-$L950&gt;25),$I949/POW(10,$J949)*MAXIFS(Token!$B:$B,Token!$A:$A,$K949)&gt;0.01),$L949/86400+DATE(1970,1,1)+$G$6,)</f>
        <v/>
      </c>
      <c r="B949" s="27" t="str">
        <f t="shared" si="1"/>
        <v/>
      </c>
      <c r="C949" s="14" t="str">
        <f>IF($A949&lt;&gt;"",MINIFS(Merchant!$A:$A,Merchant!$B:$B,$G$2),)</f>
        <v/>
      </c>
      <c r="D949" s="14" t="str">
        <f t="shared" si="2"/>
        <v/>
      </c>
      <c r="E949" s="14" t="str">
        <f t="shared" si="3"/>
        <v/>
      </c>
      <c r="F949" s="7" t="str">
        <f>IF($A949&lt;&gt;"",MAXIFS(Token!$B:$B,Token!$A:$A,$D949),)</f>
        <v/>
      </c>
    </row>
    <row r="950">
      <c r="A950" s="39" t="str">
        <f>IF(AND($L950*1&gt;=$G$3,$L950*1&lt;=$G$4,$I950*$J950&gt;0,OR($I950&lt;&gt;$I951,$L950-$L951&gt;25),$I950/POW(10,$J950)*MAXIFS(Token!$B:$B,Token!$A:$A,$K950)&gt;0.01),$L950/86400+DATE(1970,1,1)+$G$6,)</f>
        <v/>
      </c>
      <c r="B950" s="27" t="str">
        <f t="shared" si="1"/>
        <v/>
      </c>
      <c r="C950" s="14" t="str">
        <f>IF($A950&lt;&gt;"",MINIFS(Merchant!$A:$A,Merchant!$B:$B,$G$2),)</f>
        <v/>
      </c>
      <c r="D950" s="14" t="str">
        <f t="shared" si="2"/>
        <v/>
      </c>
      <c r="E950" s="14" t="str">
        <f t="shared" si="3"/>
        <v/>
      </c>
      <c r="F950" s="7" t="str">
        <f>IF($A950&lt;&gt;"",MAXIFS(Token!$B:$B,Token!$A:$A,$D950),)</f>
        <v/>
      </c>
    </row>
    <row r="951">
      <c r="A951" s="39" t="str">
        <f>IF(AND($L951*1&gt;=$G$3,$L951*1&lt;=$G$4,$I951*$J951&gt;0,OR($I951&lt;&gt;$I952,$L951-$L952&gt;25),$I951/POW(10,$J951)*MAXIFS(Token!$B:$B,Token!$A:$A,$K951)&gt;0.01),$L951/86400+DATE(1970,1,1)+$G$6,)</f>
        <v/>
      </c>
      <c r="B951" s="27" t="str">
        <f t="shared" si="1"/>
        <v/>
      </c>
      <c r="C951" s="14" t="str">
        <f>IF($A951&lt;&gt;"",MINIFS(Merchant!$A:$A,Merchant!$B:$B,$G$2),)</f>
        <v/>
      </c>
      <c r="D951" s="14" t="str">
        <f t="shared" si="2"/>
        <v/>
      </c>
      <c r="E951" s="14" t="str">
        <f t="shared" si="3"/>
        <v/>
      </c>
      <c r="F951" s="7" t="str">
        <f>IF($A951&lt;&gt;"",MAXIFS(Token!$B:$B,Token!$A:$A,$D951),)</f>
        <v/>
      </c>
    </row>
    <row r="952">
      <c r="A952" s="39" t="str">
        <f>IF(AND($L952*1&gt;=$G$3,$L952*1&lt;=$G$4,$I952*$J952&gt;0,OR($I952&lt;&gt;$I953,$L952-$L953&gt;25),$I952/POW(10,$J952)*MAXIFS(Token!$B:$B,Token!$A:$A,$K952)&gt;0.01),$L952/86400+DATE(1970,1,1)+$G$6,)</f>
        <v/>
      </c>
      <c r="B952" s="27" t="str">
        <f t="shared" si="1"/>
        <v/>
      </c>
      <c r="C952" s="14" t="str">
        <f>IF($A952&lt;&gt;"",MINIFS(Merchant!$A:$A,Merchant!$B:$B,$G$2),)</f>
        <v/>
      </c>
      <c r="D952" s="14" t="str">
        <f t="shared" si="2"/>
        <v/>
      </c>
      <c r="E952" s="14" t="str">
        <f t="shared" si="3"/>
        <v/>
      </c>
      <c r="F952" s="7" t="str">
        <f>IF($A952&lt;&gt;"",MAXIFS(Token!$B:$B,Token!$A:$A,$D952),)</f>
        <v/>
      </c>
    </row>
    <row r="953">
      <c r="A953" s="39" t="str">
        <f>IF(AND($L953*1&gt;=$G$3,$L953*1&lt;=$G$4,$I953*$J953&gt;0,OR($I953&lt;&gt;$I954,$L953-$L954&gt;25),$I953/POW(10,$J953)*MAXIFS(Token!$B:$B,Token!$A:$A,$K953)&gt;0.01),$L953/86400+DATE(1970,1,1)+$G$6,)</f>
        <v/>
      </c>
      <c r="B953" s="27" t="str">
        <f t="shared" si="1"/>
        <v/>
      </c>
      <c r="C953" s="14" t="str">
        <f>IF($A953&lt;&gt;"",MINIFS(Merchant!$A:$A,Merchant!$B:$B,$G$2),)</f>
        <v/>
      </c>
      <c r="D953" s="14" t="str">
        <f t="shared" si="2"/>
        <v/>
      </c>
      <c r="E953" s="14" t="str">
        <f t="shared" si="3"/>
        <v/>
      </c>
      <c r="F953" s="7" t="str">
        <f>IF($A953&lt;&gt;"",MAXIFS(Token!$B:$B,Token!$A:$A,$D953),)</f>
        <v/>
      </c>
    </row>
    <row r="954">
      <c r="A954" s="39" t="str">
        <f>IF(AND($L954*1&gt;=$G$3,$L954*1&lt;=$G$4,$I954*$J954&gt;0,OR($I954&lt;&gt;$I955,$L954-$L955&gt;25),$I954/POW(10,$J954)*MAXIFS(Token!$B:$B,Token!$A:$A,$K954)&gt;0.01),$L954/86400+DATE(1970,1,1)+$G$6,)</f>
        <v/>
      </c>
      <c r="B954" s="27" t="str">
        <f t="shared" si="1"/>
        <v/>
      </c>
      <c r="C954" s="14" t="str">
        <f>IF($A954&lt;&gt;"",MINIFS(Merchant!$A:$A,Merchant!$B:$B,$G$2),)</f>
        <v/>
      </c>
      <c r="D954" s="14" t="str">
        <f t="shared" si="2"/>
        <v/>
      </c>
      <c r="E954" s="14" t="str">
        <f t="shared" si="3"/>
        <v/>
      </c>
      <c r="F954" s="7" t="str">
        <f>IF($A954&lt;&gt;"",MAXIFS(Token!$B:$B,Token!$A:$A,$D954),)</f>
        <v/>
      </c>
    </row>
    <row r="955">
      <c r="A955" s="39" t="str">
        <f>IF(AND($L955*1&gt;=$G$3,$L955*1&lt;=$G$4,$I955*$J955&gt;0,OR($I955&lt;&gt;$I956,$L955-$L956&gt;25),$I955/POW(10,$J955)*MAXIFS(Token!$B:$B,Token!$A:$A,$K955)&gt;0.01),$L955/86400+DATE(1970,1,1)+$G$6,)</f>
        <v/>
      </c>
      <c r="B955" s="27" t="str">
        <f t="shared" si="1"/>
        <v/>
      </c>
      <c r="C955" s="14" t="str">
        <f>IF($A955&lt;&gt;"",MINIFS(Merchant!$A:$A,Merchant!$B:$B,$G$2),)</f>
        <v/>
      </c>
      <c r="D955" s="14" t="str">
        <f t="shared" si="2"/>
        <v/>
      </c>
      <c r="E955" s="14" t="str">
        <f t="shared" si="3"/>
        <v/>
      </c>
      <c r="F955" s="7" t="str">
        <f>IF($A955&lt;&gt;"",MAXIFS(Token!$B:$B,Token!$A:$A,$D955),)</f>
        <v/>
      </c>
    </row>
    <row r="956">
      <c r="A956" s="39" t="str">
        <f>IF(AND($L956*1&gt;=$G$3,$L956*1&lt;=$G$4,$I956*$J956&gt;0,OR($I956&lt;&gt;$I957,$L956-$L957&gt;25),$I956/POW(10,$J956)*MAXIFS(Token!$B:$B,Token!$A:$A,$K956)&gt;0.01),$L956/86400+DATE(1970,1,1)+$G$6,)</f>
        <v/>
      </c>
      <c r="B956" s="27" t="str">
        <f t="shared" si="1"/>
        <v/>
      </c>
      <c r="C956" s="14" t="str">
        <f>IF($A956&lt;&gt;"",MINIFS(Merchant!$A:$A,Merchant!$B:$B,$G$2),)</f>
        <v/>
      </c>
      <c r="D956" s="14" t="str">
        <f t="shared" si="2"/>
        <v/>
      </c>
      <c r="E956" s="14" t="str">
        <f t="shared" si="3"/>
        <v/>
      </c>
      <c r="F956" s="7" t="str">
        <f>IF($A956&lt;&gt;"",MAXIFS(Token!$B:$B,Token!$A:$A,$D956),)</f>
        <v/>
      </c>
    </row>
    <row r="957">
      <c r="A957" s="39" t="str">
        <f>IF(AND($L957*1&gt;=$G$3,$L957*1&lt;=$G$4,$I957*$J957&gt;0,OR($I957&lt;&gt;$I958,$L957-$L958&gt;25),$I957/POW(10,$J957)*MAXIFS(Token!$B:$B,Token!$A:$A,$K957)&gt;0.01),$L957/86400+DATE(1970,1,1)+$G$6,)</f>
        <v/>
      </c>
      <c r="B957" s="27" t="str">
        <f t="shared" si="1"/>
        <v/>
      </c>
      <c r="C957" s="14" t="str">
        <f>IF($A957&lt;&gt;"",MINIFS(Merchant!$A:$A,Merchant!$B:$B,$G$2),)</f>
        <v/>
      </c>
      <c r="D957" s="14" t="str">
        <f t="shared" si="2"/>
        <v/>
      </c>
      <c r="E957" s="14" t="str">
        <f t="shared" si="3"/>
        <v/>
      </c>
      <c r="F957" s="7" t="str">
        <f>IF($A957&lt;&gt;"",MAXIFS(Token!$B:$B,Token!$A:$A,$D957),)</f>
        <v/>
      </c>
    </row>
    <row r="958">
      <c r="A958" s="39" t="str">
        <f>IF(AND($L958*1&gt;=$G$3,$L958*1&lt;=$G$4,$I958*$J958&gt;0,OR($I958&lt;&gt;$I959,$L958-$L959&gt;25),$I958/POW(10,$J958)*MAXIFS(Token!$B:$B,Token!$A:$A,$K958)&gt;0.01),$L958/86400+DATE(1970,1,1)+$G$6,)</f>
        <v/>
      </c>
      <c r="B958" s="27" t="str">
        <f t="shared" si="1"/>
        <v/>
      </c>
      <c r="C958" s="14" t="str">
        <f>IF($A958&lt;&gt;"",MINIFS(Merchant!$A:$A,Merchant!$B:$B,$G$2),)</f>
        <v/>
      </c>
      <c r="D958" s="14" t="str">
        <f t="shared" si="2"/>
        <v/>
      </c>
      <c r="E958" s="14" t="str">
        <f t="shared" si="3"/>
        <v/>
      </c>
      <c r="F958" s="7" t="str">
        <f>IF($A958&lt;&gt;"",MAXIFS(Token!$B:$B,Token!$A:$A,$D958),)</f>
        <v/>
      </c>
    </row>
    <row r="959">
      <c r="A959" s="39" t="str">
        <f>IF(AND($L959*1&gt;=$G$3,$L959*1&lt;=$G$4,$I959*$J959&gt;0,OR($I959&lt;&gt;$I960,$L959-$L960&gt;25),$I959/POW(10,$J959)*MAXIFS(Token!$B:$B,Token!$A:$A,$K959)&gt;0.01),$L959/86400+DATE(1970,1,1)+$G$6,)</f>
        <v/>
      </c>
      <c r="B959" s="27" t="str">
        <f t="shared" si="1"/>
        <v/>
      </c>
      <c r="C959" s="14" t="str">
        <f>IF($A959&lt;&gt;"",MINIFS(Merchant!$A:$A,Merchant!$B:$B,$G$2),)</f>
        <v/>
      </c>
      <c r="D959" s="14" t="str">
        <f t="shared" si="2"/>
        <v/>
      </c>
      <c r="E959" s="14" t="str">
        <f t="shared" si="3"/>
        <v/>
      </c>
      <c r="F959" s="7" t="str">
        <f>IF($A959&lt;&gt;"",MAXIFS(Token!$B:$B,Token!$A:$A,$D959),)</f>
        <v/>
      </c>
    </row>
    <row r="960">
      <c r="A960" s="39" t="str">
        <f>IF(AND($L960*1&gt;=$G$3,$L960*1&lt;=$G$4,$I960*$J960&gt;0,OR($I960&lt;&gt;$I961,$L960-$L961&gt;25),$I960/POW(10,$J960)*MAXIFS(Token!$B:$B,Token!$A:$A,$K960)&gt;0.01),$L960/86400+DATE(1970,1,1)+$G$6,)</f>
        <v/>
      </c>
      <c r="B960" s="27" t="str">
        <f t="shared" si="1"/>
        <v/>
      </c>
      <c r="C960" s="14" t="str">
        <f>IF($A960&lt;&gt;"",MINIFS(Merchant!$A:$A,Merchant!$B:$B,$G$2),)</f>
        <v/>
      </c>
      <c r="D960" s="14" t="str">
        <f t="shared" si="2"/>
        <v/>
      </c>
      <c r="E960" s="14" t="str">
        <f t="shared" si="3"/>
        <v/>
      </c>
      <c r="F960" s="7" t="str">
        <f>IF($A960&lt;&gt;"",MAXIFS(Token!$B:$B,Token!$A:$A,$D960),)</f>
        <v/>
      </c>
    </row>
    <row r="961">
      <c r="A961" s="39" t="str">
        <f>IF(AND($L961*1&gt;=$G$3,$L961*1&lt;=$G$4,$I961*$J961&gt;0,OR($I961&lt;&gt;$I962,$L961-$L962&gt;25),$I961/POW(10,$J961)*MAXIFS(Token!$B:$B,Token!$A:$A,$K961)&gt;0.01),$L961/86400+DATE(1970,1,1)+$G$6,)</f>
        <v/>
      </c>
      <c r="B961" s="27" t="str">
        <f t="shared" si="1"/>
        <v/>
      </c>
      <c r="C961" s="14" t="str">
        <f>IF($A961&lt;&gt;"",MINIFS(Merchant!$A:$A,Merchant!$B:$B,$G$2),)</f>
        <v/>
      </c>
      <c r="D961" s="14" t="str">
        <f t="shared" si="2"/>
        <v/>
      </c>
      <c r="E961" s="14" t="str">
        <f t="shared" si="3"/>
        <v/>
      </c>
      <c r="F961" s="7" t="str">
        <f>IF($A961&lt;&gt;"",MAXIFS(Token!$B:$B,Token!$A:$A,$D961),)</f>
        <v/>
      </c>
    </row>
    <row r="962">
      <c r="A962" s="39" t="str">
        <f>IF(AND($L962*1&gt;=$G$3,$L962*1&lt;=$G$4,$I962*$J962&gt;0,OR($I962&lt;&gt;$I963,$L962-$L963&gt;25),$I962/POW(10,$J962)*MAXIFS(Token!$B:$B,Token!$A:$A,$K962)&gt;0.01),$L962/86400+DATE(1970,1,1)+$G$6,)</f>
        <v/>
      </c>
      <c r="B962" s="27" t="str">
        <f t="shared" si="1"/>
        <v/>
      </c>
      <c r="C962" s="14" t="str">
        <f>IF($A962&lt;&gt;"",MINIFS(Merchant!$A:$A,Merchant!$B:$B,$G$2),)</f>
        <v/>
      </c>
      <c r="D962" s="14" t="str">
        <f t="shared" si="2"/>
        <v/>
      </c>
      <c r="E962" s="14" t="str">
        <f t="shared" si="3"/>
        <v/>
      </c>
      <c r="F962" s="7" t="str">
        <f>IF($A962&lt;&gt;"",MAXIFS(Token!$B:$B,Token!$A:$A,$D962),)</f>
        <v/>
      </c>
    </row>
    <row r="963">
      <c r="A963" s="39" t="str">
        <f>IF(AND($L963*1&gt;=$G$3,$L963*1&lt;=$G$4,$I963*$J963&gt;0,OR($I963&lt;&gt;$I964,$L963-$L964&gt;25),$I963/POW(10,$J963)*MAXIFS(Token!$B:$B,Token!$A:$A,$K963)&gt;0.01),$L963/86400+DATE(1970,1,1)+$G$6,)</f>
        <v/>
      </c>
      <c r="B963" s="27" t="str">
        <f t="shared" si="1"/>
        <v/>
      </c>
      <c r="C963" s="14" t="str">
        <f>IF($A963&lt;&gt;"",MINIFS(Merchant!$A:$A,Merchant!$B:$B,$G$2),)</f>
        <v/>
      </c>
      <c r="D963" s="14" t="str">
        <f t="shared" si="2"/>
        <v/>
      </c>
      <c r="E963" s="14" t="str">
        <f t="shared" si="3"/>
        <v/>
      </c>
      <c r="F963" s="7" t="str">
        <f>IF($A963&lt;&gt;"",MAXIFS(Token!$B:$B,Token!$A:$A,$D963),)</f>
        <v/>
      </c>
    </row>
    <row r="964">
      <c r="A964" s="39" t="str">
        <f>IF(AND($L964*1&gt;=$G$3,$L964*1&lt;=$G$4,$I964*$J964&gt;0,OR($I964&lt;&gt;$I965,$L964-$L965&gt;25),$I964/POW(10,$J964)*MAXIFS(Token!$B:$B,Token!$A:$A,$K964)&gt;0.01),$L964/86400+DATE(1970,1,1)+$G$6,)</f>
        <v/>
      </c>
      <c r="B964" s="27" t="str">
        <f t="shared" si="1"/>
        <v/>
      </c>
      <c r="C964" s="14" t="str">
        <f>IF($A964&lt;&gt;"",MINIFS(Merchant!$A:$A,Merchant!$B:$B,$G$2),)</f>
        <v/>
      </c>
      <c r="D964" s="14" t="str">
        <f t="shared" si="2"/>
        <v/>
      </c>
      <c r="E964" s="14" t="str">
        <f t="shared" si="3"/>
        <v/>
      </c>
      <c r="F964" s="7" t="str">
        <f>IF($A964&lt;&gt;"",MAXIFS(Token!$B:$B,Token!$A:$A,$D964),)</f>
        <v/>
      </c>
    </row>
    <row r="965">
      <c r="A965" s="39" t="str">
        <f>IF(AND($L965*1&gt;=$G$3,$L965*1&lt;=$G$4,$I965*$J965&gt;0,OR($I965&lt;&gt;$I966,$L965-$L966&gt;25),$I965/POW(10,$J965)*MAXIFS(Token!$B:$B,Token!$A:$A,$K965)&gt;0.01),$L965/86400+DATE(1970,1,1)+$G$6,)</f>
        <v/>
      </c>
      <c r="B965" s="27" t="str">
        <f t="shared" si="1"/>
        <v/>
      </c>
      <c r="C965" s="14" t="str">
        <f>IF($A965&lt;&gt;"",MINIFS(Merchant!$A:$A,Merchant!$B:$B,$G$2),)</f>
        <v/>
      </c>
      <c r="D965" s="14" t="str">
        <f t="shared" si="2"/>
        <v/>
      </c>
      <c r="E965" s="14" t="str">
        <f t="shared" si="3"/>
        <v/>
      </c>
      <c r="F965" s="7" t="str">
        <f>IF($A965&lt;&gt;"",MAXIFS(Token!$B:$B,Token!$A:$A,$D965),)</f>
        <v/>
      </c>
    </row>
    <row r="966">
      <c r="A966" s="39" t="str">
        <f>IF(AND($L966*1&gt;=$G$3,$L966*1&lt;=$G$4,$I966*$J966&gt;0,OR($I966&lt;&gt;$I967,$L966-$L967&gt;25),$I966/POW(10,$J966)*MAXIFS(Token!$B:$B,Token!$A:$A,$K966)&gt;0.01),$L966/86400+DATE(1970,1,1)+$G$6,)</f>
        <v/>
      </c>
      <c r="B966" s="27" t="str">
        <f t="shared" si="1"/>
        <v/>
      </c>
      <c r="C966" s="14" t="str">
        <f>IF($A966&lt;&gt;"",MINIFS(Merchant!$A:$A,Merchant!$B:$B,$G$2),)</f>
        <v/>
      </c>
      <c r="D966" s="14" t="str">
        <f t="shared" si="2"/>
        <v/>
      </c>
      <c r="E966" s="14" t="str">
        <f t="shared" si="3"/>
        <v/>
      </c>
      <c r="F966" s="7" t="str">
        <f>IF($A966&lt;&gt;"",MAXIFS(Token!$B:$B,Token!$A:$A,$D966),)</f>
        <v/>
      </c>
    </row>
    <row r="967">
      <c r="A967" s="39" t="str">
        <f>IF(AND($L967*1&gt;=$G$3,$L967*1&lt;=$G$4,$I967*$J967&gt;0,OR($I967&lt;&gt;$I968,$L967-$L968&gt;25),$I967/POW(10,$J967)*MAXIFS(Token!$B:$B,Token!$A:$A,$K967)&gt;0.01),$L967/86400+DATE(1970,1,1)+$G$6,)</f>
        <v/>
      </c>
      <c r="B967" s="27" t="str">
        <f t="shared" si="1"/>
        <v/>
      </c>
      <c r="C967" s="14" t="str">
        <f>IF($A967&lt;&gt;"",MINIFS(Merchant!$A:$A,Merchant!$B:$B,$G$2),)</f>
        <v/>
      </c>
      <c r="D967" s="14" t="str">
        <f t="shared" si="2"/>
        <v/>
      </c>
      <c r="E967" s="14" t="str">
        <f t="shared" si="3"/>
        <v/>
      </c>
      <c r="F967" s="7" t="str">
        <f>IF($A967&lt;&gt;"",MAXIFS(Token!$B:$B,Token!$A:$A,$D967),)</f>
        <v/>
      </c>
    </row>
    <row r="968">
      <c r="A968" s="39" t="str">
        <f>IF(AND($L968*1&gt;=$G$3,$L968*1&lt;=$G$4,$I968*$J968&gt;0,OR($I968&lt;&gt;$I969,$L968-$L969&gt;25),$I968/POW(10,$J968)*MAXIFS(Token!$B:$B,Token!$A:$A,$K968)&gt;0.01),$L968/86400+DATE(1970,1,1)+$G$6,)</f>
        <v/>
      </c>
      <c r="B968" s="27" t="str">
        <f t="shared" si="1"/>
        <v/>
      </c>
      <c r="C968" s="14" t="str">
        <f>IF($A968&lt;&gt;"",MINIFS(Merchant!$A:$A,Merchant!$B:$B,$G$2),)</f>
        <v/>
      </c>
      <c r="D968" s="14" t="str">
        <f t="shared" si="2"/>
        <v/>
      </c>
      <c r="E968" s="14" t="str">
        <f t="shared" si="3"/>
        <v/>
      </c>
      <c r="F968" s="7" t="str">
        <f>IF($A968&lt;&gt;"",MAXIFS(Token!$B:$B,Token!$A:$A,$D968),)</f>
        <v/>
      </c>
    </row>
    <row r="969">
      <c r="A969" s="39" t="str">
        <f>IF(AND($L969*1&gt;=$G$3,$L969*1&lt;=$G$4,$I969*$J969&gt;0,OR($I969&lt;&gt;$I970,$L969-$L970&gt;25),$I969/POW(10,$J969)*MAXIFS(Token!$B:$B,Token!$A:$A,$K969)&gt;0.01),$L969/86400+DATE(1970,1,1)+$G$6,)</f>
        <v/>
      </c>
      <c r="B969" s="27" t="str">
        <f t="shared" si="1"/>
        <v/>
      </c>
      <c r="C969" s="14" t="str">
        <f>IF($A969&lt;&gt;"",MINIFS(Merchant!$A:$A,Merchant!$B:$B,$G$2),)</f>
        <v/>
      </c>
      <c r="D969" s="14" t="str">
        <f t="shared" si="2"/>
        <v/>
      </c>
      <c r="E969" s="14" t="str">
        <f t="shared" si="3"/>
        <v/>
      </c>
      <c r="F969" s="7" t="str">
        <f>IF($A969&lt;&gt;"",MAXIFS(Token!$B:$B,Token!$A:$A,$D969),)</f>
        <v/>
      </c>
    </row>
    <row r="970">
      <c r="A970" s="39" t="str">
        <f>IF(AND($L970*1&gt;=$G$3,$L970*1&lt;=$G$4,$I970*$J970&gt;0,OR($I970&lt;&gt;$I971,$L970-$L971&gt;25),$I970/POW(10,$J970)*MAXIFS(Token!$B:$B,Token!$A:$A,$K970)&gt;0.01),$L970/86400+DATE(1970,1,1)+$G$6,)</f>
        <v/>
      </c>
      <c r="B970" s="27" t="str">
        <f t="shared" si="1"/>
        <v/>
      </c>
      <c r="C970" s="14" t="str">
        <f>IF($A970&lt;&gt;"",MINIFS(Merchant!$A:$A,Merchant!$B:$B,$G$2),)</f>
        <v/>
      </c>
      <c r="D970" s="14" t="str">
        <f t="shared" si="2"/>
        <v/>
      </c>
      <c r="E970" s="14" t="str">
        <f t="shared" si="3"/>
        <v/>
      </c>
      <c r="F970" s="7" t="str">
        <f>IF($A970&lt;&gt;"",MAXIFS(Token!$B:$B,Token!$A:$A,$D970),)</f>
        <v/>
      </c>
    </row>
    <row r="971">
      <c r="A971" s="39" t="str">
        <f>IF(AND($L971*1&gt;=$G$3,$L971*1&lt;=$G$4,$I971*$J971&gt;0,OR($I971&lt;&gt;$I972,$L971-$L972&gt;25),$I971/POW(10,$J971)*MAXIFS(Token!$B:$B,Token!$A:$A,$K971)&gt;0.01),$L971/86400+DATE(1970,1,1)+$G$6,)</f>
        <v/>
      </c>
      <c r="B971" s="27" t="str">
        <f t="shared" si="1"/>
        <v/>
      </c>
      <c r="C971" s="14" t="str">
        <f>IF($A971&lt;&gt;"",MINIFS(Merchant!$A:$A,Merchant!$B:$B,$G$2),)</f>
        <v/>
      </c>
      <c r="D971" s="14" t="str">
        <f t="shared" si="2"/>
        <v/>
      </c>
      <c r="E971" s="14" t="str">
        <f t="shared" si="3"/>
        <v/>
      </c>
      <c r="F971" s="7" t="str">
        <f>IF($A971&lt;&gt;"",MAXIFS(Token!$B:$B,Token!$A:$A,$D971),)</f>
        <v/>
      </c>
    </row>
    <row r="972">
      <c r="A972" s="39" t="str">
        <f>IF(AND($L972*1&gt;=$G$3,$L972*1&lt;=$G$4,$I972*$J972&gt;0,OR($I972&lt;&gt;$I973,$L972-$L973&gt;25),$I972/POW(10,$J972)*MAXIFS(Token!$B:$B,Token!$A:$A,$K972)&gt;0.01),$L972/86400+DATE(1970,1,1)+$G$6,)</f>
        <v/>
      </c>
      <c r="B972" s="27" t="str">
        <f t="shared" si="1"/>
        <v/>
      </c>
      <c r="C972" s="14" t="str">
        <f>IF($A972&lt;&gt;"",MINIFS(Merchant!$A:$A,Merchant!$B:$B,$G$2),)</f>
        <v/>
      </c>
      <c r="D972" s="14" t="str">
        <f t="shared" si="2"/>
        <v/>
      </c>
      <c r="E972" s="14" t="str">
        <f t="shared" si="3"/>
        <v/>
      </c>
      <c r="F972" s="7" t="str">
        <f>IF($A972&lt;&gt;"",MAXIFS(Token!$B:$B,Token!$A:$A,$D972),)</f>
        <v/>
      </c>
    </row>
    <row r="973">
      <c r="A973" s="39" t="str">
        <f>IF(AND($L973*1&gt;=$G$3,$L973*1&lt;=$G$4,$I973*$J973&gt;0,OR($I973&lt;&gt;$I974,$L973-$L974&gt;25),$I973/POW(10,$J973)*MAXIFS(Token!$B:$B,Token!$A:$A,$K973)&gt;0.01),$L973/86400+DATE(1970,1,1)+$G$6,)</f>
        <v/>
      </c>
      <c r="B973" s="27" t="str">
        <f t="shared" si="1"/>
        <v/>
      </c>
      <c r="C973" s="14" t="str">
        <f>IF($A973&lt;&gt;"",MINIFS(Merchant!$A:$A,Merchant!$B:$B,$G$2),)</f>
        <v/>
      </c>
      <c r="D973" s="14" t="str">
        <f t="shared" si="2"/>
        <v/>
      </c>
      <c r="E973" s="14" t="str">
        <f t="shared" si="3"/>
        <v/>
      </c>
      <c r="F973" s="7" t="str">
        <f>IF($A973&lt;&gt;"",MAXIFS(Token!$B:$B,Token!$A:$A,$D973),)</f>
        <v/>
      </c>
    </row>
    <row r="974">
      <c r="A974" s="39" t="str">
        <f>IF(AND($L974*1&gt;=$G$3,$L974*1&lt;=$G$4,$I974*$J974&gt;0,OR($I974&lt;&gt;$I975,$L974-$L975&gt;25),$I974/POW(10,$J974)*MAXIFS(Token!$B:$B,Token!$A:$A,$K974)&gt;0.01),$L974/86400+DATE(1970,1,1)+$G$6,)</f>
        <v/>
      </c>
      <c r="B974" s="27" t="str">
        <f t="shared" si="1"/>
        <v/>
      </c>
      <c r="C974" s="14" t="str">
        <f>IF($A974&lt;&gt;"",MINIFS(Merchant!$A:$A,Merchant!$B:$B,$G$2),)</f>
        <v/>
      </c>
      <c r="D974" s="14" t="str">
        <f t="shared" si="2"/>
        <v/>
      </c>
      <c r="E974" s="14" t="str">
        <f t="shared" si="3"/>
        <v/>
      </c>
      <c r="F974" s="7" t="str">
        <f>IF($A974&lt;&gt;"",MAXIFS(Token!$B:$B,Token!$A:$A,$D974),)</f>
        <v/>
      </c>
    </row>
    <row r="975">
      <c r="A975" s="39" t="str">
        <f>IF(AND($L975*1&gt;=$G$3,$L975*1&lt;=$G$4,$I975*$J975&gt;0,OR($I975&lt;&gt;$I976,$L975-$L976&gt;25),$I975/POW(10,$J975)*MAXIFS(Token!$B:$B,Token!$A:$A,$K975)&gt;0.01),$L975/86400+DATE(1970,1,1)+$G$6,)</f>
        <v/>
      </c>
      <c r="B975" s="27" t="str">
        <f t="shared" si="1"/>
        <v/>
      </c>
      <c r="C975" s="14" t="str">
        <f>IF($A975&lt;&gt;"",MINIFS(Merchant!$A:$A,Merchant!$B:$B,$G$2),)</f>
        <v/>
      </c>
      <c r="D975" s="14" t="str">
        <f t="shared" si="2"/>
        <v/>
      </c>
      <c r="E975" s="14" t="str">
        <f t="shared" si="3"/>
        <v/>
      </c>
      <c r="F975" s="7" t="str">
        <f>IF($A975&lt;&gt;"",MAXIFS(Token!$B:$B,Token!$A:$A,$D975),)</f>
        <v/>
      </c>
    </row>
    <row r="976">
      <c r="A976" s="39" t="str">
        <f>IF(AND($L976*1&gt;=$G$3,$L976*1&lt;=$G$4,$I976*$J976&gt;0,OR($I976&lt;&gt;$I977,$L976-$L977&gt;25),$I976/POW(10,$J976)*MAXIFS(Token!$B:$B,Token!$A:$A,$K976)&gt;0.01),$L976/86400+DATE(1970,1,1)+$G$6,)</f>
        <v/>
      </c>
      <c r="B976" s="27" t="str">
        <f t="shared" si="1"/>
        <v/>
      </c>
      <c r="C976" s="14" t="str">
        <f>IF($A976&lt;&gt;"",MINIFS(Merchant!$A:$A,Merchant!$B:$B,$G$2),)</f>
        <v/>
      </c>
      <c r="D976" s="14" t="str">
        <f t="shared" si="2"/>
        <v/>
      </c>
      <c r="E976" s="14" t="str">
        <f t="shared" si="3"/>
        <v/>
      </c>
      <c r="F976" s="7" t="str">
        <f>IF($A976&lt;&gt;"",MAXIFS(Token!$B:$B,Token!$A:$A,$D976),)</f>
        <v/>
      </c>
    </row>
    <row r="977">
      <c r="A977" s="39" t="str">
        <f>IF(AND($L977*1&gt;=$G$3,$L977*1&lt;=$G$4,$I977*$J977&gt;0,OR($I977&lt;&gt;$I978,$L977-$L978&gt;25),$I977/POW(10,$J977)*MAXIFS(Token!$B:$B,Token!$A:$A,$K977)&gt;0.01),$L977/86400+DATE(1970,1,1)+$G$6,)</f>
        <v/>
      </c>
      <c r="B977" s="27" t="str">
        <f t="shared" si="1"/>
        <v/>
      </c>
      <c r="C977" s="14" t="str">
        <f>IF($A977&lt;&gt;"",MINIFS(Merchant!$A:$A,Merchant!$B:$B,$G$2),)</f>
        <v/>
      </c>
      <c r="D977" s="14" t="str">
        <f t="shared" si="2"/>
        <v/>
      </c>
      <c r="E977" s="14" t="str">
        <f t="shared" si="3"/>
        <v/>
      </c>
      <c r="F977" s="7" t="str">
        <f>IF($A977&lt;&gt;"",MAXIFS(Token!$B:$B,Token!$A:$A,$D977),)</f>
        <v/>
      </c>
    </row>
    <row r="978">
      <c r="A978" s="39" t="str">
        <f>IF(AND($L978*1&gt;=$G$3,$L978*1&lt;=$G$4,$I978*$J978&gt;0,OR($I978&lt;&gt;$I979,$L978-$L979&gt;25),$I978/POW(10,$J978)*MAXIFS(Token!$B:$B,Token!$A:$A,$K978)&gt;0.01),$L978/86400+DATE(1970,1,1)+$G$6,)</f>
        <v/>
      </c>
      <c r="B978" s="27" t="str">
        <f t="shared" si="1"/>
        <v/>
      </c>
      <c r="C978" s="14" t="str">
        <f>IF($A978&lt;&gt;"",MINIFS(Merchant!$A:$A,Merchant!$B:$B,$G$2),)</f>
        <v/>
      </c>
      <c r="D978" s="14" t="str">
        <f t="shared" si="2"/>
        <v/>
      </c>
      <c r="E978" s="14" t="str">
        <f t="shared" si="3"/>
        <v/>
      </c>
      <c r="F978" s="7" t="str">
        <f>IF($A978&lt;&gt;"",MAXIFS(Token!$B:$B,Token!$A:$A,$D978),)</f>
        <v/>
      </c>
    </row>
    <row r="979">
      <c r="A979" s="39" t="str">
        <f>IF(AND($L979*1&gt;=$G$3,$L979*1&lt;=$G$4,$I979*$J979&gt;0,OR($I979&lt;&gt;$I980,$L979-$L980&gt;25),$I979/POW(10,$J979)*MAXIFS(Token!$B:$B,Token!$A:$A,$K979)&gt;0.01),$L979/86400+DATE(1970,1,1)+$G$6,)</f>
        <v/>
      </c>
      <c r="B979" s="27" t="str">
        <f t="shared" si="1"/>
        <v/>
      </c>
      <c r="C979" s="14" t="str">
        <f>IF($A979&lt;&gt;"",MINIFS(Merchant!$A:$A,Merchant!$B:$B,$G$2),)</f>
        <v/>
      </c>
      <c r="D979" s="14" t="str">
        <f t="shared" si="2"/>
        <v/>
      </c>
      <c r="E979" s="14" t="str">
        <f t="shared" si="3"/>
        <v/>
      </c>
      <c r="F979" s="7" t="str">
        <f>IF($A979&lt;&gt;"",MAXIFS(Token!$B:$B,Token!$A:$A,$D979),)</f>
        <v/>
      </c>
    </row>
    <row r="980">
      <c r="A980" s="39" t="str">
        <f>IF(AND($L980*1&gt;=$G$3,$L980*1&lt;=$G$4,$I980*$J980&gt;0,OR($I980&lt;&gt;$I981,$L980-$L981&gt;25),$I980/POW(10,$J980)*MAXIFS(Token!$B:$B,Token!$A:$A,$K980)&gt;0.01),$L980/86400+DATE(1970,1,1)+$G$6,)</f>
        <v/>
      </c>
      <c r="B980" s="27" t="str">
        <f t="shared" si="1"/>
        <v/>
      </c>
      <c r="C980" s="14" t="str">
        <f>IF($A980&lt;&gt;"",MINIFS(Merchant!$A:$A,Merchant!$B:$B,$G$2),)</f>
        <v/>
      </c>
      <c r="D980" s="14" t="str">
        <f t="shared" si="2"/>
        <v/>
      </c>
      <c r="E980" s="14" t="str">
        <f t="shared" si="3"/>
        <v/>
      </c>
      <c r="F980" s="7" t="str">
        <f>IF($A980&lt;&gt;"",MAXIFS(Token!$B:$B,Token!$A:$A,$D980),)</f>
        <v/>
      </c>
    </row>
    <row r="981">
      <c r="A981" s="39" t="str">
        <f>IF(AND($L981*1&gt;=$G$3,$L981*1&lt;=$G$4,$I981*$J981&gt;0,OR($I981&lt;&gt;$I982,$L981-$L982&gt;25),$I981/POW(10,$J981)*MAXIFS(Token!$B:$B,Token!$A:$A,$K981)&gt;0.01),$L981/86400+DATE(1970,1,1)+$G$6,)</f>
        <v/>
      </c>
      <c r="B981" s="27" t="str">
        <f t="shared" si="1"/>
        <v/>
      </c>
      <c r="C981" s="14" t="str">
        <f>IF($A981&lt;&gt;"",MINIFS(Merchant!$A:$A,Merchant!$B:$B,$G$2),)</f>
        <v/>
      </c>
      <c r="D981" s="14" t="str">
        <f t="shared" si="2"/>
        <v/>
      </c>
      <c r="E981" s="14" t="str">
        <f t="shared" si="3"/>
        <v/>
      </c>
      <c r="F981" s="7" t="str">
        <f>IF($A981&lt;&gt;"",MAXIFS(Token!$B:$B,Token!$A:$A,$D981),)</f>
        <v/>
      </c>
    </row>
    <row r="982">
      <c r="A982" s="39" t="str">
        <f>IF(AND($L982*1&gt;=$G$3,$L982*1&lt;=$G$4,$I982*$J982&gt;0,OR($I982&lt;&gt;$I983,$L982-$L983&gt;25),$I982/POW(10,$J982)*MAXIFS(Token!$B:$B,Token!$A:$A,$K982)&gt;0.01),$L982/86400+DATE(1970,1,1)+$G$6,)</f>
        <v/>
      </c>
      <c r="B982" s="27" t="str">
        <f t="shared" si="1"/>
        <v/>
      </c>
      <c r="C982" s="14" t="str">
        <f>IF($A982&lt;&gt;"",MINIFS(Merchant!$A:$A,Merchant!$B:$B,$G$2),)</f>
        <v/>
      </c>
      <c r="D982" s="14" t="str">
        <f t="shared" si="2"/>
        <v/>
      </c>
      <c r="E982" s="14" t="str">
        <f t="shared" si="3"/>
        <v/>
      </c>
      <c r="F982" s="7" t="str">
        <f>IF($A982&lt;&gt;"",MAXIFS(Token!$B:$B,Token!$A:$A,$D982),)</f>
        <v/>
      </c>
    </row>
    <row r="983">
      <c r="A983" s="39" t="str">
        <f>IF(AND($L983*1&gt;=$G$3,$L983*1&lt;=$G$4,$I983*$J983&gt;0,OR($I983&lt;&gt;$I984,$L983-$L984&gt;25),$I983/POW(10,$J983)*MAXIFS(Token!$B:$B,Token!$A:$A,$K983)&gt;0.01),$L983/86400+DATE(1970,1,1)+$G$6,)</f>
        <v/>
      </c>
      <c r="B983" s="27" t="str">
        <f t="shared" si="1"/>
        <v/>
      </c>
      <c r="C983" s="14" t="str">
        <f>IF($A983&lt;&gt;"",MINIFS(Merchant!$A:$A,Merchant!$B:$B,$G$2),)</f>
        <v/>
      </c>
      <c r="D983" s="14" t="str">
        <f t="shared" si="2"/>
        <v/>
      </c>
      <c r="E983" s="14" t="str">
        <f t="shared" si="3"/>
        <v/>
      </c>
      <c r="F983" s="7" t="str">
        <f>IF($A983&lt;&gt;"",MAXIFS(Token!$B:$B,Token!$A:$A,$D983),)</f>
        <v/>
      </c>
    </row>
    <row r="984">
      <c r="A984" s="39" t="str">
        <f>IF(AND($L984*1&gt;=$G$3,$L984*1&lt;=$G$4,$I984*$J984&gt;0,OR($I984&lt;&gt;$I985,$L984-$L985&gt;25),$I984/POW(10,$J984)*MAXIFS(Token!$B:$B,Token!$A:$A,$K984)&gt;0.01),$L984/86400+DATE(1970,1,1)+$G$6,)</f>
        <v/>
      </c>
      <c r="B984" s="27" t="str">
        <f t="shared" si="1"/>
        <v/>
      </c>
      <c r="C984" s="14" t="str">
        <f>IF($A984&lt;&gt;"",MINIFS(Merchant!$A:$A,Merchant!$B:$B,$G$2),)</f>
        <v/>
      </c>
      <c r="D984" s="14" t="str">
        <f t="shared" si="2"/>
        <v/>
      </c>
      <c r="E984" s="14" t="str">
        <f t="shared" si="3"/>
        <v/>
      </c>
      <c r="F984" s="7" t="str">
        <f>IF($A984&lt;&gt;"",MAXIFS(Token!$B:$B,Token!$A:$A,$D984),)</f>
        <v/>
      </c>
    </row>
    <row r="985">
      <c r="A985" s="39" t="str">
        <f>IF(AND($L985*1&gt;=$G$3,$L985*1&lt;=$G$4,$I985*$J985&gt;0,OR($I985&lt;&gt;$I986,$L985-$L986&gt;25),$I985/POW(10,$J985)*MAXIFS(Token!$B:$B,Token!$A:$A,$K985)&gt;0.01),$L985/86400+DATE(1970,1,1)+$G$6,)</f>
        <v/>
      </c>
      <c r="B985" s="27" t="str">
        <f t="shared" si="1"/>
        <v/>
      </c>
      <c r="C985" s="14" t="str">
        <f>IF($A985&lt;&gt;"",MINIFS(Merchant!$A:$A,Merchant!$B:$B,$G$2),)</f>
        <v/>
      </c>
      <c r="D985" s="14" t="str">
        <f t="shared" si="2"/>
        <v/>
      </c>
      <c r="E985" s="14" t="str">
        <f t="shared" si="3"/>
        <v/>
      </c>
      <c r="F985" s="7" t="str">
        <f>IF($A985&lt;&gt;"",MAXIFS(Token!$B:$B,Token!$A:$A,$D985),)</f>
        <v/>
      </c>
    </row>
    <row r="986">
      <c r="A986" s="39" t="str">
        <f>IF(AND($L986*1&gt;=$G$3,$L986*1&lt;=$G$4,$I986*$J986&gt;0,OR($I986&lt;&gt;$I987,$L986-$L987&gt;25),$I986/POW(10,$J986)*MAXIFS(Token!$B:$B,Token!$A:$A,$K986)&gt;0.01),$L986/86400+DATE(1970,1,1)+$G$6,)</f>
        <v/>
      </c>
      <c r="B986" s="27" t="str">
        <f t="shared" si="1"/>
        <v/>
      </c>
      <c r="C986" s="14" t="str">
        <f>IF($A986&lt;&gt;"",MINIFS(Merchant!$A:$A,Merchant!$B:$B,$G$2),)</f>
        <v/>
      </c>
      <c r="D986" s="14" t="str">
        <f t="shared" si="2"/>
        <v/>
      </c>
      <c r="E986" s="14" t="str">
        <f t="shared" si="3"/>
        <v/>
      </c>
      <c r="F986" s="7" t="str">
        <f>IF($A986&lt;&gt;"",MAXIFS(Token!$B:$B,Token!$A:$A,$D986),)</f>
        <v/>
      </c>
    </row>
    <row r="987">
      <c r="A987" s="39" t="str">
        <f>IF(AND($L987*1&gt;=$G$3,$L987*1&lt;=$G$4,$I987*$J987&gt;0,OR($I987&lt;&gt;$I988,$L987-$L988&gt;25),$I987/POW(10,$J987)*MAXIFS(Token!$B:$B,Token!$A:$A,$K987)&gt;0.01),$L987/86400+DATE(1970,1,1)+$G$6,)</f>
        <v/>
      </c>
      <c r="B987" s="27" t="str">
        <f t="shared" si="1"/>
        <v/>
      </c>
      <c r="C987" s="14" t="str">
        <f>IF($A987&lt;&gt;"",MINIFS(Merchant!$A:$A,Merchant!$B:$B,$G$2),)</f>
        <v/>
      </c>
      <c r="D987" s="14" t="str">
        <f t="shared" si="2"/>
        <v/>
      </c>
      <c r="E987" s="14" t="str">
        <f t="shared" si="3"/>
        <v/>
      </c>
      <c r="F987" s="7" t="str">
        <f>IF($A987&lt;&gt;"",MAXIFS(Token!$B:$B,Token!$A:$A,$D987),)</f>
        <v/>
      </c>
    </row>
    <row r="988">
      <c r="A988" s="39" t="str">
        <f>IF(AND($L988*1&gt;=$G$3,$L988*1&lt;=$G$4,$I988*$J988&gt;0,OR($I988&lt;&gt;$I989,$L988-$L989&gt;25),$I988/POW(10,$J988)*MAXIFS(Token!$B:$B,Token!$A:$A,$K988)&gt;0.01),$L988/86400+DATE(1970,1,1)+$G$6,)</f>
        <v/>
      </c>
      <c r="B988" s="27" t="str">
        <f t="shared" si="1"/>
        <v/>
      </c>
      <c r="C988" s="14" t="str">
        <f>IF($A988&lt;&gt;"",MINIFS(Merchant!$A:$A,Merchant!$B:$B,$G$2),)</f>
        <v/>
      </c>
      <c r="D988" s="14" t="str">
        <f t="shared" si="2"/>
        <v/>
      </c>
      <c r="E988" s="14" t="str">
        <f t="shared" si="3"/>
        <v/>
      </c>
      <c r="F988" s="7" t="str">
        <f>IF($A988&lt;&gt;"",MAXIFS(Token!$B:$B,Token!$A:$A,$D988),)</f>
        <v/>
      </c>
    </row>
    <row r="989">
      <c r="A989" s="39" t="str">
        <f>IF(AND($L989*1&gt;=$G$3,$L989*1&lt;=$G$4,$I989*$J989&gt;0,OR($I989&lt;&gt;$I990,$L989-$L990&gt;25),$I989/POW(10,$J989)*MAXIFS(Token!$B:$B,Token!$A:$A,$K989)&gt;0.01),$L989/86400+DATE(1970,1,1)+$G$6,)</f>
        <v/>
      </c>
      <c r="B989" s="27" t="str">
        <f t="shared" si="1"/>
        <v/>
      </c>
      <c r="C989" s="14" t="str">
        <f>IF($A989&lt;&gt;"",MINIFS(Merchant!$A:$A,Merchant!$B:$B,$G$2),)</f>
        <v/>
      </c>
      <c r="D989" s="14" t="str">
        <f t="shared" si="2"/>
        <v/>
      </c>
      <c r="E989" s="14" t="str">
        <f t="shared" si="3"/>
        <v/>
      </c>
      <c r="F989" s="7" t="str">
        <f>IF($A989&lt;&gt;"",MAXIFS(Token!$B:$B,Token!$A:$A,$D989),)</f>
        <v/>
      </c>
    </row>
    <row r="990">
      <c r="A990" s="39" t="str">
        <f>IF(AND($L990*1&gt;=$G$3,$L990*1&lt;=$G$4,$I990*$J990&gt;0,OR($I990&lt;&gt;$I991,$L990-$L991&gt;25),$I990/POW(10,$J990)*MAXIFS(Token!$B:$B,Token!$A:$A,$K990)&gt;0.01),$L990/86400+DATE(1970,1,1)+$G$6,)</f>
        <v/>
      </c>
      <c r="B990" s="27" t="str">
        <f t="shared" si="1"/>
        <v/>
      </c>
      <c r="C990" s="14" t="str">
        <f>IF($A990&lt;&gt;"",MINIFS(Merchant!$A:$A,Merchant!$B:$B,$G$2),)</f>
        <v/>
      </c>
      <c r="D990" s="14" t="str">
        <f t="shared" si="2"/>
        <v/>
      </c>
      <c r="E990" s="14" t="str">
        <f t="shared" si="3"/>
        <v/>
      </c>
      <c r="F990" s="7" t="str">
        <f>IF($A990&lt;&gt;"",MAXIFS(Token!$B:$B,Token!$A:$A,$D990),)</f>
        <v/>
      </c>
    </row>
    <row r="991">
      <c r="A991" s="39" t="str">
        <f>IF(AND($L991*1&gt;=$G$3,$L991*1&lt;=$G$4,$I991*$J991&gt;0,OR($I991&lt;&gt;$I992,$L991-$L992&gt;25),$I991/POW(10,$J991)*MAXIFS(Token!$B:$B,Token!$A:$A,$K991)&gt;0.01),$L991/86400+DATE(1970,1,1)+$G$6,)</f>
        <v/>
      </c>
      <c r="B991" s="27" t="str">
        <f t="shared" si="1"/>
        <v/>
      </c>
      <c r="C991" s="14" t="str">
        <f>IF($A991&lt;&gt;"",MINIFS(Merchant!$A:$A,Merchant!$B:$B,$G$2),)</f>
        <v/>
      </c>
      <c r="D991" s="14" t="str">
        <f t="shared" si="2"/>
        <v/>
      </c>
      <c r="E991" s="14" t="str">
        <f t="shared" si="3"/>
        <v/>
      </c>
      <c r="F991" s="7" t="str">
        <f>IF($A991&lt;&gt;"",MAXIFS(Token!$B:$B,Token!$A:$A,$D991),)</f>
        <v/>
      </c>
    </row>
    <row r="992">
      <c r="A992" s="39" t="str">
        <f>IF(AND($L992*1&gt;=$G$3,$L992*1&lt;=$G$4,$I992*$J992&gt;0,OR($I992&lt;&gt;$I993,$L992-$L993&gt;25),$I992/POW(10,$J992)*MAXIFS(Token!$B:$B,Token!$A:$A,$K992)&gt;0.01),$L992/86400+DATE(1970,1,1)+$G$6,)</f>
        <v/>
      </c>
      <c r="B992" s="27" t="str">
        <f t="shared" si="1"/>
        <v/>
      </c>
      <c r="C992" s="14" t="str">
        <f>IF($A992&lt;&gt;"",MINIFS(Merchant!$A:$A,Merchant!$B:$B,$G$2),)</f>
        <v/>
      </c>
      <c r="D992" s="14" t="str">
        <f t="shared" si="2"/>
        <v/>
      </c>
      <c r="E992" s="14" t="str">
        <f t="shared" si="3"/>
        <v/>
      </c>
      <c r="F992" s="7" t="str">
        <f>IF($A992&lt;&gt;"",MAXIFS(Token!$B:$B,Token!$A:$A,$D992),)</f>
        <v/>
      </c>
    </row>
    <row r="993">
      <c r="A993" s="39" t="str">
        <f>IF(AND($L993*1&gt;=$G$3,$L993*1&lt;=$G$4,$I993*$J993&gt;0,OR($I993&lt;&gt;$I994,$L993-$L994&gt;25),$I993/POW(10,$J993)*MAXIFS(Token!$B:$B,Token!$A:$A,$K993)&gt;0.01),$L993/86400+DATE(1970,1,1)+$G$6,)</f>
        <v/>
      </c>
      <c r="B993" s="27" t="str">
        <f t="shared" si="1"/>
        <v/>
      </c>
      <c r="C993" s="14" t="str">
        <f>IF($A993&lt;&gt;"",MINIFS(Merchant!$A:$A,Merchant!$B:$B,$G$2),)</f>
        <v/>
      </c>
      <c r="D993" s="14" t="str">
        <f t="shared" si="2"/>
        <v/>
      </c>
      <c r="E993" s="14" t="str">
        <f t="shared" si="3"/>
        <v/>
      </c>
      <c r="F993" s="7" t="str">
        <f>IF($A993&lt;&gt;"",MAXIFS(Token!$B:$B,Token!$A:$A,$D993),)</f>
        <v/>
      </c>
    </row>
    <row r="994">
      <c r="A994" s="39" t="str">
        <f>IF(AND($L994*1&gt;=$G$3,$L994*1&lt;=$G$4,$I994*$J994&gt;0,OR($I994&lt;&gt;$I995,$L994-$L995&gt;25),$I994/POW(10,$J994)*MAXIFS(Token!$B:$B,Token!$A:$A,$K994)&gt;0.01),$L994/86400+DATE(1970,1,1)+$G$6,)</f>
        <v/>
      </c>
      <c r="B994" s="27" t="str">
        <f t="shared" si="1"/>
        <v/>
      </c>
      <c r="C994" s="14" t="str">
        <f>IF($A994&lt;&gt;"",MINIFS(Merchant!$A:$A,Merchant!$B:$B,$G$2),)</f>
        <v/>
      </c>
      <c r="D994" s="14" t="str">
        <f t="shared" si="2"/>
        <v/>
      </c>
      <c r="E994" s="14" t="str">
        <f t="shared" si="3"/>
        <v/>
      </c>
      <c r="F994" s="7" t="str">
        <f>IF($A994&lt;&gt;"",MAXIFS(Token!$B:$B,Token!$A:$A,$D994),)</f>
        <v/>
      </c>
    </row>
    <row r="995">
      <c r="A995" s="39" t="str">
        <f>IF(AND($L995*1&gt;=$G$3,$L995*1&lt;=$G$4,$I995*$J995&gt;0,OR($I995&lt;&gt;$I996,$L995-$L996&gt;25),$I995/POW(10,$J995)*MAXIFS(Token!$B:$B,Token!$A:$A,$K995)&gt;0.01),$L995/86400+DATE(1970,1,1)+$G$6,)</f>
        <v/>
      </c>
      <c r="B995" s="27" t="str">
        <f t="shared" si="1"/>
        <v/>
      </c>
      <c r="C995" s="14" t="str">
        <f>IF($A995&lt;&gt;"",MINIFS(Merchant!$A:$A,Merchant!$B:$B,$G$2),)</f>
        <v/>
      </c>
      <c r="D995" s="14" t="str">
        <f t="shared" si="2"/>
        <v/>
      </c>
      <c r="E995" s="14" t="str">
        <f t="shared" si="3"/>
        <v/>
      </c>
      <c r="F995" s="7" t="str">
        <f>IF($A995&lt;&gt;"",MAXIFS(Token!$B:$B,Token!$A:$A,$D995),)</f>
        <v/>
      </c>
    </row>
    <row r="996">
      <c r="A996" s="39" t="str">
        <f>IF(AND($L996*1&gt;=$G$3,$L996*1&lt;=$G$4,$I996*$J996&gt;0,OR($I996&lt;&gt;$I997,$L996-$L997&gt;25),$I996/POW(10,$J996)*MAXIFS(Token!$B:$B,Token!$A:$A,$K996)&gt;0.01),$L996/86400+DATE(1970,1,1)+$G$6,)</f>
        <v/>
      </c>
      <c r="B996" s="27" t="str">
        <f t="shared" si="1"/>
        <v/>
      </c>
      <c r="C996" s="14" t="str">
        <f>IF($A996&lt;&gt;"",MINIFS(Merchant!$A:$A,Merchant!$B:$B,$G$2),)</f>
        <v/>
      </c>
      <c r="D996" s="14" t="str">
        <f t="shared" si="2"/>
        <v/>
      </c>
      <c r="E996" s="14" t="str">
        <f t="shared" si="3"/>
        <v/>
      </c>
      <c r="F996" s="7" t="str">
        <f>IF($A996&lt;&gt;"",MAXIFS(Token!$B:$B,Token!$A:$A,$D996),)</f>
        <v/>
      </c>
    </row>
    <row r="997">
      <c r="A997" s="39" t="str">
        <f>IF(AND($L997*1&gt;=$G$3,$L997*1&lt;=$G$4,$I997*$J997&gt;0,OR($I997&lt;&gt;$I998,$L997-$L998&gt;25),$I997/POW(10,$J997)*MAXIFS(Token!$B:$B,Token!$A:$A,$K997)&gt;0.01),$L997/86400+DATE(1970,1,1)+$G$6,)</f>
        <v/>
      </c>
      <c r="B997" s="27" t="str">
        <f t="shared" si="1"/>
        <v/>
      </c>
      <c r="C997" s="14" t="str">
        <f>IF($A997&lt;&gt;"",MINIFS(Merchant!$A:$A,Merchant!$B:$B,$G$2),)</f>
        <v/>
      </c>
      <c r="D997" s="14" t="str">
        <f t="shared" si="2"/>
        <v/>
      </c>
      <c r="E997" s="14" t="str">
        <f t="shared" si="3"/>
        <v/>
      </c>
      <c r="F997" s="7" t="str">
        <f>IF($A997&lt;&gt;"",MAXIFS(Token!$B:$B,Token!$A:$A,$D997),)</f>
        <v/>
      </c>
    </row>
    <row r="998">
      <c r="A998" s="39" t="str">
        <f>IF(AND($L998*1&gt;=$G$3,$L998*1&lt;=$G$4,$I998*$J998&gt;0,OR($I998&lt;&gt;$I999,$L998-$L999&gt;25),$I998/POW(10,$J998)*MAXIFS(Token!$B:$B,Token!$A:$A,$K998)&gt;0.01),$L998/86400+DATE(1970,1,1)+$G$6,)</f>
        <v/>
      </c>
      <c r="B998" s="27" t="str">
        <f t="shared" si="1"/>
        <v/>
      </c>
      <c r="C998" s="14" t="str">
        <f>IF($A998&lt;&gt;"",MINIFS(Merchant!$A:$A,Merchant!$B:$B,$G$2),)</f>
        <v/>
      </c>
      <c r="D998" s="14" t="str">
        <f t="shared" si="2"/>
        <v/>
      </c>
      <c r="E998" s="14" t="str">
        <f t="shared" si="3"/>
        <v/>
      </c>
      <c r="F998" s="7" t="str">
        <f>IF($A998&lt;&gt;"",MAXIFS(Token!$B:$B,Token!$A:$A,$D998),)</f>
        <v/>
      </c>
    </row>
    <row r="999">
      <c r="A999" s="39" t="str">
        <f>IF(AND($L999*1&gt;=$G$3,$L999*1&lt;=$G$4,$I999*$J999&gt;0,OR($I999&lt;&gt;$I1000,$L999-$L1000&gt;25),$I999/POW(10,$J999)*MAXIFS(Token!$B:$B,Token!$A:$A,$K999)&gt;0.01),$L999/86400+DATE(1970,1,1)+$G$6,)</f>
        <v/>
      </c>
      <c r="B999" s="27" t="str">
        <f t="shared" si="1"/>
        <v/>
      </c>
      <c r="C999" s="14" t="str">
        <f>IF($A999&lt;&gt;"",MINIFS(Merchant!$A:$A,Merchant!$B:$B,$G$2),)</f>
        <v/>
      </c>
      <c r="D999" s="14" t="str">
        <f t="shared" si="2"/>
        <v/>
      </c>
      <c r="E999" s="14" t="str">
        <f t="shared" si="3"/>
        <v/>
      </c>
      <c r="F999" s="7" t="str">
        <f>IF($A999&lt;&gt;"",MAXIFS(Token!$B:$B,Token!$A:$A,$D999),)</f>
        <v/>
      </c>
    </row>
    <row r="1000">
      <c r="A1000" s="39" t="str">
        <f>IF(AND($L1000*1&gt;=$G$3,$L1000*1&lt;=$G$4,$I1000*$J1000&gt;0,OR($I1000&lt;&gt;$I1001,$L1000-$L1001&gt;25),$I1000/POW(10,$J1000)*MAXIFS(Token!$B:$B,Token!$A:$A,$K1000)&gt;0.01),$L1000/86400+DATE(1970,1,1)+$G$6,)</f>
        <v/>
      </c>
      <c r="B1000" s="27" t="str">
        <f t="shared" si="1"/>
        <v/>
      </c>
      <c r="C1000" s="14" t="str">
        <f>IF($A1000&lt;&gt;"",MINIFS(Merchant!$A:$A,Merchant!$B:$B,$G$2),)</f>
        <v/>
      </c>
      <c r="D1000" s="14" t="str">
        <f t="shared" si="2"/>
        <v/>
      </c>
      <c r="E1000" s="14" t="str">
        <f t="shared" si="3"/>
        <v/>
      </c>
      <c r="F1000" s="7" t="str">
        <f>IF($A1000&lt;&gt;"",MAXIFS(Token!$B:$B,Token!$A:$A,$D1000),)</f>
        <v/>
      </c>
    </row>
  </sheetData>
  <drawing r:id="rId2"/>
  <legacyDrawing r:id="rId3"/>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75"/>
    <col customWidth="1" min="7" max="7" width="12.63"/>
  </cols>
  <sheetData>
    <row r="1">
      <c r="A1" s="1" t="s">
        <v>4</v>
      </c>
      <c r="B1" s="1" t="s">
        <v>5</v>
      </c>
      <c r="C1" s="1" t="s">
        <v>6</v>
      </c>
      <c r="D1" s="1" t="s">
        <v>7</v>
      </c>
      <c r="E1" s="1" t="s">
        <v>8</v>
      </c>
      <c r="F1" s="11" t="s">
        <v>9</v>
      </c>
      <c r="G1" s="14">
        <v>1.0</v>
      </c>
      <c r="H1" s="14" t="s">
        <v>105</v>
      </c>
      <c r="I1" s="6" t="s">
        <v>106</v>
      </c>
      <c r="J1" s="6" t="s">
        <v>107</v>
      </c>
      <c r="K1" s="6" t="s">
        <v>108</v>
      </c>
      <c r="L1" s="6" t="s">
        <v>109</v>
      </c>
    </row>
    <row r="2">
      <c r="A2" s="39" t="str">
        <f>IF(AND($L2*1&gt;=$G$3,$L2*1&lt;=$G$4,$I2*$J2&gt;0,OR($I2&lt;&gt;$I3,$L2-$L3&gt;25),$I2/POW(10,$J2)*MAXIFS(Token!$B:$B,Token!$A:$A,$K2)&gt;0.01),$L2/86400+DATE(1970,1,1)+$G$6,)</f>
        <v/>
      </c>
      <c r="B2" s="27" t="str">
        <f t="shared" ref="B2:B1000" si="1">IF($A2&lt;&gt;"",$E2*$F2,)</f>
        <v/>
      </c>
      <c r="C2" s="14" t="str">
        <f>IF($A2&lt;&gt;"",MINIFS(Merchant!$A:$A,Merchant!$B:$B,$G$2),)</f>
        <v/>
      </c>
      <c r="D2" s="14" t="str">
        <f t="shared" ref="D2:D1000" si="2">IF($A2&lt;&gt;"",$K2,)</f>
        <v/>
      </c>
      <c r="E2" s="14" t="str">
        <f t="shared" ref="E2:E1000" si="3">IF($A2&lt;&gt;"",$I2/POW(10,$J2),)</f>
        <v/>
      </c>
      <c r="F2" s="7" t="str">
        <f>IF($A2&lt;&gt;"",MAXIFS(Token!$B:$B,Token!$A:$A,$D2),)</f>
        <v/>
      </c>
      <c r="G2" s="14" t="str">
        <f>VLOOKUP($G1,Merchant!$A:$B,2)</f>
        <v>#N/A</v>
      </c>
      <c r="H2" s="6" t="str">
        <f>IFERROR(__xludf.DUMMYFUNCTION("IF(AND($G$11,$G$1&gt;1,INDEX(I:I,ROW()-1)&lt;&gt;""""),ImportJSON(""https://public-api.solscan.io/account/splTransfers?account=""&amp;$G$2&amp;IF($G$5,""&amp;fromTime=""&amp;TO_TEXT($G$3)&amp;""&amp;toTime=""&amp;TO_TEXT($G$4),)&amp;""&amp;offset=""&amp;ROW()-2&amp;""&amp;limit=50""&amp;$G$7,TEXTJOIN("","",1,$H$1:$"&amp;"L$1),""noHeaders""),)"),"")</f>
        <v/>
      </c>
    </row>
    <row r="3">
      <c r="A3" s="39" t="str">
        <f>IF(AND($L3*1&gt;=$G$3,$L3*1&lt;=$G$4,$I3*$J3&gt;0,OR($I3&lt;&gt;$I4,$L3-$L4&gt;25),$I3/POW(10,$J3)*MAXIFS(Token!$B:$B,Token!$A:$A,$K3)&gt;0.01),$L3/86400+DATE(1970,1,1)+$G$6,)</f>
        <v/>
      </c>
      <c r="B3" s="27" t="str">
        <f t="shared" si="1"/>
        <v/>
      </c>
      <c r="C3" s="14" t="str">
        <f>IF($A3&lt;&gt;"",MINIFS(Merchant!$A:$A,Merchant!$B:$B,$G$2),)</f>
        <v/>
      </c>
      <c r="D3" s="14" t="str">
        <f t="shared" si="2"/>
        <v/>
      </c>
      <c r="E3" s="14" t="str">
        <f t="shared" si="3"/>
        <v/>
      </c>
      <c r="F3" s="7" t="str">
        <f>IF($A3&lt;&gt;"",MAXIFS(Token!$B:$B,Token!$A:$A,$D3),)</f>
        <v/>
      </c>
      <c r="G3" s="6">
        <f>IFERROR((VLOOKUP($G$1,Merchant!$A:$M,10)-DATE(1970,1,1)-IF($G$6&lt;&gt;"",$G$6,0))*86400,0)</f>
        <v>0</v>
      </c>
    </row>
    <row r="4">
      <c r="A4" s="39" t="str">
        <f>IF(AND($L4*1&gt;=$G$3,$L4*1&lt;=$G$4,$I4*$J4&gt;0,OR($I4&lt;&gt;$I5,$L4-$L5&gt;25),$I4/POW(10,$J4)*MAXIFS(Token!$B:$B,Token!$A:$A,$K4)&gt;0.01),$L4/86400+DATE(1970,1,1)+$G$6,)</f>
        <v/>
      </c>
      <c r="B4" s="27" t="str">
        <f t="shared" si="1"/>
        <v/>
      </c>
      <c r="C4" s="14" t="str">
        <f>IF($A4&lt;&gt;"",MINIFS(Merchant!$A:$A,Merchant!$B:$B,$G$2),)</f>
        <v/>
      </c>
      <c r="D4" s="14" t="str">
        <f t="shared" si="2"/>
        <v/>
      </c>
      <c r="E4" s="14" t="str">
        <f t="shared" si="3"/>
        <v/>
      </c>
      <c r="F4" s="7" t="str">
        <f>IF($A4&lt;&gt;"",MAXIFS(Token!$B:$B,Token!$A:$A,$D4),)</f>
        <v/>
      </c>
      <c r="G4" s="6">
        <f>IFERROR((MAX(VLOOKUP($G$1,Merchant!$A:$M,10),VLOOKUP($G$1,Merchant!$A:$M,11))-DATE(1970,1,1)-IF($G$6&lt;&gt;"",$G$6,0))*86400,0)</f>
        <v>0</v>
      </c>
    </row>
    <row r="5">
      <c r="A5" s="39" t="str">
        <f>IF(AND($L5*1&gt;=$G$3,$L5*1&lt;=$G$4,$I5*$J5&gt;0,OR($I5&lt;&gt;$I6,$L5-$L6&gt;25),$I5/POW(10,$J5)*MAXIFS(Token!$B:$B,Token!$A:$A,$K5)&gt;0.01),$L5/86400+DATE(1970,1,1)+$G$6,)</f>
        <v/>
      </c>
      <c r="B5" s="27" t="str">
        <f t="shared" si="1"/>
        <v/>
      </c>
      <c r="C5" s="14" t="str">
        <f>IF($A5&lt;&gt;"",MINIFS(Merchant!$A:$A,Merchant!$B:$B,$G$2),)</f>
        <v/>
      </c>
      <c r="D5" s="14" t="str">
        <f t="shared" si="2"/>
        <v/>
      </c>
      <c r="E5" s="14" t="str">
        <f t="shared" si="3"/>
        <v/>
      </c>
      <c r="F5" s="7" t="str">
        <f>IF($A5&lt;&gt;"",MAXIFS(Token!$B:$B,Token!$A:$A,$D5),)</f>
        <v/>
      </c>
      <c r="G5" s="40" t="b">
        <f>FALSE</f>
        <v>0</v>
      </c>
    </row>
    <row r="6">
      <c r="A6" s="39" t="str">
        <f>IF(AND($L6*1&gt;=$G$3,$L6*1&lt;=$G$4,$I6*$J6&gt;0,OR($I6&lt;&gt;$I7,$L6-$L7&gt;25),$I6/POW(10,$J6)*MAXIFS(Token!$B:$B,Token!$A:$A,$K6)&gt;0.01),$L6/86400+DATE(1970,1,1)+$G$6,)</f>
        <v/>
      </c>
      <c r="B6" s="27" t="str">
        <f t="shared" si="1"/>
        <v/>
      </c>
      <c r="C6" s="14" t="str">
        <f>IF($A6&lt;&gt;"",MINIFS(Merchant!$A:$A,Merchant!$B:$B,$G$2),)</f>
        <v/>
      </c>
      <c r="D6" s="14" t="str">
        <f t="shared" si="2"/>
        <v/>
      </c>
      <c r="E6" s="14" t="str">
        <f t="shared" si="3"/>
        <v/>
      </c>
      <c r="F6" s="7" t="str">
        <f>IF($A6&lt;&gt;"",MAXIFS(Token!$B:$B,Token!$A:$A,$D6),)</f>
        <v/>
      </c>
      <c r="G6" s="41">
        <f>TIME(2,0,0)</f>
        <v>0.08333333333</v>
      </c>
    </row>
    <row r="7">
      <c r="A7" s="39" t="str">
        <f>IF(AND($L7*1&gt;=$G$3,$L7*1&lt;=$G$4,$I7*$J7&gt;0,OR($I7&lt;&gt;$I8,$L7-$L8&gt;25),$I7/POW(10,$J7)*MAXIFS(Token!$B:$B,Token!$A:$A,$K7)&gt;0.01),$L7/86400+DATE(1970,1,1)+$G$6,)</f>
        <v/>
      </c>
      <c r="B7" s="27" t="str">
        <f t="shared" si="1"/>
        <v/>
      </c>
      <c r="C7" s="14" t="str">
        <f>IF($A7&lt;&gt;"",MINIFS(Merchant!$A:$A,Merchant!$B:$B,$G$2),)</f>
        <v/>
      </c>
      <c r="D7" s="14" t="str">
        <f t="shared" si="2"/>
        <v/>
      </c>
      <c r="E7" s="14" t="str">
        <f t="shared" si="3"/>
        <v/>
      </c>
      <c r="F7" s="7" t="str">
        <f>IF($A7&lt;&gt;"",MAXIFS(Token!$B:$B,Token!$A:$A,$D7),)</f>
        <v/>
      </c>
      <c r="G7" s="14" t="s">
        <v>103</v>
      </c>
    </row>
    <row r="8">
      <c r="A8" s="39" t="str">
        <f>IF(AND($L8*1&gt;=$G$3,$L8*1&lt;=$G$4,$I8*$J8&gt;0,OR($I8&lt;&gt;$I9,$L8-$L9&gt;25),$I8/POW(10,$J8)*MAXIFS(Token!$B:$B,Token!$A:$A,$K8)&gt;0.01),$L8/86400+DATE(1970,1,1)+$G$6,)</f>
        <v/>
      </c>
      <c r="B8" s="27" t="str">
        <f t="shared" si="1"/>
        <v/>
      </c>
      <c r="C8" s="14" t="str">
        <f>IF($A8&lt;&gt;"",MINIFS(Merchant!$A:$A,Merchant!$B:$B,$G$2),)</f>
        <v/>
      </c>
      <c r="D8" s="14" t="str">
        <f t="shared" si="2"/>
        <v/>
      </c>
      <c r="E8" s="14" t="str">
        <f t="shared" si="3"/>
        <v/>
      </c>
      <c r="F8" s="7" t="str">
        <f>IF($A8&lt;&gt;"",MAXIFS(Token!$B:$B,Token!$A:$A,$D8),)</f>
        <v/>
      </c>
      <c r="G8" s="6" t="b">
        <f>COUNTIF(OFFSET($A:$A,1,0),"&lt;&gt;")&lt;&gt;COUNTIF(Transactions!$C:$C,$G$1)</f>
        <v>0</v>
      </c>
    </row>
    <row r="9">
      <c r="A9" s="39" t="str">
        <f>IF(AND($L9*1&gt;=$G$3,$L9*1&lt;=$G$4,$I9*$J9&gt;0,OR($I9&lt;&gt;$I10,$L9-$L10&gt;25),$I9/POW(10,$J9)*MAXIFS(Token!$B:$B,Token!$A:$A,$K9)&gt;0.01),$L9/86400+DATE(1970,1,1)+$G$6,)</f>
        <v/>
      </c>
      <c r="B9" s="27" t="str">
        <f t="shared" si="1"/>
        <v/>
      </c>
      <c r="C9" s="14" t="str">
        <f>IF($A9&lt;&gt;"",MINIFS(Merchant!$A:$A,Merchant!$B:$B,$G$2),)</f>
        <v/>
      </c>
      <c r="D9" s="14" t="str">
        <f t="shared" si="2"/>
        <v/>
      </c>
      <c r="E9" s="14" t="str">
        <f t="shared" si="3"/>
        <v/>
      </c>
      <c r="F9" s="7" t="str">
        <f>IF($A9&lt;&gt;"",MAXIFS(Token!$B:$B,Token!$A:$A,$D9),)</f>
        <v/>
      </c>
      <c r="G9" s="42">
        <f>TODAY()+TIME(7,0,0)</f>
        <v>44933.29167</v>
      </c>
    </row>
    <row r="10">
      <c r="A10" s="39" t="str">
        <f>IF(AND($L10*1&gt;=$G$3,$L10*1&lt;=$G$4,$I10*$J10&gt;0,OR($I10&lt;&gt;$I11,$L10-$L11&gt;25),$I10/POW(10,$J10)*MAXIFS(Token!$B:$B,Token!$A:$A,$K10)&gt;0.01),$L10/86400+DATE(1970,1,1)+$G$6,)</f>
        <v/>
      </c>
      <c r="B10" s="27" t="str">
        <f t="shared" si="1"/>
        <v/>
      </c>
      <c r="C10" s="14" t="str">
        <f>IF($A10&lt;&gt;"",MINIFS(Merchant!$A:$A,Merchant!$B:$B,$G$2),)</f>
        <v/>
      </c>
      <c r="D10" s="14" t="str">
        <f t="shared" si="2"/>
        <v/>
      </c>
      <c r="E10" s="14" t="str">
        <f t="shared" si="3"/>
        <v/>
      </c>
      <c r="F10" s="7" t="str">
        <f>IF($A10&lt;&gt;"",MAXIFS(Token!$B:$B,Token!$A:$A,$D10),)</f>
        <v/>
      </c>
      <c r="G10" s="42">
        <f>TODAY()+TIME(22,0,0)</f>
        <v>44933.91667</v>
      </c>
    </row>
    <row r="11">
      <c r="A11" s="39" t="str">
        <f>IF(AND($L11*1&gt;=$G$3,$L11*1&lt;=$G$4,$I11*$J11&gt;0,OR($I11&lt;&gt;$I12,$L11-$L12&gt;25),$I11/POW(10,$J11)*MAXIFS(Token!$B:$B,Token!$A:$A,$K11)&gt;0.01),$L11/86400+DATE(1970,1,1)+$G$6,)</f>
        <v/>
      </c>
      <c r="B11" s="27" t="str">
        <f t="shared" si="1"/>
        <v/>
      </c>
      <c r="C11" s="14" t="str">
        <f>IF($A11&lt;&gt;"",MINIFS(Merchant!$A:$A,Merchant!$B:$B,$G$2),)</f>
        <v/>
      </c>
      <c r="D11" s="14" t="str">
        <f t="shared" si="2"/>
        <v/>
      </c>
      <c r="E11" s="14" t="str">
        <f t="shared" si="3"/>
        <v/>
      </c>
      <c r="F11" s="7" t="str">
        <f>IF($A11&lt;&gt;"",MAXIFS(Token!$B:$B,Token!$A:$A,$D11),)</f>
        <v/>
      </c>
      <c r="G11" s="6" t="b">
        <f>OR(TRUE,AND(NOW()&gt;$G$9,NOW()&lt;=$G$10))</f>
        <v>1</v>
      </c>
    </row>
    <row r="12">
      <c r="A12" s="39" t="str">
        <f>IF(AND($L12*1&gt;=$G$3,$L12*1&lt;=$G$4,$I12*$J12&gt;0,OR($I12&lt;&gt;$I13,$L12-$L13&gt;25),$I12/POW(10,$J12)*MAXIFS(Token!$B:$B,Token!$A:$A,$K12)&gt;0.01),$L12/86400+DATE(1970,1,1)+$G$6,)</f>
        <v/>
      </c>
      <c r="B12" s="27" t="str">
        <f t="shared" si="1"/>
        <v/>
      </c>
      <c r="C12" s="14" t="str">
        <f>IF($A12&lt;&gt;"",MINIFS(Merchant!$A:$A,Merchant!$B:$B,$G$2),)</f>
        <v/>
      </c>
      <c r="D12" s="14" t="str">
        <f t="shared" si="2"/>
        <v/>
      </c>
      <c r="E12" s="14" t="str">
        <f t="shared" si="3"/>
        <v/>
      </c>
      <c r="F12" s="7" t="str">
        <f>IF($A12&lt;&gt;"",MAXIFS(Token!$B:$B,Token!$A:$A,$D12),)</f>
        <v/>
      </c>
    </row>
    <row r="13">
      <c r="A13" s="39" t="str">
        <f>IF(AND($L13*1&gt;=$G$3,$L13*1&lt;=$G$4,$I13*$J13&gt;0,OR($I13&lt;&gt;$I14,$L13-$L14&gt;25),$I13/POW(10,$J13)*MAXIFS(Token!$B:$B,Token!$A:$A,$K13)&gt;0.01),$L13/86400+DATE(1970,1,1)+$G$6,)</f>
        <v/>
      </c>
      <c r="B13" s="27" t="str">
        <f t="shared" si="1"/>
        <v/>
      </c>
      <c r="C13" s="14" t="str">
        <f>IF($A13&lt;&gt;"",MINIFS(Merchant!$A:$A,Merchant!$B:$B,$G$2),)</f>
        <v/>
      </c>
      <c r="D13" s="14" t="str">
        <f t="shared" si="2"/>
        <v/>
      </c>
      <c r="E13" s="14" t="str">
        <f t="shared" si="3"/>
        <v/>
      </c>
      <c r="F13" s="7" t="str">
        <f>IF($A13&lt;&gt;"",MAXIFS(Token!$B:$B,Token!$A:$A,$D13),)</f>
        <v/>
      </c>
    </row>
    <row r="14">
      <c r="A14" s="39" t="str">
        <f>IF(AND($L14*1&gt;=$G$3,$L14*1&lt;=$G$4,$I14*$J14&gt;0,OR($I14&lt;&gt;$I15,$L14-$L15&gt;25),$I14/POW(10,$J14)*MAXIFS(Token!$B:$B,Token!$A:$A,$K14)&gt;0.01),$L14/86400+DATE(1970,1,1)+$G$6,)</f>
        <v/>
      </c>
      <c r="B14" s="27" t="str">
        <f t="shared" si="1"/>
        <v/>
      </c>
      <c r="C14" s="14" t="str">
        <f>IF($A14&lt;&gt;"",MINIFS(Merchant!$A:$A,Merchant!$B:$B,$G$2),)</f>
        <v/>
      </c>
      <c r="D14" s="14" t="str">
        <f t="shared" si="2"/>
        <v/>
      </c>
      <c r="E14" s="14" t="str">
        <f t="shared" si="3"/>
        <v/>
      </c>
      <c r="F14" s="7" t="str">
        <f>IF($A14&lt;&gt;"",MAXIFS(Token!$B:$B,Token!$A:$A,$D14),)</f>
        <v/>
      </c>
    </row>
    <row r="15">
      <c r="A15" s="39" t="str">
        <f>IF(AND($L15*1&gt;=$G$3,$L15*1&lt;=$G$4,$I15*$J15&gt;0,OR($I15&lt;&gt;$I16,$L15-$L16&gt;25),$I15/POW(10,$J15)*MAXIFS(Token!$B:$B,Token!$A:$A,$K15)&gt;0.01),$L15/86400+DATE(1970,1,1)+$G$6,)</f>
        <v/>
      </c>
      <c r="B15" s="27" t="str">
        <f t="shared" si="1"/>
        <v/>
      </c>
      <c r="C15" s="14" t="str">
        <f>IF($A15&lt;&gt;"",MINIFS(Merchant!$A:$A,Merchant!$B:$B,$G$2),)</f>
        <v/>
      </c>
      <c r="D15" s="14" t="str">
        <f t="shared" si="2"/>
        <v/>
      </c>
      <c r="E15" s="14" t="str">
        <f t="shared" si="3"/>
        <v/>
      </c>
      <c r="F15" s="7" t="str">
        <f>IF($A15&lt;&gt;"",MAXIFS(Token!$B:$B,Token!$A:$A,$D15),)</f>
        <v/>
      </c>
      <c r="G15" s="39"/>
    </row>
    <row r="16">
      <c r="A16" s="39" t="str">
        <f>IF(AND($L16*1&gt;=$G$3,$L16*1&lt;=$G$4,$I16*$J16&gt;0,OR($I16&lt;&gt;$I17,$L16-$L17&gt;25),$I16/POW(10,$J16)*MAXIFS(Token!$B:$B,Token!$A:$A,$K16)&gt;0.01),$L16/86400+DATE(1970,1,1)+$G$6,)</f>
        <v/>
      </c>
      <c r="B16" s="27" t="str">
        <f t="shared" si="1"/>
        <v/>
      </c>
      <c r="C16" s="14" t="str">
        <f>IF($A16&lt;&gt;"",MINIFS(Merchant!$A:$A,Merchant!$B:$B,$G$2),)</f>
        <v/>
      </c>
      <c r="D16" s="14" t="str">
        <f t="shared" si="2"/>
        <v/>
      </c>
      <c r="E16" s="14" t="str">
        <f t="shared" si="3"/>
        <v/>
      </c>
      <c r="F16" s="7" t="str">
        <f>IF($A16&lt;&gt;"",MAXIFS(Token!$B:$B,Token!$A:$A,$D16),)</f>
        <v/>
      </c>
    </row>
    <row r="17">
      <c r="A17" s="39" t="str">
        <f>IF(AND($L17*1&gt;=$G$3,$L17*1&lt;=$G$4,$I17*$J17&gt;0,OR($I17&lt;&gt;$I18,$L17-$L18&gt;25),$I17/POW(10,$J17)*MAXIFS(Token!$B:$B,Token!$A:$A,$K17)&gt;0.01),$L17/86400+DATE(1970,1,1)+$G$6,)</f>
        <v/>
      </c>
      <c r="B17" s="27" t="str">
        <f t="shared" si="1"/>
        <v/>
      </c>
      <c r="C17" s="14" t="str">
        <f>IF($A17&lt;&gt;"",MINIFS(Merchant!$A:$A,Merchant!$B:$B,$G$2),)</f>
        <v/>
      </c>
      <c r="D17" s="14" t="str">
        <f t="shared" si="2"/>
        <v/>
      </c>
      <c r="E17" s="14" t="str">
        <f t="shared" si="3"/>
        <v/>
      </c>
      <c r="F17" s="7" t="str">
        <f>IF($A17&lt;&gt;"",MAXIFS(Token!$B:$B,Token!$A:$A,$D17),)</f>
        <v/>
      </c>
    </row>
    <row r="18">
      <c r="A18" s="39" t="str">
        <f>IF(AND($L18*1&gt;=$G$3,$L18*1&lt;=$G$4,$I18*$J18&gt;0,OR($I18&lt;&gt;$I19,$L18-$L19&gt;25),$I18/POW(10,$J18)*MAXIFS(Token!$B:$B,Token!$A:$A,$K18)&gt;0.01),$L18/86400+DATE(1970,1,1)+$G$6,)</f>
        <v/>
      </c>
      <c r="B18" s="27" t="str">
        <f t="shared" si="1"/>
        <v/>
      </c>
      <c r="C18" s="14" t="str">
        <f>IF($A18&lt;&gt;"",MINIFS(Merchant!$A:$A,Merchant!$B:$B,$G$2),)</f>
        <v/>
      </c>
      <c r="D18" s="14" t="str">
        <f t="shared" si="2"/>
        <v/>
      </c>
      <c r="E18" s="14" t="str">
        <f t="shared" si="3"/>
        <v/>
      </c>
      <c r="F18" s="7" t="str">
        <f>IF($A18&lt;&gt;"",MAXIFS(Token!$B:$B,Token!$A:$A,$D18),)</f>
        <v/>
      </c>
    </row>
    <row r="19">
      <c r="A19" s="39" t="str">
        <f>IF(AND($L19*1&gt;=$G$3,$L19*1&lt;=$G$4,$I19*$J19&gt;0,OR($I19&lt;&gt;$I20,$L19-$L20&gt;25),$I19/POW(10,$J19)*MAXIFS(Token!$B:$B,Token!$A:$A,$K19)&gt;0.01),$L19/86400+DATE(1970,1,1)+$G$6,)</f>
        <v/>
      </c>
      <c r="B19" s="27" t="str">
        <f t="shared" si="1"/>
        <v/>
      </c>
      <c r="C19" s="14" t="str">
        <f>IF($A19&lt;&gt;"",MINIFS(Merchant!$A:$A,Merchant!$B:$B,$G$2),)</f>
        <v/>
      </c>
      <c r="D19" s="14" t="str">
        <f t="shared" si="2"/>
        <v/>
      </c>
      <c r="E19" s="14" t="str">
        <f t="shared" si="3"/>
        <v/>
      </c>
      <c r="F19" s="7" t="str">
        <f>IF($A19&lt;&gt;"",MAXIFS(Token!$B:$B,Token!$A:$A,$D19),)</f>
        <v/>
      </c>
    </row>
    <row r="20">
      <c r="A20" s="39" t="str">
        <f>IF(AND($L20*1&gt;=$G$3,$L20*1&lt;=$G$4,$I20*$J20&gt;0,OR($I20&lt;&gt;$I21,$L20-$L21&gt;25),$I20/POW(10,$J20)*MAXIFS(Token!$B:$B,Token!$A:$A,$K20)&gt;0.01),$L20/86400+DATE(1970,1,1)+$G$6,)</f>
        <v/>
      </c>
      <c r="B20" s="27" t="str">
        <f t="shared" si="1"/>
        <v/>
      </c>
      <c r="C20" s="14" t="str">
        <f>IF($A20&lt;&gt;"",MINIFS(Merchant!$A:$A,Merchant!$B:$B,$G$2),)</f>
        <v/>
      </c>
      <c r="D20" s="14" t="str">
        <f t="shared" si="2"/>
        <v/>
      </c>
      <c r="E20" s="14" t="str">
        <f t="shared" si="3"/>
        <v/>
      </c>
      <c r="F20" s="7" t="str">
        <f>IF($A20&lt;&gt;"",MAXIFS(Token!$B:$B,Token!$A:$A,$D20),)</f>
        <v/>
      </c>
    </row>
    <row r="21">
      <c r="A21" s="39" t="str">
        <f>IF(AND($L21*1&gt;=$G$3,$L21*1&lt;=$G$4,$I21*$J21&gt;0,OR($I21&lt;&gt;$I22,$L21-$L22&gt;25),$I21/POW(10,$J21)*MAXIFS(Token!$B:$B,Token!$A:$A,$K21)&gt;0.01),$L21/86400+DATE(1970,1,1)+$G$6,)</f>
        <v/>
      </c>
      <c r="B21" s="27" t="str">
        <f t="shared" si="1"/>
        <v/>
      </c>
      <c r="C21" s="14" t="str">
        <f>IF($A21&lt;&gt;"",MINIFS(Merchant!$A:$A,Merchant!$B:$B,$G$2),)</f>
        <v/>
      </c>
      <c r="D21" s="14" t="str">
        <f t="shared" si="2"/>
        <v/>
      </c>
      <c r="E21" s="14" t="str">
        <f t="shared" si="3"/>
        <v/>
      </c>
      <c r="F21" s="7" t="str">
        <f>IF($A21&lt;&gt;"",MAXIFS(Token!$B:$B,Token!$A:$A,$D21),)</f>
        <v/>
      </c>
    </row>
    <row r="22">
      <c r="A22" s="39" t="str">
        <f>IF(AND($L22*1&gt;=$G$3,$L22*1&lt;=$G$4,$I22*$J22&gt;0,OR($I22&lt;&gt;$I23,$L22-$L23&gt;25),$I22/POW(10,$J22)*MAXIFS(Token!$B:$B,Token!$A:$A,$K22)&gt;0.01),$L22/86400+DATE(1970,1,1)+$G$6,)</f>
        <v/>
      </c>
      <c r="B22" s="27" t="str">
        <f t="shared" si="1"/>
        <v/>
      </c>
      <c r="C22" s="14" t="str">
        <f>IF($A22&lt;&gt;"",MINIFS(Merchant!$A:$A,Merchant!$B:$B,$G$2),)</f>
        <v/>
      </c>
      <c r="D22" s="14" t="str">
        <f t="shared" si="2"/>
        <v/>
      </c>
      <c r="E22" s="14" t="str">
        <f t="shared" si="3"/>
        <v/>
      </c>
      <c r="F22" s="7" t="str">
        <f>IF($A22&lt;&gt;"",MAXIFS(Token!$B:$B,Token!$A:$A,$D22),)</f>
        <v/>
      </c>
    </row>
    <row r="23">
      <c r="A23" s="39" t="str">
        <f>IF(AND($L23*1&gt;=$G$3,$L23*1&lt;=$G$4,$I23*$J23&gt;0,OR($I23&lt;&gt;$I24,$L23-$L24&gt;25),$I23/POW(10,$J23)*MAXIFS(Token!$B:$B,Token!$A:$A,$K23)&gt;0.01),$L23/86400+DATE(1970,1,1)+$G$6,)</f>
        <v/>
      </c>
      <c r="B23" s="27" t="str">
        <f t="shared" si="1"/>
        <v/>
      </c>
      <c r="C23" s="14" t="str">
        <f>IF($A23&lt;&gt;"",MINIFS(Merchant!$A:$A,Merchant!$B:$B,$G$2),)</f>
        <v/>
      </c>
      <c r="D23" s="14" t="str">
        <f t="shared" si="2"/>
        <v/>
      </c>
      <c r="E23" s="14" t="str">
        <f t="shared" si="3"/>
        <v/>
      </c>
      <c r="F23" s="7" t="str">
        <f>IF($A23&lt;&gt;"",MAXIFS(Token!$B:$B,Token!$A:$A,$D23),)</f>
        <v/>
      </c>
    </row>
    <row r="24">
      <c r="A24" s="39" t="str">
        <f>IF(AND($L24*1&gt;=$G$3,$L24*1&lt;=$G$4,$I24*$J24&gt;0,OR($I24&lt;&gt;$I25,$L24-$L25&gt;25),$I24/POW(10,$J24)*MAXIFS(Token!$B:$B,Token!$A:$A,$K24)&gt;0.01),$L24/86400+DATE(1970,1,1)+$G$6,)</f>
        <v/>
      </c>
      <c r="B24" s="27" t="str">
        <f t="shared" si="1"/>
        <v/>
      </c>
      <c r="C24" s="14" t="str">
        <f>IF($A24&lt;&gt;"",MINIFS(Merchant!$A:$A,Merchant!$B:$B,$G$2),)</f>
        <v/>
      </c>
      <c r="D24" s="14" t="str">
        <f t="shared" si="2"/>
        <v/>
      </c>
      <c r="E24" s="14" t="str">
        <f t="shared" si="3"/>
        <v/>
      </c>
      <c r="F24" s="7" t="str">
        <f>IF($A24&lt;&gt;"",MAXIFS(Token!$B:$B,Token!$A:$A,$D24),)</f>
        <v/>
      </c>
    </row>
    <row r="25">
      <c r="A25" s="39" t="str">
        <f>IF(AND($L25*1&gt;=$G$3,$L25*1&lt;=$G$4,$I25*$J25&gt;0,OR($I25&lt;&gt;$I26,$L25-$L26&gt;25),$I25/POW(10,$J25)*MAXIFS(Token!$B:$B,Token!$A:$A,$K25)&gt;0.01),$L25/86400+DATE(1970,1,1)+$G$6,)</f>
        <v/>
      </c>
      <c r="B25" s="27" t="str">
        <f t="shared" si="1"/>
        <v/>
      </c>
      <c r="C25" s="14" t="str">
        <f>IF($A25&lt;&gt;"",MINIFS(Merchant!$A:$A,Merchant!$B:$B,$G$2),)</f>
        <v/>
      </c>
      <c r="D25" s="14" t="str">
        <f t="shared" si="2"/>
        <v/>
      </c>
      <c r="E25" s="14" t="str">
        <f t="shared" si="3"/>
        <v/>
      </c>
      <c r="F25" s="7" t="str">
        <f>IF($A25&lt;&gt;"",MAXIFS(Token!$B:$B,Token!$A:$A,$D25),)</f>
        <v/>
      </c>
    </row>
    <row r="26">
      <c r="A26" s="39" t="str">
        <f>IF(AND($L26*1&gt;=$G$3,$L26*1&lt;=$G$4,$I26*$J26&gt;0,OR($I26&lt;&gt;$I27,$L26-$L27&gt;25),$I26/POW(10,$J26)*MAXIFS(Token!$B:$B,Token!$A:$A,$K26)&gt;0.01),$L26/86400+DATE(1970,1,1)+$G$6,)</f>
        <v/>
      </c>
      <c r="B26" s="27" t="str">
        <f t="shared" si="1"/>
        <v/>
      </c>
      <c r="C26" s="14" t="str">
        <f>IF($A26&lt;&gt;"",MINIFS(Merchant!$A:$A,Merchant!$B:$B,$G$2),)</f>
        <v/>
      </c>
      <c r="D26" s="14" t="str">
        <f t="shared" si="2"/>
        <v/>
      </c>
      <c r="E26" s="14" t="str">
        <f t="shared" si="3"/>
        <v/>
      </c>
      <c r="F26" s="7" t="str">
        <f>IF($A26&lt;&gt;"",MAXIFS(Token!$B:$B,Token!$A:$A,$D26),)</f>
        <v/>
      </c>
    </row>
    <row r="27">
      <c r="A27" s="39" t="str">
        <f>IF(AND($L27*1&gt;=$G$3,$L27*1&lt;=$G$4,$I27*$J27&gt;0,OR($I27&lt;&gt;$I28,$L27-$L28&gt;25),$I27/POW(10,$J27)*MAXIFS(Token!$B:$B,Token!$A:$A,$K27)&gt;0.01),$L27/86400+DATE(1970,1,1)+$G$6,)</f>
        <v/>
      </c>
      <c r="B27" s="27" t="str">
        <f t="shared" si="1"/>
        <v/>
      </c>
      <c r="C27" s="14" t="str">
        <f>IF($A27&lt;&gt;"",MINIFS(Merchant!$A:$A,Merchant!$B:$B,$G$2),)</f>
        <v/>
      </c>
      <c r="D27" s="14" t="str">
        <f t="shared" si="2"/>
        <v/>
      </c>
      <c r="E27" s="14" t="str">
        <f t="shared" si="3"/>
        <v/>
      </c>
      <c r="F27" s="7" t="str">
        <f>IF($A27&lt;&gt;"",MAXIFS(Token!$B:$B,Token!$A:$A,$D27),)</f>
        <v/>
      </c>
    </row>
    <row r="28">
      <c r="A28" s="39" t="str">
        <f>IF(AND($L28*1&gt;=$G$3,$L28*1&lt;=$G$4,$I28*$J28&gt;0,OR($I28&lt;&gt;$I29,$L28-$L29&gt;25),$I28/POW(10,$J28)*MAXIFS(Token!$B:$B,Token!$A:$A,$K28)&gt;0.01),$L28/86400+DATE(1970,1,1)+$G$6,)</f>
        <v/>
      </c>
      <c r="B28" s="27" t="str">
        <f t="shared" si="1"/>
        <v/>
      </c>
      <c r="C28" s="14" t="str">
        <f>IF($A28&lt;&gt;"",MINIFS(Merchant!$A:$A,Merchant!$B:$B,$G$2),)</f>
        <v/>
      </c>
      <c r="D28" s="14" t="str">
        <f t="shared" si="2"/>
        <v/>
      </c>
      <c r="E28" s="14" t="str">
        <f t="shared" si="3"/>
        <v/>
      </c>
      <c r="F28" s="7" t="str">
        <f>IF($A28&lt;&gt;"",MAXIFS(Token!$B:$B,Token!$A:$A,$D28),)</f>
        <v/>
      </c>
    </row>
    <row r="29">
      <c r="A29" s="39" t="str">
        <f>IF(AND($L29*1&gt;=$G$3,$L29*1&lt;=$G$4,$I29*$J29&gt;0,OR($I29&lt;&gt;$I30,$L29-$L30&gt;25),$I29/POW(10,$J29)*MAXIFS(Token!$B:$B,Token!$A:$A,$K29)&gt;0.01),$L29/86400+DATE(1970,1,1)+$G$6,)</f>
        <v/>
      </c>
      <c r="B29" s="27" t="str">
        <f t="shared" si="1"/>
        <v/>
      </c>
      <c r="C29" s="14" t="str">
        <f>IF($A29&lt;&gt;"",MINIFS(Merchant!$A:$A,Merchant!$B:$B,$G$2),)</f>
        <v/>
      </c>
      <c r="D29" s="14" t="str">
        <f t="shared" si="2"/>
        <v/>
      </c>
      <c r="E29" s="14" t="str">
        <f t="shared" si="3"/>
        <v/>
      </c>
      <c r="F29" s="7" t="str">
        <f>IF($A29&lt;&gt;"",MAXIFS(Token!$B:$B,Token!$A:$A,$D29),)</f>
        <v/>
      </c>
    </row>
    <row r="30">
      <c r="A30" s="39" t="str">
        <f>IF(AND($L30*1&gt;=$G$3,$L30*1&lt;=$G$4,$I30*$J30&gt;0,OR($I30&lt;&gt;$I31,$L30-$L31&gt;25),$I30/POW(10,$J30)*MAXIFS(Token!$B:$B,Token!$A:$A,$K30)&gt;0.01),$L30/86400+DATE(1970,1,1)+$G$6,)</f>
        <v/>
      </c>
      <c r="B30" s="27" t="str">
        <f t="shared" si="1"/>
        <v/>
      </c>
      <c r="C30" s="14" t="str">
        <f>IF($A30&lt;&gt;"",MINIFS(Merchant!$A:$A,Merchant!$B:$B,$G$2),)</f>
        <v/>
      </c>
      <c r="D30" s="14" t="str">
        <f t="shared" si="2"/>
        <v/>
      </c>
      <c r="E30" s="14" t="str">
        <f t="shared" si="3"/>
        <v/>
      </c>
      <c r="F30" s="7" t="str">
        <f>IF($A30&lt;&gt;"",MAXIFS(Token!$B:$B,Token!$A:$A,$D30),)</f>
        <v/>
      </c>
    </row>
    <row r="31">
      <c r="A31" s="39" t="str">
        <f>IF(AND($L31*1&gt;=$G$3,$L31*1&lt;=$G$4,$I31*$J31&gt;0,OR($I31&lt;&gt;$I32,$L31-$L32&gt;25),$I31/POW(10,$J31)*MAXIFS(Token!$B:$B,Token!$A:$A,$K31)&gt;0.01),$L31/86400+DATE(1970,1,1)+$G$6,)</f>
        <v/>
      </c>
      <c r="B31" s="27" t="str">
        <f t="shared" si="1"/>
        <v/>
      </c>
      <c r="C31" s="14" t="str">
        <f>IF($A31&lt;&gt;"",MINIFS(Merchant!$A:$A,Merchant!$B:$B,$G$2),)</f>
        <v/>
      </c>
      <c r="D31" s="14" t="str">
        <f t="shared" si="2"/>
        <v/>
      </c>
      <c r="E31" s="14" t="str">
        <f t="shared" si="3"/>
        <v/>
      </c>
      <c r="F31" s="7" t="str">
        <f>IF($A31&lt;&gt;"",MAXIFS(Token!$B:$B,Token!$A:$A,$D31),)</f>
        <v/>
      </c>
    </row>
    <row r="32">
      <c r="A32" s="39" t="str">
        <f>IF(AND($L32*1&gt;=$G$3,$L32*1&lt;=$G$4,$I32*$J32&gt;0,OR($I32&lt;&gt;$I33,$L32-$L33&gt;25),$I32/POW(10,$J32)*MAXIFS(Token!$B:$B,Token!$A:$A,$K32)&gt;0.01),$L32/86400+DATE(1970,1,1)+$G$6,)</f>
        <v/>
      </c>
      <c r="B32" s="27" t="str">
        <f t="shared" si="1"/>
        <v/>
      </c>
      <c r="C32" s="14" t="str">
        <f>IF($A32&lt;&gt;"",MINIFS(Merchant!$A:$A,Merchant!$B:$B,$G$2),)</f>
        <v/>
      </c>
      <c r="D32" s="14" t="str">
        <f t="shared" si="2"/>
        <v/>
      </c>
      <c r="E32" s="14" t="str">
        <f t="shared" si="3"/>
        <v/>
      </c>
      <c r="F32" s="7" t="str">
        <f>IF($A32&lt;&gt;"",MAXIFS(Token!$B:$B,Token!$A:$A,$D32),)</f>
        <v/>
      </c>
    </row>
    <row r="33">
      <c r="A33" s="39" t="str">
        <f>IF(AND($L33*1&gt;=$G$3,$L33*1&lt;=$G$4,$I33*$J33&gt;0,OR($I33&lt;&gt;$I34,$L33-$L34&gt;25),$I33/POW(10,$J33)*MAXIFS(Token!$B:$B,Token!$A:$A,$K33)&gt;0.01),$L33/86400+DATE(1970,1,1)+$G$6,)</f>
        <v/>
      </c>
      <c r="B33" s="27" t="str">
        <f t="shared" si="1"/>
        <v/>
      </c>
      <c r="C33" s="14" t="str">
        <f>IF($A33&lt;&gt;"",MINIFS(Merchant!$A:$A,Merchant!$B:$B,$G$2),)</f>
        <v/>
      </c>
      <c r="D33" s="14" t="str">
        <f t="shared" si="2"/>
        <v/>
      </c>
      <c r="E33" s="14" t="str">
        <f t="shared" si="3"/>
        <v/>
      </c>
      <c r="F33" s="7" t="str">
        <f>IF($A33&lt;&gt;"",MAXIFS(Token!$B:$B,Token!$A:$A,$D33),)</f>
        <v/>
      </c>
    </row>
    <row r="34">
      <c r="A34" s="39" t="str">
        <f>IF(AND($L34*1&gt;=$G$3,$L34*1&lt;=$G$4,$I34*$J34&gt;0,OR($I34&lt;&gt;$I35,$L34-$L35&gt;25),$I34/POW(10,$J34)*MAXIFS(Token!$B:$B,Token!$A:$A,$K34)&gt;0.01),$L34/86400+DATE(1970,1,1)+$G$6,)</f>
        <v/>
      </c>
      <c r="B34" s="27" t="str">
        <f t="shared" si="1"/>
        <v/>
      </c>
      <c r="C34" s="14" t="str">
        <f>IF($A34&lt;&gt;"",MINIFS(Merchant!$A:$A,Merchant!$B:$B,$G$2),)</f>
        <v/>
      </c>
      <c r="D34" s="14" t="str">
        <f t="shared" si="2"/>
        <v/>
      </c>
      <c r="E34" s="14" t="str">
        <f t="shared" si="3"/>
        <v/>
      </c>
      <c r="F34" s="7" t="str">
        <f>IF($A34&lt;&gt;"",MAXIFS(Token!$B:$B,Token!$A:$A,$D34),)</f>
        <v/>
      </c>
    </row>
    <row r="35">
      <c r="A35" s="39" t="str">
        <f>IF(AND($L35*1&gt;=$G$3,$L35*1&lt;=$G$4,$I35*$J35&gt;0,OR($I35&lt;&gt;$I36,$L35-$L36&gt;25),$I35/POW(10,$J35)*MAXIFS(Token!$B:$B,Token!$A:$A,$K35)&gt;0.01),$L35/86400+DATE(1970,1,1)+$G$6,)</f>
        <v/>
      </c>
      <c r="B35" s="27" t="str">
        <f t="shared" si="1"/>
        <v/>
      </c>
      <c r="C35" s="14" t="str">
        <f>IF($A35&lt;&gt;"",MINIFS(Merchant!$A:$A,Merchant!$B:$B,$G$2),)</f>
        <v/>
      </c>
      <c r="D35" s="14" t="str">
        <f t="shared" si="2"/>
        <v/>
      </c>
      <c r="E35" s="14" t="str">
        <f t="shared" si="3"/>
        <v/>
      </c>
      <c r="F35" s="7" t="str">
        <f>IF($A35&lt;&gt;"",MAXIFS(Token!$B:$B,Token!$A:$A,$D35),)</f>
        <v/>
      </c>
    </row>
    <row r="36">
      <c r="A36" s="39" t="str">
        <f>IF(AND($L36*1&gt;=$G$3,$L36*1&lt;=$G$4,$I36*$J36&gt;0,OR($I36&lt;&gt;$I37,$L36-$L37&gt;25),$I36/POW(10,$J36)*MAXIFS(Token!$B:$B,Token!$A:$A,$K36)&gt;0.01),$L36/86400+DATE(1970,1,1)+$G$6,)</f>
        <v/>
      </c>
      <c r="B36" s="27" t="str">
        <f t="shared" si="1"/>
        <v/>
      </c>
      <c r="C36" s="14" t="str">
        <f>IF($A36&lt;&gt;"",MINIFS(Merchant!$A:$A,Merchant!$B:$B,$G$2),)</f>
        <v/>
      </c>
      <c r="D36" s="14" t="str">
        <f t="shared" si="2"/>
        <v/>
      </c>
      <c r="E36" s="14" t="str">
        <f t="shared" si="3"/>
        <v/>
      </c>
      <c r="F36" s="7" t="str">
        <f>IF($A36&lt;&gt;"",MAXIFS(Token!$B:$B,Token!$A:$A,$D36),)</f>
        <v/>
      </c>
    </row>
    <row r="37">
      <c r="A37" s="39" t="str">
        <f>IF(AND($L37*1&gt;=$G$3,$L37*1&lt;=$G$4,$I37*$J37&gt;0,OR($I37&lt;&gt;$I38,$L37-$L38&gt;25),$I37/POW(10,$J37)*MAXIFS(Token!$B:$B,Token!$A:$A,$K37)&gt;0.01),$L37/86400+DATE(1970,1,1)+$G$6,)</f>
        <v/>
      </c>
      <c r="B37" s="27" t="str">
        <f t="shared" si="1"/>
        <v/>
      </c>
      <c r="C37" s="14" t="str">
        <f>IF($A37&lt;&gt;"",MINIFS(Merchant!$A:$A,Merchant!$B:$B,$G$2),)</f>
        <v/>
      </c>
      <c r="D37" s="14" t="str">
        <f t="shared" si="2"/>
        <v/>
      </c>
      <c r="E37" s="14" t="str">
        <f t="shared" si="3"/>
        <v/>
      </c>
      <c r="F37" s="7" t="str">
        <f>IF($A37&lt;&gt;"",MAXIFS(Token!$B:$B,Token!$A:$A,$D37),)</f>
        <v/>
      </c>
    </row>
    <row r="38">
      <c r="A38" s="39" t="str">
        <f>IF(AND($L38*1&gt;=$G$3,$L38*1&lt;=$G$4,$I38*$J38&gt;0,OR($I38&lt;&gt;$I39,$L38-$L39&gt;25),$I38/POW(10,$J38)*MAXIFS(Token!$B:$B,Token!$A:$A,$K38)&gt;0.01),$L38/86400+DATE(1970,1,1)+$G$6,)</f>
        <v/>
      </c>
      <c r="B38" s="27" t="str">
        <f t="shared" si="1"/>
        <v/>
      </c>
      <c r="C38" s="14" t="str">
        <f>IF($A38&lt;&gt;"",MINIFS(Merchant!$A:$A,Merchant!$B:$B,$G$2),)</f>
        <v/>
      </c>
      <c r="D38" s="14" t="str">
        <f t="shared" si="2"/>
        <v/>
      </c>
      <c r="E38" s="14" t="str">
        <f t="shared" si="3"/>
        <v/>
      </c>
      <c r="F38" s="7" t="str">
        <f>IF($A38&lt;&gt;"",MAXIFS(Token!$B:$B,Token!$A:$A,$D38),)</f>
        <v/>
      </c>
    </row>
    <row r="39">
      <c r="A39" s="39" t="str">
        <f>IF(AND($L39*1&gt;=$G$3,$L39*1&lt;=$G$4,$I39*$J39&gt;0,OR($I39&lt;&gt;$I40,$L39-$L40&gt;25),$I39/POW(10,$J39)*MAXIFS(Token!$B:$B,Token!$A:$A,$K39)&gt;0.01),$L39/86400+DATE(1970,1,1)+$G$6,)</f>
        <v/>
      </c>
      <c r="B39" s="27" t="str">
        <f t="shared" si="1"/>
        <v/>
      </c>
      <c r="C39" s="14" t="str">
        <f>IF($A39&lt;&gt;"",MINIFS(Merchant!$A:$A,Merchant!$B:$B,$G$2),)</f>
        <v/>
      </c>
      <c r="D39" s="14" t="str">
        <f t="shared" si="2"/>
        <v/>
      </c>
      <c r="E39" s="14" t="str">
        <f t="shared" si="3"/>
        <v/>
      </c>
      <c r="F39" s="7" t="str">
        <f>IF($A39&lt;&gt;"",MAXIFS(Token!$B:$B,Token!$A:$A,$D39),)</f>
        <v/>
      </c>
    </row>
    <row r="40">
      <c r="A40" s="39" t="str">
        <f>IF(AND($L40*1&gt;=$G$3,$L40*1&lt;=$G$4,$I40*$J40&gt;0,OR($I40&lt;&gt;$I41,$L40-$L41&gt;25),$I40/POW(10,$J40)*MAXIFS(Token!$B:$B,Token!$A:$A,$K40)&gt;0.01),$L40/86400+DATE(1970,1,1)+$G$6,)</f>
        <v/>
      </c>
      <c r="B40" s="27" t="str">
        <f t="shared" si="1"/>
        <v/>
      </c>
      <c r="C40" s="14" t="str">
        <f>IF($A40&lt;&gt;"",MINIFS(Merchant!$A:$A,Merchant!$B:$B,$G$2),)</f>
        <v/>
      </c>
      <c r="D40" s="14" t="str">
        <f t="shared" si="2"/>
        <v/>
      </c>
      <c r="E40" s="14" t="str">
        <f t="shared" si="3"/>
        <v/>
      </c>
      <c r="F40" s="7" t="str">
        <f>IF($A40&lt;&gt;"",MAXIFS(Token!$B:$B,Token!$A:$A,$D40),)</f>
        <v/>
      </c>
    </row>
    <row r="41">
      <c r="A41" s="39" t="str">
        <f>IF(AND($L41*1&gt;=$G$3,$L41*1&lt;=$G$4,$I41*$J41&gt;0,OR($I41&lt;&gt;$I42,$L41-$L42&gt;25),$I41/POW(10,$J41)*MAXIFS(Token!$B:$B,Token!$A:$A,$K41)&gt;0.01),$L41/86400+DATE(1970,1,1)+$G$6,)</f>
        <v/>
      </c>
      <c r="B41" s="27" t="str">
        <f t="shared" si="1"/>
        <v/>
      </c>
      <c r="C41" s="14" t="str">
        <f>IF($A41&lt;&gt;"",MINIFS(Merchant!$A:$A,Merchant!$B:$B,$G$2),)</f>
        <v/>
      </c>
      <c r="D41" s="14" t="str">
        <f t="shared" si="2"/>
        <v/>
      </c>
      <c r="E41" s="14" t="str">
        <f t="shared" si="3"/>
        <v/>
      </c>
      <c r="F41" s="7" t="str">
        <f>IF($A41&lt;&gt;"",MAXIFS(Token!$B:$B,Token!$A:$A,$D41),)</f>
        <v/>
      </c>
    </row>
    <row r="42">
      <c r="A42" s="39" t="str">
        <f>IF(AND($L42*1&gt;=$G$3,$L42*1&lt;=$G$4,$I42*$J42&gt;0,OR($I42&lt;&gt;$I43,$L42-$L43&gt;25),$I42/POW(10,$J42)*MAXIFS(Token!$B:$B,Token!$A:$A,$K42)&gt;0.01),$L42/86400+DATE(1970,1,1)+$G$6,)</f>
        <v/>
      </c>
      <c r="B42" s="27" t="str">
        <f t="shared" si="1"/>
        <v/>
      </c>
      <c r="C42" s="14" t="str">
        <f>IF($A42&lt;&gt;"",MINIFS(Merchant!$A:$A,Merchant!$B:$B,$G$2),)</f>
        <v/>
      </c>
      <c r="D42" s="14" t="str">
        <f t="shared" si="2"/>
        <v/>
      </c>
      <c r="E42" s="14" t="str">
        <f t="shared" si="3"/>
        <v/>
      </c>
      <c r="F42" s="7" t="str">
        <f>IF($A42&lt;&gt;"",MAXIFS(Token!$B:$B,Token!$A:$A,$D42),)</f>
        <v/>
      </c>
    </row>
    <row r="43">
      <c r="A43" s="39" t="str">
        <f>IF(AND($L43*1&gt;=$G$3,$L43*1&lt;=$G$4,$I43*$J43&gt;0,OR($I43&lt;&gt;$I44,$L43-$L44&gt;25),$I43/POW(10,$J43)*MAXIFS(Token!$B:$B,Token!$A:$A,$K43)&gt;0.01),$L43/86400+DATE(1970,1,1)+$G$6,)</f>
        <v/>
      </c>
      <c r="B43" s="27" t="str">
        <f t="shared" si="1"/>
        <v/>
      </c>
      <c r="C43" s="14" t="str">
        <f>IF($A43&lt;&gt;"",MINIFS(Merchant!$A:$A,Merchant!$B:$B,$G$2),)</f>
        <v/>
      </c>
      <c r="D43" s="14" t="str">
        <f t="shared" si="2"/>
        <v/>
      </c>
      <c r="E43" s="14" t="str">
        <f t="shared" si="3"/>
        <v/>
      </c>
      <c r="F43" s="7" t="str">
        <f>IF($A43&lt;&gt;"",MAXIFS(Token!$B:$B,Token!$A:$A,$D43),)</f>
        <v/>
      </c>
    </row>
    <row r="44">
      <c r="A44" s="39" t="str">
        <f>IF(AND($L44*1&gt;=$G$3,$L44*1&lt;=$G$4,$I44*$J44&gt;0,OR($I44&lt;&gt;$I45,$L44-$L45&gt;25),$I44/POW(10,$J44)*MAXIFS(Token!$B:$B,Token!$A:$A,$K44)&gt;0.01),$L44/86400+DATE(1970,1,1)+$G$6,)</f>
        <v/>
      </c>
      <c r="B44" s="27" t="str">
        <f t="shared" si="1"/>
        <v/>
      </c>
      <c r="C44" s="14" t="str">
        <f>IF($A44&lt;&gt;"",MINIFS(Merchant!$A:$A,Merchant!$B:$B,$G$2),)</f>
        <v/>
      </c>
      <c r="D44" s="14" t="str">
        <f t="shared" si="2"/>
        <v/>
      </c>
      <c r="E44" s="14" t="str">
        <f t="shared" si="3"/>
        <v/>
      </c>
      <c r="F44" s="7" t="str">
        <f>IF($A44&lt;&gt;"",MAXIFS(Token!$B:$B,Token!$A:$A,$D44),)</f>
        <v/>
      </c>
    </row>
    <row r="45">
      <c r="A45" s="39" t="str">
        <f>IF(AND($L45*1&gt;=$G$3,$L45*1&lt;=$G$4,$I45*$J45&gt;0,OR($I45&lt;&gt;$I46,$L45-$L46&gt;25),$I45/POW(10,$J45)*MAXIFS(Token!$B:$B,Token!$A:$A,$K45)&gt;0.01),$L45/86400+DATE(1970,1,1)+$G$6,)</f>
        <v/>
      </c>
      <c r="B45" s="27" t="str">
        <f t="shared" si="1"/>
        <v/>
      </c>
      <c r="C45" s="14" t="str">
        <f>IF($A45&lt;&gt;"",MINIFS(Merchant!$A:$A,Merchant!$B:$B,$G$2),)</f>
        <v/>
      </c>
      <c r="D45" s="14" t="str">
        <f t="shared" si="2"/>
        <v/>
      </c>
      <c r="E45" s="14" t="str">
        <f t="shared" si="3"/>
        <v/>
      </c>
      <c r="F45" s="7" t="str">
        <f>IF($A45&lt;&gt;"",MAXIFS(Token!$B:$B,Token!$A:$A,$D45),)</f>
        <v/>
      </c>
    </row>
    <row r="46">
      <c r="A46" s="39" t="str">
        <f>IF(AND($L46*1&gt;=$G$3,$L46*1&lt;=$G$4,$I46*$J46&gt;0,OR($I46&lt;&gt;$I47,$L46-$L47&gt;25),$I46/POW(10,$J46)*MAXIFS(Token!$B:$B,Token!$A:$A,$K46)&gt;0.01),$L46/86400+DATE(1970,1,1)+$G$6,)</f>
        <v/>
      </c>
      <c r="B46" s="27" t="str">
        <f t="shared" si="1"/>
        <v/>
      </c>
      <c r="C46" s="14" t="str">
        <f>IF($A46&lt;&gt;"",MINIFS(Merchant!$A:$A,Merchant!$B:$B,$G$2),)</f>
        <v/>
      </c>
      <c r="D46" s="14" t="str">
        <f t="shared" si="2"/>
        <v/>
      </c>
      <c r="E46" s="14" t="str">
        <f t="shared" si="3"/>
        <v/>
      </c>
      <c r="F46" s="7" t="str">
        <f>IF($A46&lt;&gt;"",MAXIFS(Token!$B:$B,Token!$A:$A,$D46),)</f>
        <v/>
      </c>
    </row>
    <row r="47">
      <c r="A47" s="39" t="str">
        <f>IF(AND($L47*1&gt;=$G$3,$L47*1&lt;=$G$4,$I47*$J47&gt;0,OR($I47&lt;&gt;$I48,$L47-$L48&gt;25),$I47/POW(10,$J47)*MAXIFS(Token!$B:$B,Token!$A:$A,$K47)&gt;0.01),$L47/86400+DATE(1970,1,1)+$G$6,)</f>
        <v/>
      </c>
      <c r="B47" s="27" t="str">
        <f t="shared" si="1"/>
        <v/>
      </c>
      <c r="C47" s="14" t="str">
        <f>IF($A47&lt;&gt;"",MINIFS(Merchant!$A:$A,Merchant!$B:$B,$G$2),)</f>
        <v/>
      </c>
      <c r="D47" s="14" t="str">
        <f t="shared" si="2"/>
        <v/>
      </c>
      <c r="E47" s="14" t="str">
        <f t="shared" si="3"/>
        <v/>
      </c>
      <c r="F47" s="7" t="str">
        <f>IF($A47&lt;&gt;"",MAXIFS(Token!$B:$B,Token!$A:$A,$D47),)</f>
        <v/>
      </c>
    </row>
    <row r="48">
      <c r="A48" s="39" t="str">
        <f>IF(AND($L48*1&gt;=$G$3,$L48*1&lt;=$G$4,$I48*$J48&gt;0,OR($I48&lt;&gt;$I49,$L48-$L49&gt;25),$I48/POW(10,$J48)*MAXIFS(Token!$B:$B,Token!$A:$A,$K48)&gt;0.01),$L48/86400+DATE(1970,1,1)+$G$6,)</f>
        <v/>
      </c>
      <c r="B48" s="27" t="str">
        <f t="shared" si="1"/>
        <v/>
      </c>
      <c r="C48" s="14" t="str">
        <f>IF($A48&lt;&gt;"",MINIFS(Merchant!$A:$A,Merchant!$B:$B,$G$2),)</f>
        <v/>
      </c>
      <c r="D48" s="14" t="str">
        <f t="shared" si="2"/>
        <v/>
      </c>
      <c r="E48" s="14" t="str">
        <f t="shared" si="3"/>
        <v/>
      </c>
      <c r="F48" s="7" t="str">
        <f>IF($A48&lt;&gt;"",MAXIFS(Token!$B:$B,Token!$A:$A,$D48),)</f>
        <v/>
      </c>
    </row>
    <row r="49">
      <c r="A49" s="39" t="str">
        <f>IF(AND($L49*1&gt;=$G$3,$L49*1&lt;=$G$4,$I49*$J49&gt;0,OR($I49&lt;&gt;$I50,$L49-$L50&gt;25),$I49/POW(10,$J49)*MAXIFS(Token!$B:$B,Token!$A:$A,$K49)&gt;0.01),$L49/86400+DATE(1970,1,1)+$G$6,)</f>
        <v/>
      </c>
      <c r="B49" s="27" t="str">
        <f t="shared" si="1"/>
        <v/>
      </c>
      <c r="C49" s="14" t="str">
        <f>IF($A49&lt;&gt;"",MINIFS(Merchant!$A:$A,Merchant!$B:$B,$G$2),)</f>
        <v/>
      </c>
      <c r="D49" s="14" t="str">
        <f t="shared" si="2"/>
        <v/>
      </c>
      <c r="E49" s="14" t="str">
        <f t="shared" si="3"/>
        <v/>
      </c>
      <c r="F49" s="7" t="str">
        <f>IF($A49&lt;&gt;"",MAXIFS(Token!$B:$B,Token!$A:$A,$D49),)</f>
        <v/>
      </c>
    </row>
    <row r="50">
      <c r="A50" s="39" t="str">
        <f>IF(AND($L50*1&gt;=$G$3,$L50*1&lt;=$G$4,$I50*$J50&gt;0,OR($I50&lt;&gt;$I51,$L50-$L51&gt;25),$I50/POW(10,$J50)*MAXIFS(Token!$B:$B,Token!$A:$A,$K50)&gt;0.01),$L50/86400+DATE(1970,1,1)+$G$6,)</f>
        <v/>
      </c>
      <c r="B50" s="27" t="str">
        <f t="shared" si="1"/>
        <v/>
      </c>
      <c r="C50" s="14" t="str">
        <f>IF($A50&lt;&gt;"",MINIFS(Merchant!$A:$A,Merchant!$B:$B,$G$2),)</f>
        <v/>
      </c>
      <c r="D50" s="14" t="str">
        <f t="shared" si="2"/>
        <v/>
      </c>
      <c r="E50" s="14" t="str">
        <f t="shared" si="3"/>
        <v/>
      </c>
      <c r="F50" s="7" t="str">
        <f>IF($A50&lt;&gt;"",MAXIFS(Token!$B:$B,Token!$A:$A,$D50),)</f>
        <v/>
      </c>
    </row>
    <row r="51">
      <c r="A51" s="39" t="str">
        <f>IF(AND($L51*1&gt;=$G$3,$L51*1&lt;=$G$4,$I51*$J51&gt;0,OR($I51&lt;&gt;$I52,$L51-$L52&gt;25),$I51/POW(10,$J51)*MAXIFS(Token!$B:$B,Token!$A:$A,$K51)&gt;0.01),$L51/86400+DATE(1970,1,1)+$G$6,)</f>
        <v/>
      </c>
      <c r="B51" s="27" t="str">
        <f t="shared" si="1"/>
        <v/>
      </c>
      <c r="C51" s="14" t="str">
        <f>IF($A51&lt;&gt;"",MINIFS(Merchant!$A:$A,Merchant!$B:$B,$G$2),)</f>
        <v/>
      </c>
      <c r="D51" s="14" t="str">
        <f t="shared" si="2"/>
        <v/>
      </c>
      <c r="E51" s="14" t="str">
        <f t="shared" si="3"/>
        <v/>
      </c>
      <c r="F51" s="7" t="str">
        <f>IF($A51&lt;&gt;"",MAXIFS(Token!$B:$B,Token!$A:$A,$D51),)</f>
        <v/>
      </c>
    </row>
    <row r="52">
      <c r="A52" s="39" t="str">
        <f>IF(AND($L52*1&gt;=$G$3,$L52*1&lt;=$G$4,$I52*$J52&gt;0,OR($I52&lt;&gt;$I53,$L52-$L53&gt;25),$I52/POW(10,$J52)*MAXIFS(Token!$B:$B,Token!$A:$A,$K52)&gt;0.01),$L52/86400+DATE(1970,1,1)+$G$6,)</f>
        <v/>
      </c>
      <c r="B52" s="27" t="str">
        <f t="shared" si="1"/>
        <v/>
      </c>
      <c r="C52" s="14" t="str">
        <f>IF($A52&lt;&gt;"",MINIFS(Merchant!$A:$A,Merchant!$B:$B,$G$2),)</f>
        <v/>
      </c>
      <c r="D52" s="14" t="str">
        <f t="shared" si="2"/>
        <v/>
      </c>
      <c r="E52" s="14" t="str">
        <f t="shared" si="3"/>
        <v/>
      </c>
      <c r="F52" s="7" t="str">
        <f>IF($A52&lt;&gt;"",MAXIFS(Token!$B:$B,Token!$A:$A,$D52),)</f>
        <v/>
      </c>
      <c r="H52" s="6" t="str">
        <f>IFERROR(__xludf.DUMMYFUNCTION("IF(AND($G$11,INDEX(L:L,ROW()-1)*1&gt;$G$3),ImportJSON(""https://public-api.solscan.io/account/splTransfers?account=""&amp;$G$2&amp;IF($G$5,""&amp;fromTime=""&amp;TO_TEXT($G$3)&amp;""&amp;toTime=""&amp;TO_TEXT($G$4),)&amp;""&amp;offset=""&amp;ROW()-2&amp;""&amp;limit=50""&amp;$G$7,TEXTJOIN("","",1,$H$1:$L$1),"&amp;"""noHeaders""),)"),"")</f>
        <v/>
      </c>
    </row>
    <row r="53">
      <c r="A53" s="39" t="str">
        <f>IF(AND($L53*1&gt;=$G$3,$L53*1&lt;=$G$4,$I53*$J53&gt;0,OR($I53&lt;&gt;$I54,$L53-$L54&gt;25),$I53/POW(10,$J53)*MAXIFS(Token!$B:$B,Token!$A:$A,$K53)&gt;0.01),$L53/86400+DATE(1970,1,1)+$G$6,)</f>
        <v/>
      </c>
      <c r="B53" s="27" t="str">
        <f t="shared" si="1"/>
        <v/>
      </c>
      <c r="C53" s="14" t="str">
        <f>IF($A53&lt;&gt;"",MINIFS(Merchant!$A:$A,Merchant!$B:$B,$G$2),)</f>
        <v/>
      </c>
      <c r="D53" s="14" t="str">
        <f t="shared" si="2"/>
        <v/>
      </c>
      <c r="E53" s="14" t="str">
        <f t="shared" si="3"/>
        <v/>
      </c>
      <c r="F53" s="7" t="str">
        <f>IF($A53&lt;&gt;"",MAXIFS(Token!$B:$B,Token!$A:$A,$D53),)</f>
        <v/>
      </c>
    </row>
    <row r="54">
      <c r="A54" s="39" t="str">
        <f>IF(AND($L54*1&gt;=$G$3,$L54*1&lt;=$G$4,$I54*$J54&gt;0,OR($I54&lt;&gt;$I55,$L54-$L55&gt;25),$I54/POW(10,$J54)*MAXIFS(Token!$B:$B,Token!$A:$A,$K54)&gt;0.01),$L54/86400+DATE(1970,1,1)+$G$6,)</f>
        <v/>
      </c>
      <c r="B54" s="27" t="str">
        <f t="shared" si="1"/>
        <v/>
      </c>
      <c r="C54" s="14" t="str">
        <f>IF($A54&lt;&gt;"",MINIFS(Merchant!$A:$A,Merchant!$B:$B,$G$2),)</f>
        <v/>
      </c>
      <c r="D54" s="14" t="str">
        <f t="shared" si="2"/>
        <v/>
      </c>
      <c r="E54" s="14" t="str">
        <f t="shared" si="3"/>
        <v/>
      </c>
      <c r="F54" s="7" t="str">
        <f>IF($A54&lt;&gt;"",MAXIFS(Token!$B:$B,Token!$A:$A,$D54),)</f>
        <v/>
      </c>
    </row>
    <row r="55">
      <c r="A55" s="39" t="str">
        <f>IF(AND($L55*1&gt;=$G$3,$L55*1&lt;=$G$4,$I55*$J55&gt;0,OR($I55&lt;&gt;$I56,$L55-$L56&gt;25),$I55/POW(10,$J55)*MAXIFS(Token!$B:$B,Token!$A:$A,$K55)&gt;0.01),$L55/86400+DATE(1970,1,1)+$G$6,)</f>
        <v/>
      </c>
      <c r="B55" s="27" t="str">
        <f t="shared" si="1"/>
        <v/>
      </c>
      <c r="C55" s="14" t="str">
        <f>IF($A55&lt;&gt;"",MINIFS(Merchant!$A:$A,Merchant!$B:$B,$G$2),)</f>
        <v/>
      </c>
      <c r="D55" s="14" t="str">
        <f t="shared" si="2"/>
        <v/>
      </c>
      <c r="E55" s="14" t="str">
        <f t="shared" si="3"/>
        <v/>
      </c>
      <c r="F55" s="7" t="str">
        <f>IF($A55&lt;&gt;"",MAXIFS(Token!$B:$B,Token!$A:$A,$D55),)</f>
        <v/>
      </c>
    </row>
    <row r="56">
      <c r="A56" s="39" t="str">
        <f>IF(AND($L56*1&gt;=$G$3,$L56*1&lt;=$G$4,$I56*$J56&gt;0,OR($I56&lt;&gt;$I57,$L56-$L57&gt;25),$I56/POW(10,$J56)*MAXIFS(Token!$B:$B,Token!$A:$A,$K56)&gt;0.01),$L56/86400+DATE(1970,1,1)+$G$6,)</f>
        <v/>
      </c>
      <c r="B56" s="27" t="str">
        <f t="shared" si="1"/>
        <v/>
      </c>
      <c r="C56" s="14" t="str">
        <f>IF($A56&lt;&gt;"",MINIFS(Merchant!$A:$A,Merchant!$B:$B,$G$2),)</f>
        <v/>
      </c>
      <c r="D56" s="14" t="str">
        <f t="shared" si="2"/>
        <v/>
      </c>
      <c r="E56" s="14" t="str">
        <f t="shared" si="3"/>
        <v/>
      </c>
      <c r="F56" s="7" t="str">
        <f>IF($A56&lt;&gt;"",MAXIFS(Token!$B:$B,Token!$A:$A,$D56),)</f>
        <v/>
      </c>
    </row>
    <row r="57">
      <c r="A57" s="39" t="str">
        <f>IF(AND($L57*1&gt;=$G$3,$L57*1&lt;=$G$4,$I57*$J57&gt;0,OR($I57&lt;&gt;$I58,$L57-$L58&gt;25),$I57/POW(10,$J57)*MAXIFS(Token!$B:$B,Token!$A:$A,$K57)&gt;0.01),$L57/86400+DATE(1970,1,1)+$G$6,)</f>
        <v/>
      </c>
      <c r="B57" s="27" t="str">
        <f t="shared" si="1"/>
        <v/>
      </c>
      <c r="C57" s="14" t="str">
        <f>IF($A57&lt;&gt;"",MINIFS(Merchant!$A:$A,Merchant!$B:$B,$G$2),)</f>
        <v/>
      </c>
      <c r="D57" s="14" t="str">
        <f t="shared" si="2"/>
        <v/>
      </c>
      <c r="E57" s="14" t="str">
        <f t="shared" si="3"/>
        <v/>
      </c>
      <c r="F57" s="7" t="str">
        <f>IF($A57&lt;&gt;"",MAXIFS(Token!$B:$B,Token!$A:$A,$D57),)</f>
        <v/>
      </c>
    </row>
    <row r="58">
      <c r="A58" s="39" t="str">
        <f>IF(AND($L58*1&gt;=$G$3,$L58*1&lt;=$G$4,$I58*$J58&gt;0,OR($I58&lt;&gt;$I59,$L58-$L59&gt;25),$I58/POW(10,$J58)*MAXIFS(Token!$B:$B,Token!$A:$A,$K58)&gt;0.01),$L58/86400+DATE(1970,1,1)+$G$6,)</f>
        <v/>
      </c>
      <c r="B58" s="27" t="str">
        <f t="shared" si="1"/>
        <v/>
      </c>
      <c r="C58" s="14" t="str">
        <f>IF($A58&lt;&gt;"",MINIFS(Merchant!$A:$A,Merchant!$B:$B,$G$2),)</f>
        <v/>
      </c>
      <c r="D58" s="14" t="str">
        <f t="shared" si="2"/>
        <v/>
      </c>
      <c r="E58" s="14" t="str">
        <f t="shared" si="3"/>
        <v/>
      </c>
      <c r="F58" s="7" t="str">
        <f>IF($A58&lt;&gt;"",MAXIFS(Token!$B:$B,Token!$A:$A,$D58),)</f>
        <v/>
      </c>
    </row>
    <row r="59">
      <c r="A59" s="39" t="str">
        <f>IF(AND($L59*1&gt;=$G$3,$L59*1&lt;=$G$4,$I59*$J59&gt;0,OR($I59&lt;&gt;$I60,$L59-$L60&gt;25),$I59/POW(10,$J59)*MAXIFS(Token!$B:$B,Token!$A:$A,$K59)&gt;0.01),$L59/86400+DATE(1970,1,1)+$G$6,)</f>
        <v/>
      </c>
      <c r="B59" s="27" t="str">
        <f t="shared" si="1"/>
        <v/>
      </c>
      <c r="C59" s="14" t="str">
        <f>IF($A59&lt;&gt;"",MINIFS(Merchant!$A:$A,Merchant!$B:$B,$G$2),)</f>
        <v/>
      </c>
      <c r="D59" s="14" t="str">
        <f t="shared" si="2"/>
        <v/>
      </c>
      <c r="E59" s="14" t="str">
        <f t="shared" si="3"/>
        <v/>
      </c>
      <c r="F59" s="7" t="str">
        <f>IF($A59&lt;&gt;"",MAXIFS(Token!$B:$B,Token!$A:$A,$D59),)</f>
        <v/>
      </c>
    </row>
    <row r="60">
      <c r="A60" s="39" t="str">
        <f>IF(AND($L60*1&gt;=$G$3,$L60*1&lt;=$G$4,$I60*$J60&gt;0,OR($I60&lt;&gt;$I61,$L60-$L61&gt;25),$I60/POW(10,$J60)*MAXIFS(Token!$B:$B,Token!$A:$A,$K60)&gt;0.01),$L60/86400+DATE(1970,1,1)+$G$6,)</f>
        <v/>
      </c>
      <c r="B60" s="27" t="str">
        <f t="shared" si="1"/>
        <v/>
      </c>
      <c r="C60" s="14" t="str">
        <f>IF($A60&lt;&gt;"",MINIFS(Merchant!$A:$A,Merchant!$B:$B,$G$2),)</f>
        <v/>
      </c>
      <c r="D60" s="14" t="str">
        <f t="shared" si="2"/>
        <v/>
      </c>
      <c r="E60" s="14" t="str">
        <f t="shared" si="3"/>
        <v/>
      </c>
      <c r="F60" s="7" t="str">
        <f>IF($A60&lt;&gt;"",MAXIFS(Token!$B:$B,Token!$A:$A,$D60),)</f>
        <v/>
      </c>
    </row>
    <row r="61">
      <c r="A61" s="39" t="str">
        <f>IF(AND($L61*1&gt;=$G$3,$L61*1&lt;=$G$4,$I61*$J61&gt;0,OR($I61&lt;&gt;$I62,$L61-$L62&gt;25),$I61/POW(10,$J61)*MAXIFS(Token!$B:$B,Token!$A:$A,$K61)&gt;0.01),$L61/86400+DATE(1970,1,1)+$G$6,)</f>
        <v/>
      </c>
      <c r="B61" s="27" t="str">
        <f t="shared" si="1"/>
        <v/>
      </c>
      <c r="C61" s="14" t="str">
        <f>IF($A61&lt;&gt;"",MINIFS(Merchant!$A:$A,Merchant!$B:$B,$G$2),)</f>
        <v/>
      </c>
      <c r="D61" s="14" t="str">
        <f t="shared" si="2"/>
        <v/>
      </c>
      <c r="E61" s="14" t="str">
        <f t="shared" si="3"/>
        <v/>
      </c>
      <c r="F61" s="7" t="str">
        <f>IF($A61&lt;&gt;"",MAXIFS(Token!$B:$B,Token!$A:$A,$D61),)</f>
        <v/>
      </c>
    </row>
    <row r="62">
      <c r="A62" s="39" t="str">
        <f>IF(AND($L62*1&gt;=$G$3,$L62*1&lt;=$G$4,$I62*$J62&gt;0,OR($I62&lt;&gt;$I63,$L62-$L63&gt;25),$I62/POW(10,$J62)*MAXIFS(Token!$B:$B,Token!$A:$A,$K62)&gt;0.01),$L62/86400+DATE(1970,1,1)+$G$6,)</f>
        <v/>
      </c>
      <c r="B62" s="27" t="str">
        <f t="shared" si="1"/>
        <v/>
      </c>
      <c r="C62" s="14" t="str">
        <f>IF($A62&lt;&gt;"",MINIFS(Merchant!$A:$A,Merchant!$B:$B,$G$2),)</f>
        <v/>
      </c>
      <c r="D62" s="14" t="str">
        <f t="shared" si="2"/>
        <v/>
      </c>
      <c r="E62" s="14" t="str">
        <f t="shared" si="3"/>
        <v/>
      </c>
      <c r="F62" s="7" t="str">
        <f>IF($A62&lt;&gt;"",MAXIFS(Token!$B:$B,Token!$A:$A,$D62),)</f>
        <v/>
      </c>
    </row>
    <row r="63">
      <c r="A63" s="39" t="str">
        <f>IF(AND($L63*1&gt;=$G$3,$L63*1&lt;=$G$4,$I63*$J63&gt;0,OR($I63&lt;&gt;$I64,$L63-$L64&gt;25),$I63/POW(10,$J63)*MAXIFS(Token!$B:$B,Token!$A:$A,$K63)&gt;0.01),$L63/86400+DATE(1970,1,1)+$G$6,)</f>
        <v/>
      </c>
      <c r="B63" s="27" t="str">
        <f t="shared" si="1"/>
        <v/>
      </c>
      <c r="C63" s="14" t="str">
        <f>IF($A63&lt;&gt;"",MINIFS(Merchant!$A:$A,Merchant!$B:$B,$G$2),)</f>
        <v/>
      </c>
      <c r="D63" s="14" t="str">
        <f t="shared" si="2"/>
        <v/>
      </c>
      <c r="E63" s="14" t="str">
        <f t="shared" si="3"/>
        <v/>
      </c>
      <c r="F63" s="7" t="str">
        <f>IF($A63&lt;&gt;"",MAXIFS(Token!$B:$B,Token!$A:$A,$D63),)</f>
        <v/>
      </c>
    </row>
    <row r="64">
      <c r="A64" s="39" t="str">
        <f>IF(AND($L64*1&gt;=$G$3,$L64*1&lt;=$G$4,$I64*$J64&gt;0,OR($I64&lt;&gt;$I65,$L64-$L65&gt;25),$I64/POW(10,$J64)*MAXIFS(Token!$B:$B,Token!$A:$A,$K64)&gt;0.01),$L64/86400+DATE(1970,1,1)+$G$6,)</f>
        <v/>
      </c>
      <c r="B64" s="27" t="str">
        <f t="shared" si="1"/>
        <v/>
      </c>
      <c r="C64" s="14" t="str">
        <f>IF($A64&lt;&gt;"",MINIFS(Merchant!$A:$A,Merchant!$B:$B,$G$2),)</f>
        <v/>
      </c>
      <c r="D64" s="14" t="str">
        <f t="shared" si="2"/>
        <v/>
      </c>
      <c r="E64" s="14" t="str">
        <f t="shared" si="3"/>
        <v/>
      </c>
      <c r="F64" s="7" t="str">
        <f>IF($A64&lt;&gt;"",MAXIFS(Token!$B:$B,Token!$A:$A,$D64),)</f>
        <v/>
      </c>
    </row>
    <row r="65">
      <c r="A65" s="39" t="str">
        <f>IF(AND($L65*1&gt;=$G$3,$L65*1&lt;=$G$4,$I65*$J65&gt;0,OR($I65&lt;&gt;$I66,$L65-$L66&gt;25),$I65/POW(10,$J65)*MAXIFS(Token!$B:$B,Token!$A:$A,$K65)&gt;0.01),$L65/86400+DATE(1970,1,1)+$G$6,)</f>
        <v/>
      </c>
      <c r="B65" s="27" t="str">
        <f t="shared" si="1"/>
        <v/>
      </c>
      <c r="C65" s="14" t="str">
        <f>IF($A65&lt;&gt;"",MINIFS(Merchant!$A:$A,Merchant!$B:$B,$G$2),)</f>
        <v/>
      </c>
      <c r="D65" s="14" t="str">
        <f t="shared" si="2"/>
        <v/>
      </c>
      <c r="E65" s="14" t="str">
        <f t="shared" si="3"/>
        <v/>
      </c>
      <c r="F65" s="7" t="str">
        <f>IF($A65&lt;&gt;"",MAXIFS(Token!$B:$B,Token!$A:$A,$D65),)</f>
        <v/>
      </c>
    </row>
    <row r="66">
      <c r="A66" s="39" t="str">
        <f>IF(AND($L66*1&gt;=$G$3,$L66*1&lt;=$G$4,$I66*$J66&gt;0,OR($I66&lt;&gt;$I67,$L66-$L67&gt;25),$I66/POW(10,$J66)*MAXIFS(Token!$B:$B,Token!$A:$A,$K66)&gt;0.01),$L66/86400+DATE(1970,1,1)+$G$6,)</f>
        <v/>
      </c>
      <c r="B66" s="27" t="str">
        <f t="shared" si="1"/>
        <v/>
      </c>
      <c r="C66" s="14" t="str">
        <f>IF($A66&lt;&gt;"",MINIFS(Merchant!$A:$A,Merchant!$B:$B,$G$2),)</f>
        <v/>
      </c>
      <c r="D66" s="14" t="str">
        <f t="shared" si="2"/>
        <v/>
      </c>
      <c r="E66" s="14" t="str">
        <f t="shared" si="3"/>
        <v/>
      </c>
      <c r="F66" s="7" t="str">
        <f>IF($A66&lt;&gt;"",MAXIFS(Token!$B:$B,Token!$A:$A,$D66),)</f>
        <v/>
      </c>
    </row>
    <row r="67">
      <c r="A67" s="39" t="str">
        <f>IF(AND($L67*1&gt;=$G$3,$L67*1&lt;=$G$4,$I67*$J67&gt;0,OR($I67&lt;&gt;$I68,$L67-$L68&gt;25),$I67/POW(10,$J67)*MAXIFS(Token!$B:$B,Token!$A:$A,$K67)&gt;0.01),$L67/86400+DATE(1970,1,1)+$G$6,)</f>
        <v/>
      </c>
      <c r="B67" s="27" t="str">
        <f t="shared" si="1"/>
        <v/>
      </c>
      <c r="C67" s="14" t="str">
        <f>IF($A67&lt;&gt;"",MINIFS(Merchant!$A:$A,Merchant!$B:$B,$G$2),)</f>
        <v/>
      </c>
      <c r="D67" s="14" t="str">
        <f t="shared" si="2"/>
        <v/>
      </c>
      <c r="E67" s="14" t="str">
        <f t="shared" si="3"/>
        <v/>
      </c>
      <c r="F67" s="7" t="str">
        <f>IF($A67&lt;&gt;"",MAXIFS(Token!$B:$B,Token!$A:$A,$D67),)</f>
        <v/>
      </c>
    </row>
    <row r="68">
      <c r="A68" s="39" t="str">
        <f>IF(AND($L68*1&gt;=$G$3,$L68*1&lt;=$G$4,$I68*$J68&gt;0,OR($I68&lt;&gt;$I69,$L68-$L69&gt;25),$I68/POW(10,$J68)*MAXIFS(Token!$B:$B,Token!$A:$A,$K68)&gt;0.01),$L68/86400+DATE(1970,1,1)+$G$6,)</f>
        <v/>
      </c>
      <c r="B68" s="27" t="str">
        <f t="shared" si="1"/>
        <v/>
      </c>
      <c r="C68" s="14" t="str">
        <f>IF($A68&lt;&gt;"",MINIFS(Merchant!$A:$A,Merchant!$B:$B,$G$2),)</f>
        <v/>
      </c>
      <c r="D68" s="14" t="str">
        <f t="shared" si="2"/>
        <v/>
      </c>
      <c r="E68" s="14" t="str">
        <f t="shared" si="3"/>
        <v/>
      </c>
      <c r="F68" s="7" t="str">
        <f>IF($A68&lt;&gt;"",MAXIFS(Token!$B:$B,Token!$A:$A,$D68),)</f>
        <v/>
      </c>
    </row>
    <row r="69">
      <c r="A69" s="39" t="str">
        <f>IF(AND($L69*1&gt;=$G$3,$L69*1&lt;=$G$4,$I69*$J69&gt;0,OR($I69&lt;&gt;$I70,$L69-$L70&gt;25),$I69/POW(10,$J69)*MAXIFS(Token!$B:$B,Token!$A:$A,$K69)&gt;0.01),$L69/86400+DATE(1970,1,1)+$G$6,)</f>
        <v/>
      </c>
      <c r="B69" s="27" t="str">
        <f t="shared" si="1"/>
        <v/>
      </c>
      <c r="C69" s="14" t="str">
        <f>IF($A69&lt;&gt;"",MINIFS(Merchant!$A:$A,Merchant!$B:$B,$G$2),)</f>
        <v/>
      </c>
      <c r="D69" s="14" t="str">
        <f t="shared" si="2"/>
        <v/>
      </c>
      <c r="E69" s="14" t="str">
        <f t="shared" si="3"/>
        <v/>
      </c>
      <c r="F69" s="7" t="str">
        <f>IF($A69&lt;&gt;"",MAXIFS(Token!$B:$B,Token!$A:$A,$D69),)</f>
        <v/>
      </c>
    </row>
    <row r="70">
      <c r="A70" s="39" t="str">
        <f>IF(AND($L70*1&gt;=$G$3,$L70*1&lt;=$G$4,$I70*$J70&gt;0,OR($I70&lt;&gt;$I71,$L70-$L71&gt;25),$I70/POW(10,$J70)*MAXIFS(Token!$B:$B,Token!$A:$A,$K70)&gt;0.01),$L70/86400+DATE(1970,1,1)+$G$6,)</f>
        <v/>
      </c>
      <c r="B70" s="27" t="str">
        <f t="shared" si="1"/>
        <v/>
      </c>
      <c r="C70" s="14" t="str">
        <f>IF($A70&lt;&gt;"",MINIFS(Merchant!$A:$A,Merchant!$B:$B,$G$2),)</f>
        <v/>
      </c>
      <c r="D70" s="14" t="str">
        <f t="shared" si="2"/>
        <v/>
      </c>
      <c r="E70" s="14" t="str">
        <f t="shared" si="3"/>
        <v/>
      </c>
      <c r="F70" s="7" t="str">
        <f>IF($A70&lt;&gt;"",MAXIFS(Token!$B:$B,Token!$A:$A,$D70),)</f>
        <v/>
      </c>
    </row>
    <row r="71">
      <c r="A71" s="39" t="str">
        <f>IF(AND($L71*1&gt;=$G$3,$L71*1&lt;=$G$4,$I71*$J71&gt;0,OR($I71&lt;&gt;$I72,$L71-$L72&gt;25),$I71/POW(10,$J71)*MAXIFS(Token!$B:$B,Token!$A:$A,$K71)&gt;0.01),$L71/86400+DATE(1970,1,1)+$G$6,)</f>
        <v/>
      </c>
      <c r="B71" s="27" t="str">
        <f t="shared" si="1"/>
        <v/>
      </c>
      <c r="C71" s="14" t="str">
        <f>IF($A71&lt;&gt;"",MINIFS(Merchant!$A:$A,Merchant!$B:$B,$G$2),)</f>
        <v/>
      </c>
      <c r="D71" s="14" t="str">
        <f t="shared" si="2"/>
        <v/>
      </c>
      <c r="E71" s="14" t="str">
        <f t="shared" si="3"/>
        <v/>
      </c>
      <c r="F71" s="7" t="str">
        <f>IF($A71&lt;&gt;"",MAXIFS(Token!$B:$B,Token!$A:$A,$D71),)</f>
        <v/>
      </c>
    </row>
    <row r="72">
      <c r="A72" s="39" t="str">
        <f>IF(AND($L72*1&gt;=$G$3,$L72*1&lt;=$G$4,$I72*$J72&gt;0,OR($I72&lt;&gt;$I73,$L72-$L73&gt;25),$I72/POW(10,$J72)*MAXIFS(Token!$B:$B,Token!$A:$A,$K72)&gt;0.01),$L72/86400+DATE(1970,1,1)+$G$6,)</f>
        <v/>
      </c>
      <c r="B72" s="27" t="str">
        <f t="shared" si="1"/>
        <v/>
      </c>
      <c r="C72" s="14" t="str">
        <f>IF($A72&lt;&gt;"",MINIFS(Merchant!$A:$A,Merchant!$B:$B,$G$2),)</f>
        <v/>
      </c>
      <c r="D72" s="14" t="str">
        <f t="shared" si="2"/>
        <v/>
      </c>
      <c r="E72" s="14" t="str">
        <f t="shared" si="3"/>
        <v/>
      </c>
      <c r="F72" s="7" t="str">
        <f>IF($A72&lt;&gt;"",MAXIFS(Token!$B:$B,Token!$A:$A,$D72),)</f>
        <v/>
      </c>
    </row>
    <row r="73">
      <c r="A73" s="39" t="str">
        <f>IF(AND($L73*1&gt;=$G$3,$L73*1&lt;=$G$4,$I73*$J73&gt;0,OR($I73&lt;&gt;$I74,$L73-$L74&gt;25),$I73/POW(10,$J73)*MAXIFS(Token!$B:$B,Token!$A:$A,$K73)&gt;0.01),$L73/86400+DATE(1970,1,1)+$G$6,)</f>
        <v/>
      </c>
      <c r="B73" s="27" t="str">
        <f t="shared" si="1"/>
        <v/>
      </c>
      <c r="C73" s="14" t="str">
        <f>IF($A73&lt;&gt;"",MINIFS(Merchant!$A:$A,Merchant!$B:$B,$G$2),)</f>
        <v/>
      </c>
      <c r="D73" s="14" t="str">
        <f t="shared" si="2"/>
        <v/>
      </c>
      <c r="E73" s="14" t="str">
        <f t="shared" si="3"/>
        <v/>
      </c>
      <c r="F73" s="7" t="str">
        <f>IF($A73&lt;&gt;"",MAXIFS(Token!$B:$B,Token!$A:$A,$D73),)</f>
        <v/>
      </c>
    </row>
    <row r="74">
      <c r="A74" s="39" t="str">
        <f>IF(AND($L74*1&gt;=$G$3,$L74*1&lt;=$G$4,$I74*$J74&gt;0,OR($I74&lt;&gt;$I75,$L74-$L75&gt;25),$I74/POW(10,$J74)*MAXIFS(Token!$B:$B,Token!$A:$A,$K74)&gt;0.01),$L74/86400+DATE(1970,1,1)+$G$6,)</f>
        <v/>
      </c>
      <c r="B74" s="27" t="str">
        <f t="shared" si="1"/>
        <v/>
      </c>
      <c r="C74" s="14" t="str">
        <f>IF($A74&lt;&gt;"",MINIFS(Merchant!$A:$A,Merchant!$B:$B,$G$2),)</f>
        <v/>
      </c>
      <c r="D74" s="14" t="str">
        <f t="shared" si="2"/>
        <v/>
      </c>
      <c r="E74" s="14" t="str">
        <f t="shared" si="3"/>
        <v/>
      </c>
      <c r="F74" s="7" t="str">
        <f>IF($A74&lt;&gt;"",MAXIFS(Token!$B:$B,Token!$A:$A,$D74),)</f>
        <v/>
      </c>
    </row>
    <row r="75">
      <c r="A75" s="39" t="str">
        <f>IF(AND($L75*1&gt;=$G$3,$L75*1&lt;=$G$4,$I75*$J75&gt;0,OR($I75&lt;&gt;$I76,$L75-$L76&gt;25),$I75/POW(10,$J75)*MAXIFS(Token!$B:$B,Token!$A:$A,$K75)&gt;0.01),$L75/86400+DATE(1970,1,1)+$G$6,)</f>
        <v/>
      </c>
      <c r="B75" s="27" t="str">
        <f t="shared" si="1"/>
        <v/>
      </c>
      <c r="C75" s="14" t="str">
        <f>IF($A75&lt;&gt;"",MINIFS(Merchant!$A:$A,Merchant!$B:$B,$G$2),)</f>
        <v/>
      </c>
      <c r="D75" s="14" t="str">
        <f t="shared" si="2"/>
        <v/>
      </c>
      <c r="E75" s="14" t="str">
        <f t="shared" si="3"/>
        <v/>
      </c>
      <c r="F75" s="7" t="str">
        <f>IF($A75&lt;&gt;"",MAXIFS(Token!$B:$B,Token!$A:$A,$D75),)</f>
        <v/>
      </c>
    </row>
    <row r="76">
      <c r="A76" s="39" t="str">
        <f>IF(AND($L76*1&gt;=$G$3,$L76*1&lt;=$G$4,$I76*$J76&gt;0,OR($I76&lt;&gt;$I77,$L76-$L77&gt;25),$I76/POW(10,$J76)*MAXIFS(Token!$B:$B,Token!$A:$A,$K76)&gt;0.01),$L76/86400+DATE(1970,1,1)+$G$6,)</f>
        <v/>
      </c>
      <c r="B76" s="27" t="str">
        <f t="shared" si="1"/>
        <v/>
      </c>
      <c r="C76" s="14" t="str">
        <f>IF($A76&lt;&gt;"",MINIFS(Merchant!$A:$A,Merchant!$B:$B,$G$2),)</f>
        <v/>
      </c>
      <c r="D76" s="14" t="str">
        <f t="shared" si="2"/>
        <v/>
      </c>
      <c r="E76" s="14" t="str">
        <f t="shared" si="3"/>
        <v/>
      </c>
      <c r="F76" s="7" t="str">
        <f>IF($A76&lt;&gt;"",MAXIFS(Token!$B:$B,Token!$A:$A,$D76),)</f>
        <v/>
      </c>
    </row>
    <row r="77">
      <c r="A77" s="39" t="str">
        <f>IF(AND($L77*1&gt;=$G$3,$L77*1&lt;=$G$4,$I77*$J77&gt;0,OR($I77&lt;&gt;$I78,$L77-$L78&gt;25),$I77/POW(10,$J77)*MAXIFS(Token!$B:$B,Token!$A:$A,$K77)&gt;0.01),$L77/86400+DATE(1970,1,1)+$G$6,)</f>
        <v/>
      </c>
      <c r="B77" s="27" t="str">
        <f t="shared" si="1"/>
        <v/>
      </c>
      <c r="C77" s="14" t="str">
        <f>IF($A77&lt;&gt;"",MINIFS(Merchant!$A:$A,Merchant!$B:$B,$G$2),)</f>
        <v/>
      </c>
      <c r="D77" s="14" t="str">
        <f t="shared" si="2"/>
        <v/>
      </c>
      <c r="E77" s="14" t="str">
        <f t="shared" si="3"/>
        <v/>
      </c>
      <c r="F77" s="7" t="str">
        <f>IF($A77&lt;&gt;"",MAXIFS(Token!$B:$B,Token!$A:$A,$D77),)</f>
        <v/>
      </c>
    </row>
    <row r="78">
      <c r="A78" s="39" t="str">
        <f>IF(AND($L78*1&gt;=$G$3,$L78*1&lt;=$G$4,$I78*$J78&gt;0,OR($I78&lt;&gt;$I79,$L78-$L79&gt;25),$I78/POW(10,$J78)*MAXIFS(Token!$B:$B,Token!$A:$A,$K78)&gt;0.01),$L78/86400+DATE(1970,1,1)+$G$6,)</f>
        <v/>
      </c>
      <c r="B78" s="27" t="str">
        <f t="shared" si="1"/>
        <v/>
      </c>
      <c r="C78" s="14" t="str">
        <f>IF($A78&lt;&gt;"",MINIFS(Merchant!$A:$A,Merchant!$B:$B,$G$2),)</f>
        <v/>
      </c>
      <c r="D78" s="14" t="str">
        <f t="shared" si="2"/>
        <v/>
      </c>
      <c r="E78" s="14" t="str">
        <f t="shared" si="3"/>
        <v/>
      </c>
      <c r="F78" s="7" t="str">
        <f>IF($A78&lt;&gt;"",MAXIFS(Token!$B:$B,Token!$A:$A,$D78),)</f>
        <v/>
      </c>
    </row>
    <row r="79">
      <c r="A79" s="39" t="str">
        <f>IF(AND($L79*1&gt;=$G$3,$L79*1&lt;=$G$4,$I79*$J79&gt;0,OR($I79&lt;&gt;$I80,$L79-$L80&gt;25),$I79/POW(10,$J79)*MAXIFS(Token!$B:$B,Token!$A:$A,$K79)&gt;0.01),$L79/86400+DATE(1970,1,1)+$G$6,)</f>
        <v/>
      </c>
      <c r="B79" s="27" t="str">
        <f t="shared" si="1"/>
        <v/>
      </c>
      <c r="C79" s="14" t="str">
        <f>IF($A79&lt;&gt;"",MINIFS(Merchant!$A:$A,Merchant!$B:$B,$G$2),)</f>
        <v/>
      </c>
      <c r="D79" s="14" t="str">
        <f t="shared" si="2"/>
        <v/>
      </c>
      <c r="E79" s="14" t="str">
        <f t="shared" si="3"/>
        <v/>
      </c>
      <c r="F79" s="7" t="str">
        <f>IF($A79&lt;&gt;"",MAXIFS(Token!$B:$B,Token!$A:$A,$D79),)</f>
        <v/>
      </c>
    </row>
    <row r="80">
      <c r="A80" s="39" t="str">
        <f>IF(AND($L80*1&gt;=$G$3,$L80*1&lt;=$G$4,$I80*$J80&gt;0,OR($I80&lt;&gt;$I81,$L80-$L81&gt;25),$I80/POW(10,$J80)*MAXIFS(Token!$B:$B,Token!$A:$A,$K80)&gt;0.01),$L80/86400+DATE(1970,1,1)+$G$6,)</f>
        <v/>
      </c>
      <c r="B80" s="27" t="str">
        <f t="shared" si="1"/>
        <v/>
      </c>
      <c r="C80" s="14" t="str">
        <f>IF($A80&lt;&gt;"",MINIFS(Merchant!$A:$A,Merchant!$B:$B,$G$2),)</f>
        <v/>
      </c>
      <c r="D80" s="14" t="str">
        <f t="shared" si="2"/>
        <v/>
      </c>
      <c r="E80" s="14" t="str">
        <f t="shared" si="3"/>
        <v/>
      </c>
      <c r="F80" s="7" t="str">
        <f>IF($A80&lt;&gt;"",MAXIFS(Token!$B:$B,Token!$A:$A,$D80),)</f>
        <v/>
      </c>
    </row>
    <row r="81">
      <c r="A81" s="39" t="str">
        <f>IF(AND($L81*1&gt;=$G$3,$L81*1&lt;=$G$4,$I81*$J81&gt;0,OR($I81&lt;&gt;$I82,$L81-$L82&gt;25),$I81/POW(10,$J81)*MAXIFS(Token!$B:$B,Token!$A:$A,$K81)&gt;0.01),$L81/86400+DATE(1970,1,1)+$G$6,)</f>
        <v/>
      </c>
      <c r="B81" s="27" t="str">
        <f t="shared" si="1"/>
        <v/>
      </c>
      <c r="C81" s="14" t="str">
        <f>IF($A81&lt;&gt;"",MINIFS(Merchant!$A:$A,Merchant!$B:$B,$G$2),)</f>
        <v/>
      </c>
      <c r="D81" s="14" t="str">
        <f t="shared" si="2"/>
        <v/>
      </c>
      <c r="E81" s="14" t="str">
        <f t="shared" si="3"/>
        <v/>
      </c>
      <c r="F81" s="7" t="str">
        <f>IF($A81&lt;&gt;"",MAXIFS(Token!$B:$B,Token!$A:$A,$D81),)</f>
        <v/>
      </c>
    </row>
    <row r="82">
      <c r="A82" s="39" t="str">
        <f>IF(AND($L82*1&gt;=$G$3,$L82*1&lt;=$G$4,$I82*$J82&gt;0,OR($I82&lt;&gt;$I83,$L82-$L83&gt;25),$I82/POW(10,$J82)*MAXIFS(Token!$B:$B,Token!$A:$A,$K82)&gt;0.01),$L82/86400+DATE(1970,1,1)+$G$6,)</f>
        <v/>
      </c>
      <c r="B82" s="27" t="str">
        <f t="shared" si="1"/>
        <v/>
      </c>
      <c r="C82" s="14" t="str">
        <f>IF($A82&lt;&gt;"",MINIFS(Merchant!$A:$A,Merchant!$B:$B,$G$2),)</f>
        <v/>
      </c>
      <c r="D82" s="14" t="str">
        <f t="shared" si="2"/>
        <v/>
      </c>
      <c r="E82" s="14" t="str">
        <f t="shared" si="3"/>
        <v/>
      </c>
      <c r="F82" s="7" t="str">
        <f>IF($A82&lt;&gt;"",MAXIFS(Token!$B:$B,Token!$A:$A,$D82),)</f>
        <v/>
      </c>
    </row>
    <row r="83">
      <c r="A83" s="39" t="str">
        <f>IF(AND($L83*1&gt;=$G$3,$L83*1&lt;=$G$4,$I83*$J83&gt;0,OR($I83&lt;&gt;$I84,$L83-$L84&gt;25),$I83/POW(10,$J83)*MAXIFS(Token!$B:$B,Token!$A:$A,$K83)&gt;0.01),$L83/86400+DATE(1970,1,1)+$G$6,)</f>
        <v/>
      </c>
      <c r="B83" s="27" t="str">
        <f t="shared" si="1"/>
        <v/>
      </c>
      <c r="C83" s="14" t="str">
        <f>IF($A83&lt;&gt;"",MINIFS(Merchant!$A:$A,Merchant!$B:$B,$G$2),)</f>
        <v/>
      </c>
      <c r="D83" s="14" t="str">
        <f t="shared" si="2"/>
        <v/>
      </c>
      <c r="E83" s="14" t="str">
        <f t="shared" si="3"/>
        <v/>
      </c>
      <c r="F83" s="7" t="str">
        <f>IF($A83&lt;&gt;"",MAXIFS(Token!$B:$B,Token!$A:$A,$D83),)</f>
        <v/>
      </c>
    </row>
    <row r="84">
      <c r="A84" s="39" t="str">
        <f>IF(AND($L84*1&gt;=$G$3,$L84*1&lt;=$G$4,$I84*$J84&gt;0,OR($I84&lt;&gt;$I85,$L84-$L85&gt;25),$I84/POW(10,$J84)*MAXIFS(Token!$B:$B,Token!$A:$A,$K84)&gt;0.01),$L84/86400+DATE(1970,1,1)+$G$6,)</f>
        <v/>
      </c>
      <c r="B84" s="27" t="str">
        <f t="shared" si="1"/>
        <v/>
      </c>
      <c r="C84" s="14" t="str">
        <f>IF($A84&lt;&gt;"",MINIFS(Merchant!$A:$A,Merchant!$B:$B,$G$2),)</f>
        <v/>
      </c>
      <c r="D84" s="14" t="str">
        <f t="shared" si="2"/>
        <v/>
      </c>
      <c r="E84" s="14" t="str">
        <f t="shared" si="3"/>
        <v/>
      </c>
      <c r="F84" s="7" t="str">
        <f>IF($A84&lt;&gt;"",MAXIFS(Token!$B:$B,Token!$A:$A,$D84),)</f>
        <v/>
      </c>
    </row>
    <row r="85">
      <c r="A85" s="39" t="str">
        <f>IF(AND($L85*1&gt;=$G$3,$L85*1&lt;=$G$4,$I85*$J85&gt;0,OR($I85&lt;&gt;$I86,$L85-$L86&gt;25),$I85/POW(10,$J85)*MAXIFS(Token!$B:$B,Token!$A:$A,$K85)&gt;0.01),$L85/86400+DATE(1970,1,1)+$G$6,)</f>
        <v/>
      </c>
      <c r="B85" s="27" t="str">
        <f t="shared" si="1"/>
        <v/>
      </c>
      <c r="C85" s="14" t="str">
        <f>IF($A85&lt;&gt;"",MINIFS(Merchant!$A:$A,Merchant!$B:$B,$G$2),)</f>
        <v/>
      </c>
      <c r="D85" s="14" t="str">
        <f t="shared" si="2"/>
        <v/>
      </c>
      <c r="E85" s="14" t="str">
        <f t="shared" si="3"/>
        <v/>
      </c>
      <c r="F85" s="7" t="str">
        <f>IF($A85&lt;&gt;"",MAXIFS(Token!$B:$B,Token!$A:$A,$D85),)</f>
        <v/>
      </c>
    </row>
    <row r="86">
      <c r="A86" s="39" t="str">
        <f>IF(AND($L86*1&gt;=$G$3,$L86*1&lt;=$G$4,$I86*$J86&gt;0,OR($I86&lt;&gt;$I87,$L86-$L87&gt;25),$I86/POW(10,$J86)*MAXIFS(Token!$B:$B,Token!$A:$A,$K86)&gt;0.01),$L86/86400+DATE(1970,1,1)+$G$6,)</f>
        <v/>
      </c>
      <c r="B86" s="27" t="str">
        <f t="shared" si="1"/>
        <v/>
      </c>
      <c r="C86" s="14" t="str">
        <f>IF($A86&lt;&gt;"",MINIFS(Merchant!$A:$A,Merchant!$B:$B,$G$2),)</f>
        <v/>
      </c>
      <c r="D86" s="14" t="str">
        <f t="shared" si="2"/>
        <v/>
      </c>
      <c r="E86" s="14" t="str">
        <f t="shared" si="3"/>
        <v/>
      </c>
      <c r="F86" s="7" t="str">
        <f>IF($A86&lt;&gt;"",MAXIFS(Token!$B:$B,Token!$A:$A,$D86),)</f>
        <v/>
      </c>
    </row>
    <row r="87">
      <c r="A87" s="39" t="str">
        <f>IF(AND($L87*1&gt;=$G$3,$L87*1&lt;=$G$4,$I87*$J87&gt;0,OR($I87&lt;&gt;$I88,$L87-$L88&gt;25),$I87/POW(10,$J87)*MAXIFS(Token!$B:$B,Token!$A:$A,$K87)&gt;0.01),$L87/86400+DATE(1970,1,1)+$G$6,)</f>
        <v/>
      </c>
      <c r="B87" s="27" t="str">
        <f t="shared" si="1"/>
        <v/>
      </c>
      <c r="C87" s="14" t="str">
        <f>IF($A87&lt;&gt;"",MINIFS(Merchant!$A:$A,Merchant!$B:$B,$G$2),)</f>
        <v/>
      </c>
      <c r="D87" s="14" t="str">
        <f t="shared" si="2"/>
        <v/>
      </c>
      <c r="E87" s="14" t="str">
        <f t="shared" si="3"/>
        <v/>
      </c>
      <c r="F87" s="7" t="str">
        <f>IF($A87&lt;&gt;"",MAXIFS(Token!$B:$B,Token!$A:$A,$D87),)</f>
        <v/>
      </c>
    </row>
    <row r="88">
      <c r="A88" s="39" t="str">
        <f>IF(AND($L88*1&gt;=$G$3,$L88*1&lt;=$G$4,$I88*$J88&gt;0,OR($I88&lt;&gt;$I89,$L88-$L89&gt;25),$I88/POW(10,$J88)*MAXIFS(Token!$B:$B,Token!$A:$A,$K88)&gt;0.01),$L88/86400+DATE(1970,1,1)+$G$6,)</f>
        <v/>
      </c>
      <c r="B88" s="27" t="str">
        <f t="shared" si="1"/>
        <v/>
      </c>
      <c r="C88" s="14" t="str">
        <f>IF($A88&lt;&gt;"",MINIFS(Merchant!$A:$A,Merchant!$B:$B,$G$2),)</f>
        <v/>
      </c>
      <c r="D88" s="14" t="str">
        <f t="shared" si="2"/>
        <v/>
      </c>
      <c r="E88" s="14" t="str">
        <f t="shared" si="3"/>
        <v/>
      </c>
      <c r="F88" s="7" t="str">
        <f>IF($A88&lt;&gt;"",MAXIFS(Token!$B:$B,Token!$A:$A,$D88),)</f>
        <v/>
      </c>
    </row>
    <row r="89">
      <c r="A89" s="39" t="str">
        <f>IF(AND($L89*1&gt;=$G$3,$L89*1&lt;=$G$4,$I89*$J89&gt;0,OR($I89&lt;&gt;$I90,$L89-$L90&gt;25),$I89/POW(10,$J89)*MAXIFS(Token!$B:$B,Token!$A:$A,$K89)&gt;0.01),$L89/86400+DATE(1970,1,1)+$G$6,)</f>
        <v/>
      </c>
      <c r="B89" s="27" t="str">
        <f t="shared" si="1"/>
        <v/>
      </c>
      <c r="C89" s="14" t="str">
        <f>IF($A89&lt;&gt;"",MINIFS(Merchant!$A:$A,Merchant!$B:$B,$G$2),)</f>
        <v/>
      </c>
      <c r="D89" s="14" t="str">
        <f t="shared" si="2"/>
        <v/>
      </c>
      <c r="E89" s="14" t="str">
        <f t="shared" si="3"/>
        <v/>
      </c>
      <c r="F89" s="7" t="str">
        <f>IF($A89&lt;&gt;"",MAXIFS(Token!$B:$B,Token!$A:$A,$D89),)</f>
        <v/>
      </c>
    </row>
    <row r="90">
      <c r="A90" s="39" t="str">
        <f>IF(AND($L90*1&gt;=$G$3,$L90*1&lt;=$G$4,$I90*$J90&gt;0,OR($I90&lt;&gt;$I91,$L90-$L91&gt;25),$I90/POW(10,$J90)*MAXIFS(Token!$B:$B,Token!$A:$A,$K90)&gt;0.01),$L90/86400+DATE(1970,1,1)+$G$6,)</f>
        <v/>
      </c>
      <c r="B90" s="27" t="str">
        <f t="shared" si="1"/>
        <v/>
      </c>
      <c r="C90" s="14" t="str">
        <f>IF($A90&lt;&gt;"",MINIFS(Merchant!$A:$A,Merchant!$B:$B,$G$2),)</f>
        <v/>
      </c>
      <c r="D90" s="14" t="str">
        <f t="shared" si="2"/>
        <v/>
      </c>
      <c r="E90" s="14" t="str">
        <f t="shared" si="3"/>
        <v/>
      </c>
      <c r="F90" s="7" t="str">
        <f>IF($A90&lt;&gt;"",MAXIFS(Token!$B:$B,Token!$A:$A,$D90),)</f>
        <v/>
      </c>
    </row>
    <row r="91">
      <c r="A91" s="39" t="str">
        <f>IF(AND($L91*1&gt;=$G$3,$L91*1&lt;=$G$4,$I91*$J91&gt;0,OR($I91&lt;&gt;$I92,$L91-$L92&gt;25),$I91/POW(10,$J91)*MAXIFS(Token!$B:$B,Token!$A:$A,$K91)&gt;0.01),$L91/86400+DATE(1970,1,1)+$G$6,)</f>
        <v/>
      </c>
      <c r="B91" s="27" t="str">
        <f t="shared" si="1"/>
        <v/>
      </c>
      <c r="C91" s="14" t="str">
        <f>IF($A91&lt;&gt;"",MINIFS(Merchant!$A:$A,Merchant!$B:$B,$G$2),)</f>
        <v/>
      </c>
      <c r="D91" s="14" t="str">
        <f t="shared" si="2"/>
        <v/>
      </c>
      <c r="E91" s="14" t="str">
        <f t="shared" si="3"/>
        <v/>
      </c>
      <c r="F91" s="7" t="str">
        <f>IF($A91&lt;&gt;"",MAXIFS(Token!$B:$B,Token!$A:$A,$D91),)</f>
        <v/>
      </c>
    </row>
    <row r="92">
      <c r="A92" s="39" t="str">
        <f>IF(AND($L92*1&gt;=$G$3,$L92*1&lt;=$G$4,$I92*$J92&gt;0,OR($I92&lt;&gt;$I93,$L92-$L93&gt;25),$I92/POW(10,$J92)*MAXIFS(Token!$B:$B,Token!$A:$A,$K92)&gt;0.01),$L92/86400+DATE(1970,1,1)+$G$6,)</f>
        <v/>
      </c>
      <c r="B92" s="27" t="str">
        <f t="shared" si="1"/>
        <v/>
      </c>
      <c r="C92" s="14" t="str">
        <f>IF($A92&lt;&gt;"",MINIFS(Merchant!$A:$A,Merchant!$B:$B,$G$2),)</f>
        <v/>
      </c>
      <c r="D92" s="14" t="str">
        <f t="shared" si="2"/>
        <v/>
      </c>
      <c r="E92" s="14" t="str">
        <f t="shared" si="3"/>
        <v/>
      </c>
      <c r="F92" s="7" t="str">
        <f>IF($A92&lt;&gt;"",MAXIFS(Token!$B:$B,Token!$A:$A,$D92),)</f>
        <v/>
      </c>
    </row>
    <row r="93">
      <c r="A93" s="39" t="str">
        <f>IF(AND($L93*1&gt;=$G$3,$L93*1&lt;=$G$4,$I93*$J93&gt;0,OR($I93&lt;&gt;$I94,$L93-$L94&gt;25),$I93/POW(10,$J93)*MAXIFS(Token!$B:$B,Token!$A:$A,$K93)&gt;0.01),$L93/86400+DATE(1970,1,1)+$G$6,)</f>
        <v/>
      </c>
      <c r="B93" s="27" t="str">
        <f t="shared" si="1"/>
        <v/>
      </c>
      <c r="C93" s="14" t="str">
        <f>IF($A93&lt;&gt;"",MINIFS(Merchant!$A:$A,Merchant!$B:$B,$G$2),)</f>
        <v/>
      </c>
      <c r="D93" s="14" t="str">
        <f t="shared" si="2"/>
        <v/>
      </c>
      <c r="E93" s="14" t="str">
        <f t="shared" si="3"/>
        <v/>
      </c>
      <c r="F93" s="7" t="str">
        <f>IF($A93&lt;&gt;"",MAXIFS(Token!$B:$B,Token!$A:$A,$D93),)</f>
        <v/>
      </c>
    </row>
    <row r="94">
      <c r="A94" s="39" t="str">
        <f>IF(AND($L94*1&gt;=$G$3,$L94*1&lt;=$G$4,$I94*$J94&gt;0,OR($I94&lt;&gt;$I95,$L94-$L95&gt;25),$I94/POW(10,$J94)*MAXIFS(Token!$B:$B,Token!$A:$A,$K94)&gt;0.01),$L94/86400+DATE(1970,1,1)+$G$6,)</f>
        <v/>
      </c>
      <c r="B94" s="27" t="str">
        <f t="shared" si="1"/>
        <v/>
      </c>
      <c r="C94" s="14" t="str">
        <f>IF($A94&lt;&gt;"",MINIFS(Merchant!$A:$A,Merchant!$B:$B,$G$2),)</f>
        <v/>
      </c>
      <c r="D94" s="14" t="str">
        <f t="shared" si="2"/>
        <v/>
      </c>
      <c r="E94" s="14" t="str">
        <f t="shared" si="3"/>
        <v/>
      </c>
      <c r="F94" s="7" t="str">
        <f>IF($A94&lt;&gt;"",MAXIFS(Token!$B:$B,Token!$A:$A,$D94),)</f>
        <v/>
      </c>
    </row>
    <row r="95">
      <c r="A95" s="39" t="str">
        <f>IF(AND($L95*1&gt;=$G$3,$L95*1&lt;=$G$4,$I95*$J95&gt;0,OR($I95&lt;&gt;$I96,$L95-$L96&gt;25),$I95/POW(10,$J95)*MAXIFS(Token!$B:$B,Token!$A:$A,$K95)&gt;0.01),$L95/86400+DATE(1970,1,1)+$G$6,)</f>
        <v/>
      </c>
      <c r="B95" s="27" t="str">
        <f t="shared" si="1"/>
        <v/>
      </c>
      <c r="C95" s="14" t="str">
        <f>IF($A95&lt;&gt;"",MINIFS(Merchant!$A:$A,Merchant!$B:$B,$G$2),)</f>
        <v/>
      </c>
      <c r="D95" s="14" t="str">
        <f t="shared" si="2"/>
        <v/>
      </c>
      <c r="E95" s="14" t="str">
        <f t="shared" si="3"/>
        <v/>
      </c>
      <c r="F95" s="7" t="str">
        <f>IF($A95&lt;&gt;"",MAXIFS(Token!$B:$B,Token!$A:$A,$D95),)</f>
        <v/>
      </c>
    </row>
    <row r="96">
      <c r="A96" s="39" t="str">
        <f>IF(AND($L96*1&gt;=$G$3,$L96*1&lt;=$G$4,$I96*$J96&gt;0,OR($I96&lt;&gt;$I97,$L96-$L97&gt;25),$I96/POW(10,$J96)*MAXIFS(Token!$B:$B,Token!$A:$A,$K96)&gt;0.01),$L96/86400+DATE(1970,1,1)+$G$6,)</f>
        <v/>
      </c>
      <c r="B96" s="27" t="str">
        <f t="shared" si="1"/>
        <v/>
      </c>
      <c r="C96" s="14" t="str">
        <f>IF($A96&lt;&gt;"",MINIFS(Merchant!$A:$A,Merchant!$B:$B,$G$2),)</f>
        <v/>
      </c>
      <c r="D96" s="14" t="str">
        <f t="shared" si="2"/>
        <v/>
      </c>
      <c r="E96" s="14" t="str">
        <f t="shared" si="3"/>
        <v/>
      </c>
      <c r="F96" s="7" t="str">
        <f>IF($A96&lt;&gt;"",MAXIFS(Token!$B:$B,Token!$A:$A,$D96),)</f>
        <v/>
      </c>
    </row>
    <row r="97">
      <c r="A97" s="39" t="str">
        <f>IF(AND($L97*1&gt;=$G$3,$L97*1&lt;=$G$4,$I97*$J97&gt;0,OR($I97&lt;&gt;$I98,$L97-$L98&gt;25),$I97/POW(10,$J97)*MAXIFS(Token!$B:$B,Token!$A:$A,$K97)&gt;0.01),$L97/86400+DATE(1970,1,1)+$G$6,)</f>
        <v/>
      </c>
      <c r="B97" s="27" t="str">
        <f t="shared" si="1"/>
        <v/>
      </c>
      <c r="C97" s="14" t="str">
        <f>IF($A97&lt;&gt;"",MINIFS(Merchant!$A:$A,Merchant!$B:$B,$G$2),)</f>
        <v/>
      </c>
      <c r="D97" s="14" t="str">
        <f t="shared" si="2"/>
        <v/>
      </c>
      <c r="E97" s="14" t="str">
        <f t="shared" si="3"/>
        <v/>
      </c>
      <c r="F97" s="7" t="str">
        <f>IF($A97&lt;&gt;"",MAXIFS(Token!$B:$B,Token!$A:$A,$D97),)</f>
        <v/>
      </c>
    </row>
    <row r="98">
      <c r="A98" s="39" t="str">
        <f>IF(AND($L98*1&gt;=$G$3,$L98*1&lt;=$G$4,$I98*$J98&gt;0,OR($I98&lt;&gt;$I99,$L98-$L99&gt;25),$I98/POW(10,$J98)*MAXIFS(Token!$B:$B,Token!$A:$A,$K98)&gt;0.01),$L98/86400+DATE(1970,1,1)+$G$6,)</f>
        <v/>
      </c>
      <c r="B98" s="27" t="str">
        <f t="shared" si="1"/>
        <v/>
      </c>
      <c r="C98" s="14" t="str">
        <f>IF($A98&lt;&gt;"",MINIFS(Merchant!$A:$A,Merchant!$B:$B,$G$2),)</f>
        <v/>
      </c>
      <c r="D98" s="14" t="str">
        <f t="shared" si="2"/>
        <v/>
      </c>
      <c r="E98" s="14" t="str">
        <f t="shared" si="3"/>
        <v/>
      </c>
      <c r="F98" s="7" t="str">
        <f>IF($A98&lt;&gt;"",MAXIFS(Token!$B:$B,Token!$A:$A,$D98),)</f>
        <v/>
      </c>
    </row>
    <row r="99">
      <c r="A99" s="39" t="str">
        <f>IF(AND($L99*1&gt;=$G$3,$L99*1&lt;=$G$4,$I99*$J99&gt;0,OR($I99&lt;&gt;$I100,$L99-$L100&gt;25),$I99/POW(10,$J99)*MAXIFS(Token!$B:$B,Token!$A:$A,$K99)&gt;0.01),$L99/86400+DATE(1970,1,1)+$G$6,)</f>
        <v/>
      </c>
      <c r="B99" s="27" t="str">
        <f t="shared" si="1"/>
        <v/>
      </c>
      <c r="C99" s="14" t="str">
        <f>IF($A99&lt;&gt;"",MINIFS(Merchant!$A:$A,Merchant!$B:$B,$G$2),)</f>
        <v/>
      </c>
      <c r="D99" s="14" t="str">
        <f t="shared" si="2"/>
        <v/>
      </c>
      <c r="E99" s="14" t="str">
        <f t="shared" si="3"/>
        <v/>
      </c>
      <c r="F99" s="7" t="str">
        <f>IF($A99&lt;&gt;"",MAXIFS(Token!$B:$B,Token!$A:$A,$D99),)</f>
        <v/>
      </c>
    </row>
    <row r="100">
      <c r="A100" s="39" t="str">
        <f>IF(AND($L100*1&gt;=$G$3,$L100*1&lt;=$G$4,$I100*$J100&gt;0,OR($I100&lt;&gt;$I101,$L100-$L101&gt;25),$I100/POW(10,$J100)*MAXIFS(Token!$B:$B,Token!$A:$A,$K100)&gt;0.01),$L100/86400+DATE(1970,1,1)+$G$6,)</f>
        <v/>
      </c>
      <c r="B100" s="27" t="str">
        <f t="shared" si="1"/>
        <v/>
      </c>
      <c r="C100" s="14" t="str">
        <f>IF($A100&lt;&gt;"",MINIFS(Merchant!$A:$A,Merchant!$B:$B,$G$2),)</f>
        <v/>
      </c>
      <c r="D100" s="14" t="str">
        <f t="shared" si="2"/>
        <v/>
      </c>
      <c r="E100" s="14" t="str">
        <f t="shared" si="3"/>
        <v/>
      </c>
      <c r="F100" s="7" t="str">
        <f>IF($A100&lt;&gt;"",MAXIFS(Token!$B:$B,Token!$A:$A,$D100),)</f>
        <v/>
      </c>
    </row>
    <row r="101">
      <c r="A101" s="39" t="str">
        <f>IF(AND($L101*1&gt;=$G$3,$L101*1&lt;=$G$4,$I101*$J101&gt;0,OR($I101&lt;&gt;$I102,$L101-$L102&gt;25),$I101/POW(10,$J101)*MAXIFS(Token!$B:$B,Token!$A:$A,$K101)&gt;0.01),$L101/86400+DATE(1970,1,1)+$G$6,)</f>
        <v/>
      </c>
      <c r="B101" s="27" t="str">
        <f t="shared" si="1"/>
        <v/>
      </c>
      <c r="C101" s="14" t="str">
        <f>IF($A101&lt;&gt;"",MINIFS(Merchant!$A:$A,Merchant!$B:$B,$G$2),)</f>
        <v/>
      </c>
      <c r="D101" s="14" t="str">
        <f t="shared" si="2"/>
        <v/>
      </c>
      <c r="E101" s="14" t="str">
        <f t="shared" si="3"/>
        <v/>
      </c>
      <c r="F101" s="7" t="str">
        <f>IF($A101&lt;&gt;"",MAXIFS(Token!$B:$B,Token!$A:$A,$D101),)</f>
        <v/>
      </c>
    </row>
    <row r="102">
      <c r="A102" s="39" t="str">
        <f>IF(AND($L102*1&gt;=$G$3,$L102*1&lt;=$G$4,$I102*$J102&gt;0,OR($I102&lt;&gt;$I103,$L102-$L103&gt;25),$I102/POW(10,$J102)*MAXIFS(Token!$B:$B,Token!$A:$A,$K102)&gt;0.01),$L102/86400+DATE(1970,1,1)+$G$6,)</f>
        <v/>
      </c>
      <c r="B102" s="27" t="str">
        <f t="shared" si="1"/>
        <v/>
      </c>
      <c r="C102" s="14" t="str">
        <f>IF($A102&lt;&gt;"",MINIFS(Merchant!$A:$A,Merchant!$B:$B,$G$2),)</f>
        <v/>
      </c>
      <c r="D102" s="14" t="str">
        <f t="shared" si="2"/>
        <v/>
      </c>
      <c r="E102" s="14" t="str">
        <f t="shared" si="3"/>
        <v/>
      </c>
      <c r="F102" s="7" t="str">
        <f>IF($A102&lt;&gt;"",MAXIFS(Token!$B:$B,Token!$A:$A,$D102),)</f>
        <v/>
      </c>
    </row>
    <row r="103">
      <c r="A103" s="39" t="str">
        <f>IF(AND($L103*1&gt;=$G$3,$L103*1&lt;=$G$4,$I103*$J103&gt;0,OR($I103&lt;&gt;$I104,$L103-$L104&gt;25),$I103/POW(10,$J103)*MAXIFS(Token!$B:$B,Token!$A:$A,$K103)&gt;0.01),$L103/86400+DATE(1970,1,1)+$G$6,)</f>
        <v/>
      </c>
      <c r="B103" s="27" t="str">
        <f t="shared" si="1"/>
        <v/>
      </c>
      <c r="C103" s="14" t="str">
        <f>IF($A103&lt;&gt;"",MINIFS(Merchant!$A:$A,Merchant!$B:$B,$G$2),)</f>
        <v/>
      </c>
      <c r="D103" s="14" t="str">
        <f t="shared" si="2"/>
        <v/>
      </c>
      <c r="E103" s="14" t="str">
        <f t="shared" si="3"/>
        <v/>
      </c>
      <c r="F103" s="7" t="str">
        <f>IF($A103&lt;&gt;"",MAXIFS(Token!$B:$B,Token!$A:$A,$D103),)</f>
        <v/>
      </c>
    </row>
    <row r="104">
      <c r="A104" s="39" t="str">
        <f>IF(AND($L104*1&gt;=$G$3,$L104*1&lt;=$G$4,$I104*$J104&gt;0,OR($I104&lt;&gt;$I105,$L104-$L105&gt;25),$I104/POW(10,$J104)*MAXIFS(Token!$B:$B,Token!$A:$A,$K104)&gt;0.01),$L104/86400+DATE(1970,1,1)+$G$6,)</f>
        <v/>
      </c>
      <c r="B104" s="27" t="str">
        <f t="shared" si="1"/>
        <v/>
      </c>
      <c r="C104" s="14" t="str">
        <f>IF($A104&lt;&gt;"",MINIFS(Merchant!$A:$A,Merchant!$B:$B,$G$2),)</f>
        <v/>
      </c>
      <c r="D104" s="14" t="str">
        <f t="shared" si="2"/>
        <v/>
      </c>
      <c r="E104" s="14" t="str">
        <f t="shared" si="3"/>
        <v/>
      </c>
      <c r="F104" s="7" t="str">
        <f>IF($A104&lt;&gt;"",MAXIFS(Token!$B:$B,Token!$A:$A,$D104),)</f>
        <v/>
      </c>
    </row>
    <row r="105">
      <c r="A105" s="39" t="str">
        <f>IF(AND($L105*1&gt;=$G$3,$L105*1&lt;=$G$4,$I105*$J105&gt;0,OR($I105&lt;&gt;$I106,$L105-$L106&gt;25),$I105/POW(10,$J105)*MAXIFS(Token!$B:$B,Token!$A:$A,$K105)&gt;0.01),$L105/86400+DATE(1970,1,1)+$G$6,)</f>
        <v/>
      </c>
      <c r="B105" s="27" t="str">
        <f t="shared" si="1"/>
        <v/>
      </c>
      <c r="C105" s="14" t="str">
        <f>IF($A105&lt;&gt;"",MINIFS(Merchant!$A:$A,Merchant!$B:$B,$G$2),)</f>
        <v/>
      </c>
      <c r="D105" s="14" t="str">
        <f t="shared" si="2"/>
        <v/>
      </c>
      <c r="E105" s="14" t="str">
        <f t="shared" si="3"/>
        <v/>
      </c>
      <c r="F105" s="7" t="str">
        <f>IF($A105&lt;&gt;"",MAXIFS(Token!$B:$B,Token!$A:$A,$D105),)</f>
        <v/>
      </c>
    </row>
    <row r="106">
      <c r="A106" s="39" t="str">
        <f>IF(AND($L106*1&gt;=$G$3,$L106*1&lt;=$G$4,$I106*$J106&gt;0,OR($I106&lt;&gt;$I107,$L106-$L107&gt;25),$I106/POW(10,$J106)*MAXIFS(Token!$B:$B,Token!$A:$A,$K106)&gt;0.01),$L106/86400+DATE(1970,1,1)+$G$6,)</f>
        <v/>
      </c>
      <c r="B106" s="27" t="str">
        <f t="shared" si="1"/>
        <v/>
      </c>
      <c r="C106" s="14" t="str">
        <f>IF($A106&lt;&gt;"",MINIFS(Merchant!$A:$A,Merchant!$B:$B,$G$2),)</f>
        <v/>
      </c>
      <c r="D106" s="14" t="str">
        <f t="shared" si="2"/>
        <v/>
      </c>
      <c r="E106" s="14" t="str">
        <f t="shared" si="3"/>
        <v/>
      </c>
      <c r="F106" s="7" t="str">
        <f>IF($A106&lt;&gt;"",MAXIFS(Token!$B:$B,Token!$A:$A,$D106),)</f>
        <v/>
      </c>
    </row>
    <row r="107">
      <c r="A107" s="39" t="str">
        <f>IF(AND($L107*1&gt;=$G$3,$L107*1&lt;=$G$4,$I107*$J107&gt;0,OR($I107&lt;&gt;$I108,$L107-$L108&gt;25),$I107/POW(10,$J107)*MAXIFS(Token!$B:$B,Token!$A:$A,$K107)&gt;0.01),$L107/86400+DATE(1970,1,1)+$G$6,)</f>
        <v/>
      </c>
      <c r="B107" s="27" t="str">
        <f t="shared" si="1"/>
        <v/>
      </c>
      <c r="C107" s="14" t="str">
        <f>IF($A107&lt;&gt;"",MINIFS(Merchant!$A:$A,Merchant!$B:$B,$G$2),)</f>
        <v/>
      </c>
      <c r="D107" s="14" t="str">
        <f t="shared" si="2"/>
        <v/>
      </c>
      <c r="E107" s="14" t="str">
        <f t="shared" si="3"/>
        <v/>
      </c>
      <c r="F107" s="7" t="str">
        <f>IF($A107&lt;&gt;"",MAXIFS(Token!$B:$B,Token!$A:$A,$D107),)</f>
        <v/>
      </c>
    </row>
    <row r="108">
      <c r="A108" s="39" t="str">
        <f>IF(AND($L108*1&gt;=$G$3,$L108*1&lt;=$G$4,$I108*$J108&gt;0,OR($I108&lt;&gt;$I109,$L108-$L109&gt;25),$I108/POW(10,$J108)*MAXIFS(Token!$B:$B,Token!$A:$A,$K108)&gt;0.01),$L108/86400+DATE(1970,1,1)+$G$6,)</f>
        <v/>
      </c>
      <c r="B108" s="27" t="str">
        <f t="shared" si="1"/>
        <v/>
      </c>
      <c r="C108" s="14" t="str">
        <f>IF($A108&lt;&gt;"",MINIFS(Merchant!$A:$A,Merchant!$B:$B,$G$2),)</f>
        <v/>
      </c>
      <c r="D108" s="14" t="str">
        <f t="shared" si="2"/>
        <v/>
      </c>
      <c r="E108" s="14" t="str">
        <f t="shared" si="3"/>
        <v/>
      </c>
      <c r="F108" s="7" t="str">
        <f>IF($A108&lt;&gt;"",MAXIFS(Token!$B:$B,Token!$A:$A,$D108),)</f>
        <v/>
      </c>
    </row>
    <row r="109">
      <c r="A109" s="39" t="str">
        <f>IF(AND($L109*1&gt;=$G$3,$L109*1&lt;=$G$4,$I109*$J109&gt;0,OR($I109&lt;&gt;$I110,$L109-$L110&gt;25),$I109/POW(10,$J109)*MAXIFS(Token!$B:$B,Token!$A:$A,$K109)&gt;0.01),$L109/86400+DATE(1970,1,1)+$G$6,)</f>
        <v/>
      </c>
      <c r="B109" s="27" t="str">
        <f t="shared" si="1"/>
        <v/>
      </c>
      <c r="C109" s="14" t="str">
        <f>IF($A109&lt;&gt;"",MINIFS(Merchant!$A:$A,Merchant!$B:$B,$G$2),)</f>
        <v/>
      </c>
      <c r="D109" s="14" t="str">
        <f t="shared" si="2"/>
        <v/>
      </c>
      <c r="E109" s="14" t="str">
        <f t="shared" si="3"/>
        <v/>
      </c>
      <c r="F109" s="7" t="str">
        <f>IF($A109&lt;&gt;"",MAXIFS(Token!$B:$B,Token!$A:$A,$D109),)</f>
        <v/>
      </c>
    </row>
    <row r="110">
      <c r="A110" s="39" t="str">
        <f>IF(AND($L110*1&gt;=$G$3,$L110*1&lt;=$G$4,$I110*$J110&gt;0,OR($I110&lt;&gt;$I111,$L110-$L111&gt;25),$I110/POW(10,$J110)*MAXIFS(Token!$B:$B,Token!$A:$A,$K110)&gt;0.01),$L110/86400+DATE(1970,1,1)+$G$6,)</f>
        <v/>
      </c>
      <c r="B110" s="27" t="str">
        <f t="shared" si="1"/>
        <v/>
      </c>
      <c r="C110" s="14" t="str">
        <f>IF($A110&lt;&gt;"",MINIFS(Merchant!$A:$A,Merchant!$B:$B,$G$2),)</f>
        <v/>
      </c>
      <c r="D110" s="14" t="str">
        <f t="shared" si="2"/>
        <v/>
      </c>
      <c r="E110" s="14" t="str">
        <f t="shared" si="3"/>
        <v/>
      </c>
      <c r="F110" s="7" t="str">
        <f>IF($A110&lt;&gt;"",MAXIFS(Token!$B:$B,Token!$A:$A,$D110),)</f>
        <v/>
      </c>
    </row>
    <row r="111">
      <c r="A111" s="39" t="str">
        <f>IF(AND($L111*1&gt;=$G$3,$L111*1&lt;=$G$4,$I111*$J111&gt;0,OR($I111&lt;&gt;$I112,$L111-$L112&gt;25),$I111/POW(10,$J111)*MAXIFS(Token!$B:$B,Token!$A:$A,$K111)&gt;0.01),$L111/86400+DATE(1970,1,1)+$G$6,)</f>
        <v/>
      </c>
      <c r="B111" s="27" t="str">
        <f t="shared" si="1"/>
        <v/>
      </c>
      <c r="C111" s="14" t="str">
        <f>IF($A111&lt;&gt;"",MINIFS(Merchant!$A:$A,Merchant!$B:$B,$G$2),)</f>
        <v/>
      </c>
      <c r="D111" s="14" t="str">
        <f t="shared" si="2"/>
        <v/>
      </c>
      <c r="E111" s="14" t="str">
        <f t="shared" si="3"/>
        <v/>
      </c>
      <c r="F111" s="7" t="str">
        <f>IF($A111&lt;&gt;"",MAXIFS(Token!$B:$B,Token!$A:$A,$D111),)</f>
        <v/>
      </c>
    </row>
    <row r="112">
      <c r="A112" s="39" t="str">
        <f>IF(AND($L112*1&gt;=$G$3,$L112*1&lt;=$G$4,$I112*$J112&gt;0,OR($I112&lt;&gt;$I113,$L112-$L113&gt;25),$I112/POW(10,$J112)*MAXIFS(Token!$B:$B,Token!$A:$A,$K112)&gt;0.01),$L112/86400+DATE(1970,1,1)+$G$6,)</f>
        <v/>
      </c>
      <c r="B112" s="27" t="str">
        <f t="shared" si="1"/>
        <v/>
      </c>
      <c r="C112" s="14" t="str">
        <f>IF($A112&lt;&gt;"",MINIFS(Merchant!$A:$A,Merchant!$B:$B,$G$2),)</f>
        <v/>
      </c>
      <c r="D112" s="14" t="str">
        <f t="shared" si="2"/>
        <v/>
      </c>
      <c r="E112" s="14" t="str">
        <f t="shared" si="3"/>
        <v/>
      </c>
      <c r="F112" s="7" t="str">
        <f>IF($A112&lt;&gt;"",MAXIFS(Token!$B:$B,Token!$A:$A,$D112),)</f>
        <v/>
      </c>
    </row>
    <row r="113">
      <c r="A113" s="39" t="str">
        <f>IF(AND($L113*1&gt;=$G$3,$L113*1&lt;=$G$4,$I113*$J113&gt;0,OR($I113&lt;&gt;$I114,$L113-$L114&gt;25),$I113/POW(10,$J113)*MAXIFS(Token!$B:$B,Token!$A:$A,$K113)&gt;0.01),$L113/86400+DATE(1970,1,1)+$G$6,)</f>
        <v/>
      </c>
      <c r="B113" s="27" t="str">
        <f t="shared" si="1"/>
        <v/>
      </c>
      <c r="C113" s="14" t="str">
        <f>IF($A113&lt;&gt;"",MINIFS(Merchant!$A:$A,Merchant!$B:$B,$G$2),)</f>
        <v/>
      </c>
      <c r="D113" s="14" t="str">
        <f t="shared" si="2"/>
        <v/>
      </c>
      <c r="E113" s="14" t="str">
        <f t="shared" si="3"/>
        <v/>
      </c>
      <c r="F113" s="7" t="str">
        <f>IF($A113&lt;&gt;"",MAXIFS(Token!$B:$B,Token!$A:$A,$D113),)</f>
        <v/>
      </c>
    </row>
    <row r="114">
      <c r="A114" s="39" t="str">
        <f>IF(AND($L114*1&gt;=$G$3,$L114*1&lt;=$G$4,$I114*$J114&gt;0,OR($I114&lt;&gt;$I115,$L114-$L115&gt;25),$I114/POW(10,$J114)*MAXIFS(Token!$B:$B,Token!$A:$A,$K114)&gt;0.01),$L114/86400+DATE(1970,1,1)+$G$6,)</f>
        <v/>
      </c>
      <c r="B114" s="27" t="str">
        <f t="shared" si="1"/>
        <v/>
      </c>
      <c r="C114" s="14" t="str">
        <f>IF($A114&lt;&gt;"",MINIFS(Merchant!$A:$A,Merchant!$B:$B,$G$2),)</f>
        <v/>
      </c>
      <c r="D114" s="14" t="str">
        <f t="shared" si="2"/>
        <v/>
      </c>
      <c r="E114" s="14" t="str">
        <f t="shared" si="3"/>
        <v/>
      </c>
      <c r="F114" s="7" t="str">
        <f>IF($A114&lt;&gt;"",MAXIFS(Token!$B:$B,Token!$A:$A,$D114),)</f>
        <v/>
      </c>
    </row>
    <row r="115">
      <c r="A115" s="39" t="str">
        <f>IF(AND($L115*1&gt;=$G$3,$L115*1&lt;=$G$4,$I115*$J115&gt;0,OR($I115&lt;&gt;$I116,$L115-$L116&gt;25),$I115/POW(10,$J115)*MAXIFS(Token!$B:$B,Token!$A:$A,$K115)&gt;0.01),$L115/86400+DATE(1970,1,1)+$G$6,)</f>
        <v/>
      </c>
      <c r="B115" s="27" t="str">
        <f t="shared" si="1"/>
        <v/>
      </c>
      <c r="C115" s="14" t="str">
        <f>IF($A115&lt;&gt;"",MINIFS(Merchant!$A:$A,Merchant!$B:$B,$G$2),)</f>
        <v/>
      </c>
      <c r="D115" s="14" t="str">
        <f t="shared" si="2"/>
        <v/>
      </c>
      <c r="E115" s="14" t="str">
        <f t="shared" si="3"/>
        <v/>
      </c>
      <c r="F115" s="7" t="str">
        <f>IF($A115&lt;&gt;"",MAXIFS(Token!$B:$B,Token!$A:$A,$D115),)</f>
        <v/>
      </c>
    </row>
    <row r="116">
      <c r="A116" s="39" t="str">
        <f>IF(AND($L116*1&gt;=$G$3,$L116*1&lt;=$G$4,$I116*$J116&gt;0,OR($I116&lt;&gt;$I117,$L116-$L117&gt;25),$I116/POW(10,$J116)*MAXIFS(Token!$B:$B,Token!$A:$A,$K116)&gt;0.01),$L116/86400+DATE(1970,1,1)+$G$6,)</f>
        <v/>
      </c>
      <c r="B116" s="27" t="str">
        <f t="shared" si="1"/>
        <v/>
      </c>
      <c r="C116" s="14" t="str">
        <f>IF($A116&lt;&gt;"",MINIFS(Merchant!$A:$A,Merchant!$B:$B,$G$2),)</f>
        <v/>
      </c>
      <c r="D116" s="14" t="str">
        <f t="shared" si="2"/>
        <v/>
      </c>
      <c r="E116" s="14" t="str">
        <f t="shared" si="3"/>
        <v/>
      </c>
      <c r="F116" s="7" t="str">
        <f>IF($A116&lt;&gt;"",MAXIFS(Token!$B:$B,Token!$A:$A,$D116),)</f>
        <v/>
      </c>
    </row>
    <row r="117">
      <c r="A117" s="39" t="str">
        <f>IF(AND($L117*1&gt;=$G$3,$L117*1&lt;=$G$4,$I117*$J117&gt;0,OR($I117&lt;&gt;$I118,$L117-$L118&gt;25),$I117/POW(10,$J117)*MAXIFS(Token!$B:$B,Token!$A:$A,$K117)&gt;0.01),$L117/86400+DATE(1970,1,1)+$G$6,)</f>
        <v/>
      </c>
      <c r="B117" s="27" t="str">
        <f t="shared" si="1"/>
        <v/>
      </c>
      <c r="C117" s="14" t="str">
        <f>IF($A117&lt;&gt;"",MINIFS(Merchant!$A:$A,Merchant!$B:$B,$G$2),)</f>
        <v/>
      </c>
      <c r="D117" s="14" t="str">
        <f t="shared" si="2"/>
        <v/>
      </c>
      <c r="E117" s="14" t="str">
        <f t="shared" si="3"/>
        <v/>
      </c>
      <c r="F117" s="7" t="str">
        <f>IF($A117&lt;&gt;"",MAXIFS(Token!$B:$B,Token!$A:$A,$D117),)</f>
        <v/>
      </c>
    </row>
    <row r="118">
      <c r="A118" s="39" t="str">
        <f>IF(AND($L118*1&gt;=$G$3,$L118*1&lt;=$G$4,$I118*$J118&gt;0,OR($I118&lt;&gt;$I119,$L118-$L119&gt;25),$I118/POW(10,$J118)*MAXIFS(Token!$B:$B,Token!$A:$A,$K118)&gt;0.01),$L118/86400+DATE(1970,1,1)+$G$6,)</f>
        <v/>
      </c>
      <c r="B118" s="27" t="str">
        <f t="shared" si="1"/>
        <v/>
      </c>
      <c r="C118" s="14" t="str">
        <f>IF($A118&lt;&gt;"",MINIFS(Merchant!$A:$A,Merchant!$B:$B,$G$2),)</f>
        <v/>
      </c>
      <c r="D118" s="14" t="str">
        <f t="shared" si="2"/>
        <v/>
      </c>
      <c r="E118" s="14" t="str">
        <f t="shared" si="3"/>
        <v/>
      </c>
      <c r="F118" s="7" t="str">
        <f>IF($A118&lt;&gt;"",MAXIFS(Token!$B:$B,Token!$A:$A,$D118),)</f>
        <v/>
      </c>
    </row>
    <row r="119">
      <c r="A119" s="39" t="str">
        <f>IF(AND($L119*1&gt;=$G$3,$L119*1&lt;=$G$4,$I119*$J119&gt;0,OR($I119&lt;&gt;$I120,$L119-$L120&gt;25),$I119/POW(10,$J119)*MAXIFS(Token!$B:$B,Token!$A:$A,$K119)&gt;0.01),$L119/86400+DATE(1970,1,1)+$G$6,)</f>
        <v/>
      </c>
      <c r="B119" s="27" t="str">
        <f t="shared" si="1"/>
        <v/>
      </c>
      <c r="C119" s="14" t="str">
        <f>IF($A119&lt;&gt;"",MINIFS(Merchant!$A:$A,Merchant!$B:$B,$G$2),)</f>
        <v/>
      </c>
      <c r="D119" s="14" t="str">
        <f t="shared" si="2"/>
        <v/>
      </c>
      <c r="E119" s="14" t="str">
        <f t="shared" si="3"/>
        <v/>
      </c>
      <c r="F119" s="7" t="str">
        <f>IF($A119&lt;&gt;"",MAXIFS(Token!$B:$B,Token!$A:$A,$D119),)</f>
        <v/>
      </c>
    </row>
    <row r="120">
      <c r="A120" s="39" t="str">
        <f>IF(AND($L120*1&gt;=$G$3,$L120*1&lt;=$G$4,$I120*$J120&gt;0,OR($I120&lt;&gt;$I121,$L120-$L121&gt;25),$I120/POW(10,$J120)*MAXIFS(Token!$B:$B,Token!$A:$A,$K120)&gt;0.01),$L120/86400+DATE(1970,1,1)+$G$6,)</f>
        <v/>
      </c>
      <c r="B120" s="27" t="str">
        <f t="shared" si="1"/>
        <v/>
      </c>
      <c r="C120" s="14" t="str">
        <f>IF($A120&lt;&gt;"",MINIFS(Merchant!$A:$A,Merchant!$B:$B,$G$2),)</f>
        <v/>
      </c>
      <c r="D120" s="14" t="str">
        <f t="shared" si="2"/>
        <v/>
      </c>
      <c r="E120" s="14" t="str">
        <f t="shared" si="3"/>
        <v/>
      </c>
      <c r="F120" s="7" t="str">
        <f>IF($A120&lt;&gt;"",MAXIFS(Token!$B:$B,Token!$A:$A,$D120),)</f>
        <v/>
      </c>
    </row>
    <row r="121">
      <c r="A121" s="39" t="str">
        <f>IF(AND($L121*1&gt;=$G$3,$L121*1&lt;=$G$4,$I121*$J121&gt;0,OR($I121&lt;&gt;$I122,$L121-$L122&gt;25),$I121/POW(10,$J121)*MAXIFS(Token!$B:$B,Token!$A:$A,$K121)&gt;0.01),$L121/86400+DATE(1970,1,1)+$G$6,)</f>
        <v/>
      </c>
      <c r="B121" s="27" t="str">
        <f t="shared" si="1"/>
        <v/>
      </c>
      <c r="C121" s="14" t="str">
        <f>IF($A121&lt;&gt;"",MINIFS(Merchant!$A:$A,Merchant!$B:$B,$G$2),)</f>
        <v/>
      </c>
      <c r="D121" s="14" t="str">
        <f t="shared" si="2"/>
        <v/>
      </c>
      <c r="E121" s="14" t="str">
        <f t="shared" si="3"/>
        <v/>
      </c>
      <c r="F121" s="7" t="str">
        <f>IF($A121&lt;&gt;"",MAXIFS(Token!$B:$B,Token!$A:$A,$D121),)</f>
        <v/>
      </c>
    </row>
    <row r="122">
      <c r="A122" s="39" t="str">
        <f>IF(AND($L122*1&gt;=$G$3,$L122*1&lt;=$G$4,$I122*$J122&gt;0,OR($I122&lt;&gt;$I123,$L122-$L123&gt;25),$I122/POW(10,$J122)*MAXIFS(Token!$B:$B,Token!$A:$A,$K122)&gt;0.01),$L122/86400+DATE(1970,1,1)+$G$6,)</f>
        <v/>
      </c>
      <c r="B122" s="27" t="str">
        <f t="shared" si="1"/>
        <v/>
      </c>
      <c r="C122" s="14" t="str">
        <f>IF($A122&lt;&gt;"",MINIFS(Merchant!$A:$A,Merchant!$B:$B,$G$2),)</f>
        <v/>
      </c>
      <c r="D122" s="14" t="str">
        <f t="shared" si="2"/>
        <v/>
      </c>
      <c r="E122" s="14" t="str">
        <f t="shared" si="3"/>
        <v/>
      </c>
      <c r="F122" s="7" t="str">
        <f>IF($A122&lt;&gt;"",MAXIFS(Token!$B:$B,Token!$A:$A,$D122),)</f>
        <v/>
      </c>
    </row>
    <row r="123">
      <c r="A123" s="39" t="str">
        <f>IF(AND($L123*1&gt;=$G$3,$L123*1&lt;=$G$4,$I123*$J123&gt;0,OR($I123&lt;&gt;$I124,$L123-$L124&gt;25),$I123/POW(10,$J123)*MAXIFS(Token!$B:$B,Token!$A:$A,$K123)&gt;0.01),$L123/86400+DATE(1970,1,1)+$G$6,)</f>
        <v/>
      </c>
      <c r="B123" s="27" t="str">
        <f t="shared" si="1"/>
        <v/>
      </c>
      <c r="C123" s="14" t="str">
        <f>IF($A123&lt;&gt;"",MINIFS(Merchant!$A:$A,Merchant!$B:$B,$G$2),)</f>
        <v/>
      </c>
      <c r="D123" s="14" t="str">
        <f t="shared" si="2"/>
        <v/>
      </c>
      <c r="E123" s="14" t="str">
        <f t="shared" si="3"/>
        <v/>
      </c>
      <c r="F123" s="7" t="str">
        <f>IF($A123&lt;&gt;"",MAXIFS(Token!$B:$B,Token!$A:$A,$D123),)</f>
        <v/>
      </c>
    </row>
    <row r="124">
      <c r="A124" s="39" t="str">
        <f>IF(AND($L124*1&gt;=$G$3,$L124*1&lt;=$G$4,$I124*$J124&gt;0,OR($I124&lt;&gt;$I125,$L124-$L125&gt;25),$I124/POW(10,$J124)*MAXIFS(Token!$B:$B,Token!$A:$A,$K124)&gt;0.01),$L124/86400+DATE(1970,1,1)+$G$6,)</f>
        <v/>
      </c>
      <c r="B124" s="27" t="str">
        <f t="shared" si="1"/>
        <v/>
      </c>
      <c r="C124" s="14" t="str">
        <f>IF($A124&lt;&gt;"",MINIFS(Merchant!$A:$A,Merchant!$B:$B,$G$2),)</f>
        <v/>
      </c>
      <c r="D124" s="14" t="str">
        <f t="shared" si="2"/>
        <v/>
      </c>
      <c r="E124" s="14" t="str">
        <f t="shared" si="3"/>
        <v/>
      </c>
      <c r="F124" s="7" t="str">
        <f>IF($A124&lt;&gt;"",MAXIFS(Token!$B:$B,Token!$A:$A,$D124),)</f>
        <v/>
      </c>
    </row>
    <row r="125">
      <c r="A125" s="39" t="str">
        <f>IF(AND($L125*1&gt;=$G$3,$L125*1&lt;=$G$4,$I125*$J125&gt;0,OR($I125&lt;&gt;$I126,$L125-$L126&gt;25),$I125/POW(10,$J125)*MAXIFS(Token!$B:$B,Token!$A:$A,$K125)&gt;0.01),$L125/86400+DATE(1970,1,1)+$G$6,)</f>
        <v/>
      </c>
      <c r="B125" s="27" t="str">
        <f t="shared" si="1"/>
        <v/>
      </c>
      <c r="C125" s="14" t="str">
        <f>IF($A125&lt;&gt;"",MINIFS(Merchant!$A:$A,Merchant!$B:$B,$G$2),)</f>
        <v/>
      </c>
      <c r="D125" s="14" t="str">
        <f t="shared" si="2"/>
        <v/>
      </c>
      <c r="E125" s="14" t="str">
        <f t="shared" si="3"/>
        <v/>
      </c>
      <c r="F125" s="7" t="str">
        <f>IF($A125&lt;&gt;"",MAXIFS(Token!$B:$B,Token!$A:$A,$D125),)</f>
        <v/>
      </c>
    </row>
    <row r="126">
      <c r="A126" s="39" t="str">
        <f>IF(AND($L126*1&gt;=$G$3,$L126*1&lt;=$G$4,$I126*$J126&gt;0,OR($I126&lt;&gt;$I127,$L126-$L127&gt;25),$I126/POW(10,$J126)*MAXIFS(Token!$B:$B,Token!$A:$A,$K126)&gt;0.01),$L126/86400+DATE(1970,1,1)+$G$6,)</f>
        <v/>
      </c>
      <c r="B126" s="27" t="str">
        <f t="shared" si="1"/>
        <v/>
      </c>
      <c r="C126" s="14" t="str">
        <f>IF($A126&lt;&gt;"",MINIFS(Merchant!$A:$A,Merchant!$B:$B,$G$2),)</f>
        <v/>
      </c>
      <c r="D126" s="14" t="str">
        <f t="shared" si="2"/>
        <v/>
      </c>
      <c r="E126" s="14" t="str">
        <f t="shared" si="3"/>
        <v/>
      </c>
      <c r="F126" s="7" t="str">
        <f>IF($A126&lt;&gt;"",MAXIFS(Token!$B:$B,Token!$A:$A,$D126),)</f>
        <v/>
      </c>
    </row>
    <row r="127">
      <c r="A127" s="39" t="str">
        <f>IF(AND($L127*1&gt;=$G$3,$L127*1&lt;=$G$4,$I127*$J127&gt;0,OR($I127&lt;&gt;$I128,$L127-$L128&gt;25),$I127/POW(10,$J127)*MAXIFS(Token!$B:$B,Token!$A:$A,$K127)&gt;0.01),$L127/86400+DATE(1970,1,1)+$G$6,)</f>
        <v/>
      </c>
      <c r="B127" s="27" t="str">
        <f t="shared" si="1"/>
        <v/>
      </c>
      <c r="C127" s="14" t="str">
        <f>IF($A127&lt;&gt;"",MINIFS(Merchant!$A:$A,Merchant!$B:$B,$G$2),)</f>
        <v/>
      </c>
      <c r="D127" s="14" t="str">
        <f t="shared" si="2"/>
        <v/>
      </c>
      <c r="E127" s="14" t="str">
        <f t="shared" si="3"/>
        <v/>
      </c>
      <c r="F127" s="7" t="str">
        <f>IF($A127&lt;&gt;"",MAXIFS(Token!$B:$B,Token!$A:$A,$D127),)</f>
        <v/>
      </c>
    </row>
    <row r="128">
      <c r="A128" s="39" t="str">
        <f>IF(AND($L128*1&gt;=$G$3,$L128*1&lt;=$G$4,$I128*$J128&gt;0,OR($I128&lt;&gt;$I129,$L128-$L129&gt;25),$I128/POW(10,$J128)*MAXIFS(Token!$B:$B,Token!$A:$A,$K128)&gt;0.01),$L128/86400+DATE(1970,1,1)+$G$6,)</f>
        <v/>
      </c>
      <c r="B128" s="27" t="str">
        <f t="shared" si="1"/>
        <v/>
      </c>
      <c r="C128" s="14" t="str">
        <f>IF($A128&lt;&gt;"",MINIFS(Merchant!$A:$A,Merchant!$B:$B,$G$2),)</f>
        <v/>
      </c>
      <c r="D128" s="14" t="str">
        <f t="shared" si="2"/>
        <v/>
      </c>
      <c r="E128" s="14" t="str">
        <f t="shared" si="3"/>
        <v/>
      </c>
      <c r="F128" s="7" t="str">
        <f>IF($A128&lt;&gt;"",MAXIFS(Token!$B:$B,Token!$A:$A,$D128),)</f>
        <v/>
      </c>
    </row>
    <row r="129">
      <c r="A129" s="39" t="str">
        <f>IF(AND($L129*1&gt;=$G$3,$L129*1&lt;=$G$4,$I129*$J129&gt;0,OR($I129&lt;&gt;$I130,$L129-$L130&gt;25),$I129/POW(10,$J129)*MAXIFS(Token!$B:$B,Token!$A:$A,$K129)&gt;0.01),$L129/86400+DATE(1970,1,1)+$G$6,)</f>
        <v/>
      </c>
      <c r="B129" s="27" t="str">
        <f t="shared" si="1"/>
        <v/>
      </c>
      <c r="C129" s="14" t="str">
        <f>IF($A129&lt;&gt;"",MINIFS(Merchant!$A:$A,Merchant!$B:$B,$G$2),)</f>
        <v/>
      </c>
      <c r="D129" s="14" t="str">
        <f t="shared" si="2"/>
        <v/>
      </c>
      <c r="E129" s="14" t="str">
        <f t="shared" si="3"/>
        <v/>
      </c>
      <c r="F129" s="7" t="str">
        <f>IF($A129&lt;&gt;"",MAXIFS(Token!$B:$B,Token!$A:$A,$D129),)</f>
        <v/>
      </c>
    </row>
    <row r="130">
      <c r="A130" s="39" t="str">
        <f>IF(AND($L130*1&gt;=$G$3,$L130*1&lt;=$G$4,$I130*$J130&gt;0,OR($I130&lt;&gt;$I131,$L130-$L131&gt;25),$I130/POW(10,$J130)*MAXIFS(Token!$B:$B,Token!$A:$A,$K130)&gt;0.01),$L130/86400+DATE(1970,1,1)+$G$6,)</f>
        <v/>
      </c>
      <c r="B130" s="27" t="str">
        <f t="shared" si="1"/>
        <v/>
      </c>
      <c r="C130" s="14" t="str">
        <f>IF($A130&lt;&gt;"",MINIFS(Merchant!$A:$A,Merchant!$B:$B,$G$2),)</f>
        <v/>
      </c>
      <c r="D130" s="14" t="str">
        <f t="shared" si="2"/>
        <v/>
      </c>
      <c r="E130" s="14" t="str">
        <f t="shared" si="3"/>
        <v/>
      </c>
      <c r="F130" s="7" t="str">
        <f>IF($A130&lt;&gt;"",MAXIFS(Token!$B:$B,Token!$A:$A,$D130),)</f>
        <v/>
      </c>
    </row>
    <row r="131">
      <c r="A131" s="39" t="str">
        <f>IF(AND($L131*1&gt;=$G$3,$L131*1&lt;=$G$4,$I131*$J131&gt;0,OR($I131&lt;&gt;$I132,$L131-$L132&gt;25),$I131/POW(10,$J131)*MAXIFS(Token!$B:$B,Token!$A:$A,$K131)&gt;0.01),$L131/86400+DATE(1970,1,1)+$G$6,)</f>
        <v/>
      </c>
      <c r="B131" s="27" t="str">
        <f t="shared" si="1"/>
        <v/>
      </c>
      <c r="C131" s="14" t="str">
        <f>IF($A131&lt;&gt;"",MINIFS(Merchant!$A:$A,Merchant!$B:$B,$G$2),)</f>
        <v/>
      </c>
      <c r="D131" s="14" t="str">
        <f t="shared" si="2"/>
        <v/>
      </c>
      <c r="E131" s="14" t="str">
        <f t="shared" si="3"/>
        <v/>
      </c>
      <c r="F131" s="7" t="str">
        <f>IF($A131&lt;&gt;"",MAXIFS(Token!$B:$B,Token!$A:$A,$D131),)</f>
        <v/>
      </c>
    </row>
    <row r="132">
      <c r="A132" s="39" t="str">
        <f>IF(AND($L132*1&gt;=$G$3,$L132*1&lt;=$G$4,$I132*$J132&gt;0,OR($I132&lt;&gt;$I133,$L132-$L133&gt;25),$I132/POW(10,$J132)*MAXIFS(Token!$B:$B,Token!$A:$A,$K132)&gt;0.01),$L132/86400+DATE(1970,1,1)+$G$6,)</f>
        <v/>
      </c>
      <c r="B132" s="27" t="str">
        <f t="shared" si="1"/>
        <v/>
      </c>
      <c r="C132" s="14" t="str">
        <f>IF($A132&lt;&gt;"",MINIFS(Merchant!$A:$A,Merchant!$B:$B,$G$2),)</f>
        <v/>
      </c>
      <c r="D132" s="14" t="str">
        <f t="shared" si="2"/>
        <v/>
      </c>
      <c r="E132" s="14" t="str">
        <f t="shared" si="3"/>
        <v/>
      </c>
      <c r="F132" s="7" t="str">
        <f>IF($A132&lt;&gt;"",MAXIFS(Token!$B:$B,Token!$A:$A,$D132),)</f>
        <v/>
      </c>
    </row>
    <row r="133">
      <c r="A133" s="39" t="str">
        <f>IF(AND($L133*1&gt;=$G$3,$L133*1&lt;=$G$4,$I133*$J133&gt;0,OR($I133&lt;&gt;$I134,$L133-$L134&gt;25),$I133/POW(10,$J133)*MAXIFS(Token!$B:$B,Token!$A:$A,$K133)&gt;0.01),$L133/86400+DATE(1970,1,1)+$G$6,)</f>
        <v/>
      </c>
      <c r="B133" s="27" t="str">
        <f t="shared" si="1"/>
        <v/>
      </c>
      <c r="C133" s="14" t="str">
        <f>IF($A133&lt;&gt;"",MINIFS(Merchant!$A:$A,Merchant!$B:$B,$G$2),)</f>
        <v/>
      </c>
      <c r="D133" s="14" t="str">
        <f t="shared" si="2"/>
        <v/>
      </c>
      <c r="E133" s="14" t="str">
        <f t="shared" si="3"/>
        <v/>
      </c>
      <c r="F133" s="7" t="str">
        <f>IF($A133&lt;&gt;"",MAXIFS(Token!$B:$B,Token!$A:$A,$D133),)</f>
        <v/>
      </c>
    </row>
    <row r="134">
      <c r="A134" s="39" t="str">
        <f>IF(AND($L134*1&gt;=$G$3,$L134*1&lt;=$G$4,$I134*$J134&gt;0,OR($I134&lt;&gt;$I135,$L134-$L135&gt;25),$I134/POW(10,$J134)*MAXIFS(Token!$B:$B,Token!$A:$A,$K134)&gt;0.01),$L134/86400+DATE(1970,1,1)+$G$6,)</f>
        <v/>
      </c>
      <c r="B134" s="27" t="str">
        <f t="shared" si="1"/>
        <v/>
      </c>
      <c r="C134" s="14" t="str">
        <f>IF($A134&lt;&gt;"",MINIFS(Merchant!$A:$A,Merchant!$B:$B,$G$2),)</f>
        <v/>
      </c>
      <c r="D134" s="14" t="str">
        <f t="shared" si="2"/>
        <v/>
      </c>
      <c r="E134" s="14" t="str">
        <f t="shared" si="3"/>
        <v/>
      </c>
      <c r="F134" s="7" t="str">
        <f>IF($A134&lt;&gt;"",MAXIFS(Token!$B:$B,Token!$A:$A,$D134),)</f>
        <v/>
      </c>
    </row>
    <row r="135">
      <c r="A135" s="39" t="str">
        <f>IF(AND($L135*1&gt;=$G$3,$L135*1&lt;=$G$4,$I135*$J135&gt;0,OR($I135&lt;&gt;$I136,$L135-$L136&gt;25),$I135/POW(10,$J135)*MAXIFS(Token!$B:$B,Token!$A:$A,$K135)&gt;0.01),$L135/86400+DATE(1970,1,1)+$G$6,)</f>
        <v/>
      </c>
      <c r="B135" s="27" t="str">
        <f t="shared" si="1"/>
        <v/>
      </c>
      <c r="C135" s="14" t="str">
        <f>IF($A135&lt;&gt;"",MINIFS(Merchant!$A:$A,Merchant!$B:$B,$G$2),)</f>
        <v/>
      </c>
      <c r="D135" s="14" t="str">
        <f t="shared" si="2"/>
        <v/>
      </c>
      <c r="E135" s="14" t="str">
        <f t="shared" si="3"/>
        <v/>
      </c>
      <c r="F135" s="7" t="str">
        <f>IF($A135&lt;&gt;"",MAXIFS(Token!$B:$B,Token!$A:$A,$D135),)</f>
        <v/>
      </c>
    </row>
    <row r="136">
      <c r="A136" s="39" t="str">
        <f>IF(AND($L136*1&gt;=$G$3,$L136*1&lt;=$G$4,$I136*$J136&gt;0,OR($I136&lt;&gt;$I137,$L136-$L137&gt;25),$I136/POW(10,$J136)*MAXIFS(Token!$B:$B,Token!$A:$A,$K136)&gt;0.01),$L136/86400+DATE(1970,1,1)+$G$6,)</f>
        <v/>
      </c>
      <c r="B136" s="27" t="str">
        <f t="shared" si="1"/>
        <v/>
      </c>
      <c r="C136" s="14" t="str">
        <f>IF($A136&lt;&gt;"",MINIFS(Merchant!$A:$A,Merchant!$B:$B,$G$2),)</f>
        <v/>
      </c>
      <c r="D136" s="14" t="str">
        <f t="shared" si="2"/>
        <v/>
      </c>
      <c r="E136" s="14" t="str">
        <f t="shared" si="3"/>
        <v/>
      </c>
      <c r="F136" s="7" t="str">
        <f>IF($A136&lt;&gt;"",MAXIFS(Token!$B:$B,Token!$A:$A,$D136),)</f>
        <v/>
      </c>
    </row>
    <row r="137">
      <c r="A137" s="39" t="str">
        <f>IF(AND($L137*1&gt;=$G$3,$L137*1&lt;=$G$4,$I137*$J137&gt;0,OR($I137&lt;&gt;$I138,$L137-$L138&gt;25),$I137/POW(10,$J137)*MAXIFS(Token!$B:$B,Token!$A:$A,$K137)&gt;0.01),$L137/86400+DATE(1970,1,1)+$G$6,)</f>
        <v/>
      </c>
      <c r="B137" s="27" t="str">
        <f t="shared" si="1"/>
        <v/>
      </c>
      <c r="C137" s="14" t="str">
        <f>IF($A137&lt;&gt;"",MINIFS(Merchant!$A:$A,Merchant!$B:$B,$G$2),)</f>
        <v/>
      </c>
      <c r="D137" s="14" t="str">
        <f t="shared" si="2"/>
        <v/>
      </c>
      <c r="E137" s="14" t="str">
        <f t="shared" si="3"/>
        <v/>
      </c>
      <c r="F137" s="7" t="str">
        <f>IF($A137&lt;&gt;"",MAXIFS(Token!$B:$B,Token!$A:$A,$D137),)</f>
        <v/>
      </c>
    </row>
    <row r="138">
      <c r="A138" s="39" t="str">
        <f>IF(AND($L138*1&gt;=$G$3,$L138*1&lt;=$G$4,$I138*$J138&gt;0,OR($I138&lt;&gt;$I139,$L138-$L139&gt;25),$I138/POW(10,$J138)*MAXIFS(Token!$B:$B,Token!$A:$A,$K138)&gt;0.01),$L138/86400+DATE(1970,1,1)+$G$6,)</f>
        <v/>
      </c>
      <c r="B138" s="27" t="str">
        <f t="shared" si="1"/>
        <v/>
      </c>
      <c r="C138" s="14" t="str">
        <f>IF($A138&lt;&gt;"",MINIFS(Merchant!$A:$A,Merchant!$B:$B,$G$2),)</f>
        <v/>
      </c>
      <c r="D138" s="14" t="str">
        <f t="shared" si="2"/>
        <v/>
      </c>
      <c r="E138" s="14" t="str">
        <f t="shared" si="3"/>
        <v/>
      </c>
      <c r="F138" s="7" t="str">
        <f>IF($A138&lt;&gt;"",MAXIFS(Token!$B:$B,Token!$A:$A,$D138),)</f>
        <v/>
      </c>
    </row>
    <row r="139">
      <c r="A139" s="39" t="str">
        <f>IF(AND($L139*1&gt;=$G$3,$L139*1&lt;=$G$4,$I139*$J139&gt;0,OR($I139&lt;&gt;$I140,$L139-$L140&gt;25),$I139/POW(10,$J139)*MAXIFS(Token!$B:$B,Token!$A:$A,$K139)&gt;0.01),$L139/86400+DATE(1970,1,1)+$G$6,)</f>
        <v/>
      </c>
      <c r="B139" s="27" t="str">
        <f t="shared" si="1"/>
        <v/>
      </c>
      <c r="C139" s="14" t="str">
        <f>IF($A139&lt;&gt;"",MINIFS(Merchant!$A:$A,Merchant!$B:$B,$G$2),)</f>
        <v/>
      </c>
      <c r="D139" s="14" t="str">
        <f t="shared" si="2"/>
        <v/>
      </c>
      <c r="E139" s="14" t="str">
        <f t="shared" si="3"/>
        <v/>
      </c>
      <c r="F139" s="7" t="str">
        <f>IF($A139&lt;&gt;"",MAXIFS(Token!$B:$B,Token!$A:$A,$D139),)</f>
        <v/>
      </c>
    </row>
    <row r="140">
      <c r="A140" s="39" t="str">
        <f>IF(AND($L140*1&gt;=$G$3,$L140*1&lt;=$G$4,$I140*$J140&gt;0,OR($I140&lt;&gt;$I141,$L140-$L141&gt;25),$I140/POW(10,$J140)*MAXIFS(Token!$B:$B,Token!$A:$A,$K140)&gt;0.01),$L140/86400+DATE(1970,1,1)+$G$6,)</f>
        <v/>
      </c>
      <c r="B140" s="27" t="str">
        <f t="shared" si="1"/>
        <v/>
      </c>
      <c r="C140" s="14" t="str">
        <f>IF($A140&lt;&gt;"",MINIFS(Merchant!$A:$A,Merchant!$B:$B,$G$2),)</f>
        <v/>
      </c>
      <c r="D140" s="14" t="str">
        <f t="shared" si="2"/>
        <v/>
      </c>
      <c r="E140" s="14" t="str">
        <f t="shared" si="3"/>
        <v/>
      </c>
      <c r="F140" s="7" t="str">
        <f>IF($A140&lt;&gt;"",MAXIFS(Token!$B:$B,Token!$A:$A,$D140),)</f>
        <v/>
      </c>
    </row>
    <row r="141">
      <c r="A141" s="39" t="str">
        <f>IF(AND($L141*1&gt;=$G$3,$L141*1&lt;=$G$4,$I141*$J141&gt;0,OR($I141&lt;&gt;$I142,$L141-$L142&gt;25),$I141/POW(10,$J141)*MAXIFS(Token!$B:$B,Token!$A:$A,$K141)&gt;0.01),$L141/86400+DATE(1970,1,1)+$G$6,)</f>
        <v/>
      </c>
      <c r="B141" s="27" t="str">
        <f t="shared" si="1"/>
        <v/>
      </c>
      <c r="C141" s="14" t="str">
        <f>IF($A141&lt;&gt;"",MINIFS(Merchant!$A:$A,Merchant!$B:$B,$G$2),)</f>
        <v/>
      </c>
      <c r="D141" s="14" t="str">
        <f t="shared" si="2"/>
        <v/>
      </c>
      <c r="E141" s="14" t="str">
        <f t="shared" si="3"/>
        <v/>
      </c>
      <c r="F141" s="7" t="str">
        <f>IF($A141&lt;&gt;"",MAXIFS(Token!$B:$B,Token!$A:$A,$D141),)</f>
        <v/>
      </c>
    </row>
    <row r="142">
      <c r="A142" s="39" t="str">
        <f>IF(AND($L142*1&gt;=$G$3,$L142*1&lt;=$G$4,$I142*$J142&gt;0,OR($I142&lt;&gt;$I143,$L142-$L143&gt;25),$I142/POW(10,$J142)*MAXIFS(Token!$B:$B,Token!$A:$A,$K142)&gt;0.01),$L142/86400+DATE(1970,1,1)+$G$6,)</f>
        <v/>
      </c>
      <c r="B142" s="27" t="str">
        <f t="shared" si="1"/>
        <v/>
      </c>
      <c r="C142" s="14" t="str">
        <f>IF($A142&lt;&gt;"",MINIFS(Merchant!$A:$A,Merchant!$B:$B,$G$2),)</f>
        <v/>
      </c>
      <c r="D142" s="14" t="str">
        <f t="shared" si="2"/>
        <v/>
      </c>
      <c r="E142" s="14" t="str">
        <f t="shared" si="3"/>
        <v/>
      </c>
      <c r="F142" s="7" t="str">
        <f>IF($A142&lt;&gt;"",MAXIFS(Token!$B:$B,Token!$A:$A,$D142),)</f>
        <v/>
      </c>
    </row>
    <row r="143">
      <c r="A143" s="39" t="str">
        <f>IF(AND($L143*1&gt;=$G$3,$L143*1&lt;=$G$4,$I143*$J143&gt;0,OR($I143&lt;&gt;$I144,$L143-$L144&gt;25),$I143/POW(10,$J143)*MAXIFS(Token!$B:$B,Token!$A:$A,$K143)&gt;0.01),$L143/86400+DATE(1970,1,1)+$G$6,)</f>
        <v/>
      </c>
      <c r="B143" s="27" t="str">
        <f t="shared" si="1"/>
        <v/>
      </c>
      <c r="C143" s="14" t="str">
        <f>IF($A143&lt;&gt;"",MINIFS(Merchant!$A:$A,Merchant!$B:$B,$G$2),)</f>
        <v/>
      </c>
      <c r="D143" s="14" t="str">
        <f t="shared" si="2"/>
        <v/>
      </c>
      <c r="E143" s="14" t="str">
        <f t="shared" si="3"/>
        <v/>
      </c>
      <c r="F143" s="7" t="str">
        <f>IF($A143&lt;&gt;"",MAXIFS(Token!$B:$B,Token!$A:$A,$D143),)</f>
        <v/>
      </c>
    </row>
    <row r="144">
      <c r="A144" s="39" t="str">
        <f>IF(AND($L144*1&gt;=$G$3,$L144*1&lt;=$G$4,$I144*$J144&gt;0,OR($I144&lt;&gt;$I145,$L144-$L145&gt;25),$I144/POW(10,$J144)*MAXIFS(Token!$B:$B,Token!$A:$A,$K144)&gt;0.01),$L144/86400+DATE(1970,1,1)+$G$6,)</f>
        <v/>
      </c>
      <c r="B144" s="27" t="str">
        <f t="shared" si="1"/>
        <v/>
      </c>
      <c r="C144" s="14" t="str">
        <f>IF($A144&lt;&gt;"",MINIFS(Merchant!$A:$A,Merchant!$B:$B,$G$2),)</f>
        <v/>
      </c>
      <c r="D144" s="14" t="str">
        <f t="shared" si="2"/>
        <v/>
      </c>
      <c r="E144" s="14" t="str">
        <f t="shared" si="3"/>
        <v/>
      </c>
      <c r="F144" s="7" t="str">
        <f>IF($A144&lt;&gt;"",MAXIFS(Token!$B:$B,Token!$A:$A,$D144),)</f>
        <v/>
      </c>
    </row>
    <row r="145">
      <c r="A145" s="39" t="str">
        <f>IF(AND($L145*1&gt;=$G$3,$L145*1&lt;=$G$4,$I145*$J145&gt;0,OR($I145&lt;&gt;$I146,$L145-$L146&gt;25),$I145/POW(10,$J145)*MAXIFS(Token!$B:$B,Token!$A:$A,$K145)&gt;0.01),$L145/86400+DATE(1970,1,1)+$G$6,)</f>
        <v/>
      </c>
      <c r="B145" s="27" t="str">
        <f t="shared" si="1"/>
        <v/>
      </c>
      <c r="C145" s="14" t="str">
        <f>IF($A145&lt;&gt;"",MINIFS(Merchant!$A:$A,Merchant!$B:$B,$G$2),)</f>
        <v/>
      </c>
      <c r="D145" s="14" t="str">
        <f t="shared" si="2"/>
        <v/>
      </c>
      <c r="E145" s="14" t="str">
        <f t="shared" si="3"/>
        <v/>
      </c>
      <c r="F145" s="7" t="str">
        <f>IF($A145&lt;&gt;"",MAXIFS(Token!$B:$B,Token!$A:$A,$D145),)</f>
        <v/>
      </c>
    </row>
    <row r="146">
      <c r="A146" s="39" t="str">
        <f>IF(AND($L146*1&gt;=$G$3,$L146*1&lt;=$G$4,$I146*$J146&gt;0,OR($I146&lt;&gt;$I147,$L146-$L147&gt;25),$I146/POW(10,$J146)*MAXIFS(Token!$B:$B,Token!$A:$A,$K146)&gt;0.01),$L146/86400+DATE(1970,1,1)+$G$6,)</f>
        <v/>
      </c>
      <c r="B146" s="27" t="str">
        <f t="shared" si="1"/>
        <v/>
      </c>
      <c r="C146" s="14" t="str">
        <f>IF($A146&lt;&gt;"",MINIFS(Merchant!$A:$A,Merchant!$B:$B,$G$2),)</f>
        <v/>
      </c>
      <c r="D146" s="14" t="str">
        <f t="shared" si="2"/>
        <v/>
      </c>
      <c r="E146" s="14" t="str">
        <f t="shared" si="3"/>
        <v/>
      </c>
      <c r="F146" s="7" t="str">
        <f>IF($A146&lt;&gt;"",MAXIFS(Token!$B:$B,Token!$A:$A,$D146),)</f>
        <v/>
      </c>
    </row>
    <row r="147">
      <c r="A147" s="39" t="str">
        <f>IF(AND($L147*1&gt;=$G$3,$L147*1&lt;=$G$4,$I147*$J147&gt;0,OR($I147&lt;&gt;$I148,$L147-$L148&gt;25),$I147/POW(10,$J147)*MAXIFS(Token!$B:$B,Token!$A:$A,$K147)&gt;0.01),$L147/86400+DATE(1970,1,1)+$G$6,)</f>
        <v/>
      </c>
      <c r="B147" s="27" t="str">
        <f t="shared" si="1"/>
        <v/>
      </c>
      <c r="C147" s="14" t="str">
        <f>IF($A147&lt;&gt;"",MINIFS(Merchant!$A:$A,Merchant!$B:$B,$G$2),)</f>
        <v/>
      </c>
      <c r="D147" s="14" t="str">
        <f t="shared" si="2"/>
        <v/>
      </c>
      <c r="E147" s="14" t="str">
        <f t="shared" si="3"/>
        <v/>
      </c>
      <c r="F147" s="7" t="str">
        <f>IF($A147&lt;&gt;"",MAXIFS(Token!$B:$B,Token!$A:$A,$D147),)</f>
        <v/>
      </c>
    </row>
    <row r="148">
      <c r="A148" s="39" t="str">
        <f>IF(AND($L148*1&gt;=$G$3,$L148*1&lt;=$G$4,$I148*$J148&gt;0,OR($I148&lt;&gt;$I149,$L148-$L149&gt;25),$I148/POW(10,$J148)*MAXIFS(Token!$B:$B,Token!$A:$A,$K148)&gt;0.01),$L148/86400+DATE(1970,1,1)+$G$6,)</f>
        <v/>
      </c>
      <c r="B148" s="27" t="str">
        <f t="shared" si="1"/>
        <v/>
      </c>
      <c r="C148" s="14" t="str">
        <f>IF($A148&lt;&gt;"",MINIFS(Merchant!$A:$A,Merchant!$B:$B,$G$2),)</f>
        <v/>
      </c>
      <c r="D148" s="14" t="str">
        <f t="shared" si="2"/>
        <v/>
      </c>
      <c r="E148" s="14" t="str">
        <f t="shared" si="3"/>
        <v/>
      </c>
      <c r="F148" s="7" t="str">
        <f>IF($A148&lt;&gt;"",MAXIFS(Token!$B:$B,Token!$A:$A,$D148),)</f>
        <v/>
      </c>
    </row>
    <row r="149">
      <c r="A149" s="39" t="str">
        <f>IF(AND($L149*1&gt;=$G$3,$L149*1&lt;=$G$4,$I149*$J149&gt;0,OR($I149&lt;&gt;$I150,$L149-$L150&gt;25),$I149/POW(10,$J149)*MAXIFS(Token!$B:$B,Token!$A:$A,$K149)&gt;0.01),$L149/86400+DATE(1970,1,1)+$G$6,)</f>
        <v/>
      </c>
      <c r="B149" s="27" t="str">
        <f t="shared" si="1"/>
        <v/>
      </c>
      <c r="C149" s="14" t="str">
        <f>IF($A149&lt;&gt;"",MINIFS(Merchant!$A:$A,Merchant!$B:$B,$G$2),)</f>
        <v/>
      </c>
      <c r="D149" s="14" t="str">
        <f t="shared" si="2"/>
        <v/>
      </c>
      <c r="E149" s="14" t="str">
        <f t="shared" si="3"/>
        <v/>
      </c>
      <c r="F149" s="7" t="str">
        <f>IF($A149&lt;&gt;"",MAXIFS(Token!$B:$B,Token!$A:$A,$D149),)</f>
        <v/>
      </c>
    </row>
    <row r="150">
      <c r="A150" s="39" t="str">
        <f>IF(AND($L150*1&gt;=$G$3,$L150*1&lt;=$G$4,$I150*$J150&gt;0,OR($I150&lt;&gt;$I151,$L150-$L151&gt;25),$I150/POW(10,$J150)*MAXIFS(Token!$B:$B,Token!$A:$A,$K150)&gt;0.01),$L150/86400+DATE(1970,1,1)+$G$6,)</f>
        <v/>
      </c>
      <c r="B150" s="27" t="str">
        <f t="shared" si="1"/>
        <v/>
      </c>
      <c r="C150" s="14" t="str">
        <f>IF($A150&lt;&gt;"",MINIFS(Merchant!$A:$A,Merchant!$B:$B,$G$2),)</f>
        <v/>
      </c>
      <c r="D150" s="14" t="str">
        <f t="shared" si="2"/>
        <v/>
      </c>
      <c r="E150" s="14" t="str">
        <f t="shared" si="3"/>
        <v/>
      </c>
      <c r="F150" s="7" t="str">
        <f>IF($A150&lt;&gt;"",MAXIFS(Token!$B:$B,Token!$A:$A,$D150),)</f>
        <v/>
      </c>
    </row>
    <row r="151">
      <c r="A151" s="39" t="str">
        <f>IF(AND($L151*1&gt;=$G$3,$L151*1&lt;=$G$4,$I151*$J151&gt;0,OR($I151&lt;&gt;$I152,$L151-$L152&gt;25),$I151/POW(10,$J151)*MAXIFS(Token!$B:$B,Token!$A:$A,$K151)&gt;0.01),$L151/86400+DATE(1970,1,1)+$G$6,)</f>
        <v/>
      </c>
      <c r="B151" s="27" t="str">
        <f t="shared" si="1"/>
        <v/>
      </c>
      <c r="C151" s="14" t="str">
        <f>IF($A151&lt;&gt;"",MINIFS(Merchant!$A:$A,Merchant!$B:$B,$G$2),)</f>
        <v/>
      </c>
      <c r="D151" s="14" t="str">
        <f t="shared" si="2"/>
        <v/>
      </c>
      <c r="E151" s="14" t="str">
        <f t="shared" si="3"/>
        <v/>
      </c>
      <c r="F151" s="7" t="str">
        <f>IF($A151&lt;&gt;"",MAXIFS(Token!$B:$B,Token!$A:$A,$D151),)</f>
        <v/>
      </c>
    </row>
    <row r="152">
      <c r="A152" s="39" t="str">
        <f>IF(AND($L152*1&gt;=$G$3,$L152*1&lt;=$G$4,$I152*$J152&gt;0,OR($I152&lt;&gt;$I153,$L152-$L153&gt;25),$I152/POW(10,$J152)*MAXIFS(Token!$B:$B,Token!$A:$A,$K152)&gt;0.01),$L152/86400+DATE(1970,1,1)+$G$6,)</f>
        <v/>
      </c>
      <c r="B152" s="27" t="str">
        <f t="shared" si="1"/>
        <v/>
      </c>
      <c r="C152" s="14" t="str">
        <f>IF($A152&lt;&gt;"",MINIFS(Merchant!$A:$A,Merchant!$B:$B,$G$2),)</f>
        <v/>
      </c>
      <c r="D152" s="14" t="str">
        <f t="shared" si="2"/>
        <v/>
      </c>
      <c r="E152" s="14" t="str">
        <f t="shared" si="3"/>
        <v/>
      </c>
      <c r="F152" s="7" t="str">
        <f>IF($A152&lt;&gt;"",MAXIFS(Token!$B:$B,Token!$A:$A,$D152),)</f>
        <v/>
      </c>
    </row>
    <row r="153">
      <c r="A153" s="39" t="str">
        <f>IF(AND($L153*1&gt;=$G$3,$L153*1&lt;=$G$4,$I153*$J153&gt;0,OR($I153&lt;&gt;$I154,$L153-$L154&gt;25),$I153/POW(10,$J153)*MAXIFS(Token!$B:$B,Token!$A:$A,$K153)&gt;0.01),$L153/86400+DATE(1970,1,1)+$G$6,)</f>
        <v/>
      </c>
      <c r="B153" s="27" t="str">
        <f t="shared" si="1"/>
        <v/>
      </c>
      <c r="C153" s="14" t="str">
        <f>IF($A153&lt;&gt;"",MINIFS(Merchant!$A:$A,Merchant!$B:$B,$G$2),)</f>
        <v/>
      </c>
      <c r="D153" s="14" t="str">
        <f t="shared" si="2"/>
        <v/>
      </c>
      <c r="E153" s="14" t="str">
        <f t="shared" si="3"/>
        <v/>
      </c>
      <c r="F153" s="7" t="str">
        <f>IF($A153&lt;&gt;"",MAXIFS(Token!$B:$B,Token!$A:$A,$D153),)</f>
        <v/>
      </c>
    </row>
    <row r="154">
      <c r="A154" s="39" t="str">
        <f>IF(AND($L154*1&gt;=$G$3,$L154*1&lt;=$G$4,$I154*$J154&gt;0,OR($I154&lt;&gt;$I155,$L154-$L155&gt;25),$I154/POW(10,$J154)*MAXIFS(Token!$B:$B,Token!$A:$A,$K154)&gt;0.01),$L154/86400+DATE(1970,1,1)+$G$6,)</f>
        <v/>
      </c>
      <c r="B154" s="27" t="str">
        <f t="shared" si="1"/>
        <v/>
      </c>
      <c r="C154" s="14" t="str">
        <f>IF($A154&lt;&gt;"",MINIFS(Merchant!$A:$A,Merchant!$B:$B,$G$2),)</f>
        <v/>
      </c>
      <c r="D154" s="14" t="str">
        <f t="shared" si="2"/>
        <v/>
      </c>
      <c r="E154" s="14" t="str">
        <f t="shared" si="3"/>
        <v/>
      </c>
      <c r="F154" s="7" t="str">
        <f>IF($A154&lt;&gt;"",MAXIFS(Token!$B:$B,Token!$A:$A,$D154),)</f>
        <v/>
      </c>
    </row>
    <row r="155">
      <c r="A155" s="39" t="str">
        <f>IF(AND($L155*1&gt;=$G$3,$L155*1&lt;=$G$4,$I155*$J155&gt;0,OR($I155&lt;&gt;$I156,$L155-$L156&gt;25),$I155/POW(10,$J155)*MAXIFS(Token!$B:$B,Token!$A:$A,$K155)&gt;0.01),$L155/86400+DATE(1970,1,1)+$G$6,)</f>
        <v/>
      </c>
      <c r="B155" s="27" t="str">
        <f t="shared" si="1"/>
        <v/>
      </c>
      <c r="C155" s="14" t="str">
        <f>IF($A155&lt;&gt;"",MINIFS(Merchant!$A:$A,Merchant!$B:$B,$G$2),)</f>
        <v/>
      </c>
      <c r="D155" s="14" t="str">
        <f t="shared" si="2"/>
        <v/>
      </c>
      <c r="E155" s="14" t="str">
        <f t="shared" si="3"/>
        <v/>
      </c>
      <c r="F155" s="7" t="str">
        <f>IF($A155&lt;&gt;"",MAXIFS(Token!$B:$B,Token!$A:$A,$D155),)</f>
        <v/>
      </c>
    </row>
    <row r="156">
      <c r="A156" s="39" t="str">
        <f>IF(AND($L156*1&gt;=$G$3,$L156*1&lt;=$G$4,$I156*$J156&gt;0,OR($I156&lt;&gt;$I157,$L156-$L157&gt;25),$I156/POW(10,$J156)*MAXIFS(Token!$B:$B,Token!$A:$A,$K156)&gt;0.01),$L156/86400+DATE(1970,1,1)+$G$6,)</f>
        <v/>
      </c>
      <c r="B156" s="27" t="str">
        <f t="shared" si="1"/>
        <v/>
      </c>
      <c r="C156" s="14" t="str">
        <f>IF($A156&lt;&gt;"",MINIFS(Merchant!$A:$A,Merchant!$B:$B,$G$2),)</f>
        <v/>
      </c>
      <c r="D156" s="14" t="str">
        <f t="shared" si="2"/>
        <v/>
      </c>
      <c r="E156" s="14" t="str">
        <f t="shared" si="3"/>
        <v/>
      </c>
      <c r="F156" s="7" t="str">
        <f>IF($A156&lt;&gt;"",MAXIFS(Token!$B:$B,Token!$A:$A,$D156),)</f>
        <v/>
      </c>
    </row>
    <row r="157">
      <c r="A157" s="39" t="str">
        <f>IF(AND($L157*1&gt;=$G$3,$L157*1&lt;=$G$4,$I157*$J157&gt;0,OR($I157&lt;&gt;$I158,$L157-$L158&gt;25),$I157/POW(10,$J157)*MAXIFS(Token!$B:$B,Token!$A:$A,$K157)&gt;0.01),$L157/86400+DATE(1970,1,1)+$G$6,)</f>
        <v/>
      </c>
      <c r="B157" s="27" t="str">
        <f t="shared" si="1"/>
        <v/>
      </c>
      <c r="C157" s="14" t="str">
        <f>IF($A157&lt;&gt;"",MINIFS(Merchant!$A:$A,Merchant!$B:$B,$G$2),)</f>
        <v/>
      </c>
      <c r="D157" s="14" t="str">
        <f t="shared" si="2"/>
        <v/>
      </c>
      <c r="E157" s="14" t="str">
        <f t="shared" si="3"/>
        <v/>
      </c>
      <c r="F157" s="7" t="str">
        <f>IF($A157&lt;&gt;"",MAXIFS(Token!$B:$B,Token!$A:$A,$D157),)</f>
        <v/>
      </c>
    </row>
    <row r="158">
      <c r="A158" s="39" t="str">
        <f>IF(AND($L158*1&gt;=$G$3,$L158*1&lt;=$G$4,$I158*$J158&gt;0,OR($I158&lt;&gt;$I159,$L158-$L159&gt;25),$I158/POW(10,$J158)*MAXIFS(Token!$B:$B,Token!$A:$A,$K158)&gt;0.01),$L158/86400+DATE(1970,1,1)+$G$6,)</f>
        <v/>
      </c>
      <c r="B158" s="27" t="str">
        <f t="shared" si="1"/>
        <v/>
      </c>
      <c r="C158" s="14" t="str">
        <f>IF($A158&lt;&gt;"",MINIFS(Merchant!$A:$A,Merchant!$B:$B,$G$2),)</f>
        <v/>
      </c>
      <c r="D158" s="14" t="str">
        <f t="shared" si="2"/>
        <v/>
      </c>
      <c r="E158" s="14" t="str">
        <f t="shared" si="3"/>
        <v/>
      </c>
      <c r="F158" s="7" t="str">
        <f>IF($A158&lt;&gt;"",MAXIFS(Token!$B:$B,Token!$A:$A,$D158),)</f>
        <v/>
      </c>
    </row>
    <row r="159">
      <c r="A159" s="39" t="str">
        <f>IF(AND($L159*1&gt;=$G$3,$L159*1&lt;=$G$4,$I159*$J159&gt;0,OR($I159&lt;&gt;$I160,$L159-$L160&gt;25),$I159/POW(10,$J159)*MAXIFS(Token!$B:$B,Token!$A:$A,$K159)&gt;0.01),$L159/86400+DATE(1970,1,1)+$G$6,)</f>
        <v/>
      </c>
      <c r="B159" s="27" t="str">
        <f t="shared" si="1"/>
        <v/>
      </c>
      <c r="C159" s="14" t="str">
        <f>IF($A159&lt;&gt;"",MINIFS(Merchant!$A:$A,Merchant!$B:$B,$G$2),)</f>
        <v/>
      </c>
      <c r="D159" s="14" t="str">
        <f t="shared" si="2"/>
        <v/>
      </c>
      <c r="E159" s="14" t="str">
        <f t="shared" si="3"/>
        <v/>
      </c>
      <c r="F159" s="7" t="str">
        <f>IF($A159&lt;&gt;"",MAXIFS(Token!$B:$B,Token!$A:$A,$D159),)</f>
        <v/>
      </c>
    </row>
    <row r="160">
      <c r="A160" s="39" t="str">
        <f>IF(AND($L160*1&gt;=$G$3,$L160*1&lt;=$G$4,$I160*$J160&gt;0,OR($I160&lt;&gt;$I161,$L160-$L161&gt;25),$I160/POW(10,$J160)*MAXIFS(Token!$B:$B,Token!$A:$A,$K160)&gt;0.01),$L160/86400+DATE(1970,1,1)+$G$6,)</f>
        <v/>
      </c>
      <c r="B160" s="27" t="str">
        <f t="shared" si="1"/>
        <v/>
      </c>
      <c r="C160" s="14" t="str">
        <f>IF($A160&lt;&gt;"",MINIFS(Merchant!$A:$A,Merchant!$B:$B,$G$2),)</f>
        <v/>
      </c>
      <c r="D160" s="14" t="str">
        <f t="shared" si="2"/>
        <v/>
      </c>
      <c r="E160" s="14" t="str">
        <f t="shared" si="3"/>
        <v/>
      </c>
      <c r="F160" s="7" t="str">
        <f>IF($A160&lt;&gt;"",MAXIFS(Token!$B:$B,Token!$A:$A,$D160),)</f>
        <v/>
      </c>
    </row>
    <row r="161">
      <c r="A161" s="39" t="str">
        <f>IF(AND($L161*1&gt;=$G$3,$L161*1&lt;=$G$4,$I161*$J161&gt;0,OR($I161&lt;&gt;$I162,$L161-$L162&gt;25),$I161/POW(10,$J161)*MAXIFS(Token!$B:$B,Token!$A:$A,$K161)&gt;0.01),$L161/86400+DATE(1970,1,1)+$G$6,)</f>
        <v/>
      </c>
      <c r="B161" s="27" t="str">
        <f t="shared" si="1"/>
        <v/>
      </c>
      <c r="C161" s="14" t="str">
        <f>IF($A161&lt;&gt;"",MINIFS(Merchant!$A:$A,Merchant!$B:$B,$G$2),)</f>
        <v/>
      </c>
      <c r="D161" s="14" t="str">
        <f t="shared" si="2"/>
        <v/>
      </c>
      <c r="E161" s="14" t="str">
        <f t="shared" si="3"/>
        <v/>
      </c>
      <c r="F161" s="7" t="str">
        <f>IF($A161&lt;&gt;"",MAXIFS(Token!$B:$B,Token!$A:$A,$D161),)</f>
        <v/>
      </c>
    </row>
    <row r="162">
      <c r="A162" s="39" t="str">
        <f>IF(AND($L162*1&gt;=$G$3,$L162*1&lt;=$G$4,$I162*$J162&gt;0,OR($I162&lt;&gt;$I163,$L162-$L163&gt;25),$I162/POW(10,$J162)*MAXIFS(Token!$B:$B,Token!$A:$A,$K162)&gt;0.01),$L162/86400+DATE(1970,1,1)+$G$6,)</f>
        <v/>
      </c>
      <c r="B162" s="27" t="str">
        <f t="shared" si="1"/>
        <v/>
      </c>
      <c r="C162" s="14" t="str">
        <f>IF($A162&lt;&gt;"",MINIFS(Merchant!$A:$A,Merchant!$B:$B,$G$2),)</f>
        <v/>
      </c>
      <c r="D162" s="14" t="str">
        <f t="shared" si="2"/>
        <v/>
      </c>
      <c r="E162" s="14" t="str">
        <f t="shared" si="3"/>
        <v/>
      </c>
      <c r="F162" s="7" t="str">
        <f>IF($A162&lt;&gt;"",MAXIFS(Token!$B:$B,Token!$A:$A,$D162),)</f>
        <v/>
      </c>
    </row>
    <row r="163">
      <c r="A163" s="39" t="str">
        <f>IF(AND($L163*1&gt;=$G$3,$L163*1&lt;=$G$4,$I163*$J163&gt;0,OR($I163&lt;&gt;$I164,$L163-$L164&gt;25),$I163/POW(10,$J163)*MAXIFS(Token!$B:$B,Token!$A:$A,$K163)&gt;0.01),$L163/86400+DATE(1970,1,1)+$G$6,)</f>
        <v/>
      </c>
      <c r="B163" s="27" t="str">
        <f t="shared" si="1"/>
        <v/>
      </c>
      <c r="C163" s="14" t="str">
        <f>IF($A163&lt;&gt;"",MINIFS(Merchant!$A:$A,Merchant!$B:$B,$G$2),)</f>
        <v/>
      </c>
      <c r="D163" s="14" t="str">
        <f t="shared" si="2"/>
        <v/>
      </c>
      <c r="E163" s="14" t="str">
        <f t="shared" si="3"/>
        <v/>
      </c>
      <c r="F163" s="7" t="str">
        <f>IF($A163&lt;&gt;"",MAXIFS(Token!$B:$B,Token!$A:$A,$D163),)</f>
        <v/>
      </c>
    </row>
    <row r="164">
      <c r="A164" s="39" t="str">
        <f>IF(AND($L164*1&gt;=$G$3,$L164*1&lt;=$G$4,$I164*$J164&gt;0,OR($I164&lt;&gt;$I165,$L164-$L165&gt;25),$I164/POW(10,$J164)*MAXIFS(Token!$B:$B,Token!$A:$A,$K164)&gt;0.01),$L164/86400+DATE(1970,1,1)+$G$6,)</f>
        <v/>
      </c>
      <c r="B164" s="27" t="str">
        <f t="shared" si="1"/>
        <v/>
      </c>
      <c r="C164" s="14" t="str">
        <f>IF($A164&lt;&gt;"",MINIFS(Merchant!$A:$A,Merchant!$B:$B,$G$2),)</f>
        <v/>
      </c>
      <c r="D164" s="14" t="str">
        <f t="shared" si="2"/>
        <v/>
      </c>
      <c r="E164" s="14" t="str">
        <f t="shared" si="3"/>
        <v/>
      </c>
      <c r="F164" s="7" t="str">
        <f>IF($A164&lt;&gt;"",MAXIFS(Token!$B:$B,Token!$A:$A,$D164),)</f>
        <v/>
      </c>
    </row>
    <row r="165">
      <c r="A165" s="39" t="str">
        <f>IF(AND($L165*1&gt;=$G$3,$L165*1&lt;=$G$4,$I165*$J165&gt;0,OR($I165&lt;&gt;$I166,$L165-$L166&gt;25),$I165/POW(10,$J165)*MAXIFS(Token!$B:$B,Token!$A:$A,$K165)&gt;0.01),$L165/86400+DATE(1970,1,1)+$G$6,)</f>
        <v/>
      </c>
      <c r="B165" s="27" t="str">
        <f t="shared" si="1"/>
        <v/>
      </c>
      <c r="C165" s="14" t="str">
        <f>IF($A165&lt;&gt;"",MINIFS(Merchant!$A:$A,Merchant!$B:$B,$G$2),)</f>
        <v/>
      </c>
      <c r="D165" s="14" t="str">
        <f t="shared" si="2"/>
        <v/>
      </c>
      <c r="E165" s="14" t="str">
        <f t="shared" si="3"/>
        <v/>
      </c>
      <c r="F165" s="7" t="str">
        <f>IF($A165&lt;&gt;"",MAXIFS(Token!$B:$B,Token!$A:$A,$D165),)</f>
        <v/>
      </c>
    </row>
    <row r="166">
      <c r="A166" s="39" t="str">
        <f>IF(AND($L166*1&gt;=$G$3,$L166*1&lt;=$G$4,$I166*$J166&gt;0,OR($I166&lt;&gt;$I167,$L166-$L167&gt;25),$I166/POW(10,$J166)*MAXIFS(Token!$B:$B,Token!$A:$A,$K166)&gt;0.01),$L166/86400+DATE(1970,1,1)+$G$6,)</f>
        <v/>
      </c>
      <c r="B166" s="27" t="str">
        <f t="shared" si="1"/>
        <v/>
      </c>
      <c r="C166" s="14" t="str">
        <f>IF($A166&lt;&gt;"",MINIFS(Merchant!$A:$A,Merchant!$B:$B,$G$2),)</f>
        <v/>
      </c>
      <c r="D166" s="14" t="str">
        <f t="shared" si="2"/>
        <v/>
      </c>
      <c r="E166" s="14" t="str">
        <f t="shared" si="3"/>
        <v/>
      </c>
      <c r="F166" s="7" t="str">
        <f>IF($A166&lt;&gt;"",MAXIFS(Token!$B:$B,Token!$A:$A,$D166),)</f>
        <v/>
      </c>
    </row>
    <row r="167">
      <c r="A167" s="39" t="str">
        <f>IF(AND($L167*1&gt;=$G$3,$L167*1&lt;=$G$4,$I167*$J167&gt;0,OR($I167&lt;&gt;$I168,$L167-$L168&gt;25),$I167/POW(10,$J167)*MAXIFS(Token!$B:$B,Token!$A:$A,$K167)&gt;0.01),$L167/86400+DATE(1970,1,1)+$G$6,)</f>
        <v/>
      </c>
      <c r="B167" s="27" t="str">
        <f t="shared" si="1"/>
        <v/>
      </c>
      <c r="C167" s="14" t="str">
        <f>IF($A167&lt;&gt;"",MINIFS(Merchant!$A:$A,Merchant!$B:$B,$G$2),)</f>
        <v/>
      </c>
      <c r="D167" s="14" t="str">
        <f t="shared" si="2"/>
        <v/>
      </c>
      <c r="E167" s="14" t="str">
        <f t="shared" si="3"/>
        <v/>
      </c>
      <c r="F167" s="7" t="str">
        <f>IF($A167&lt;&gt;"",MAXIFS(Token!$B:$B,Token!$A:$A,$D167),)</f>
        <v/>
      </c>
    </row>
    <row r="168">
      <c r="A168" s="39" t="str">
        <f>IF(AND($L168*1&gt;=$G$3,$L168*1&lt;=$G$4,$I168*$J168&gt;0,OR($I168&lt;&gt;$I169,$L168-$L169&gt;25),$I168/POW(10,$J168)*MAXIFS(Token!$B:$B,Token!$A:$A,$K168)&gt;0.01),$L168/86400+DATE(1970,1,1)+$G$6,)</f>
        <v/>
      </c>
      <c r="B168" s="27" t="str">
        <f t="shared" si="1"/>
        <v/>
      </c>
      <c r="C168" s="14" t="str">
        <f>IF($A168&lt;&gt;"",MINIFS(Merchant!$A:$A,Merchant!$B:$B,$G$2),)</f>
        <v/>
      </c>
      <c r="D168" s="14" t="str">
        <f t="shared" si="2"/>
        <v/>
      </c>
      <c r="E168" s="14" t="str">
        <f t="shared" si="3"/>
        <v/>
      </c>
      <c r="F168" s="7" t="str">
        <f>IF($A168&lt;&gt;"",MAXIFS(Token!$B:$B,Token!$A:$A,$D168),)</f>
        <v/>
      </c>
    </row>
    <row r="169">
      <c r="A169" s="39" t="str">
        <f>IF(AND($L169*1&gt;=$G$3,$L169*1&lt;=$G$4,$I169*$J169&gt;0,OR($I169&lt;&gt;$I170,$L169-$L170&gt;25),$I169/POW(10,$J169)*MAXIFS(Token!$B:$B,Token!$A:$A,$K169)&gt;0.01),$L169/86400+DATE(1970,1,1)+$G$6,)</f>
        <v/>
      </c>
      <c r="B169" s="27" t="str">
        <f t="shared" si="1"/>
        <v/>
      </c>
      <c r="C169" s="14" t="str">
        <f>IF($A169&lt;&gt;"",MINIFS(Merchant!$A:$A,Merchant!$B:$B,$G$2),)</f>
        <v/>
      </c>
      <c r="D169" s="14" t="str">
        <f t="shared" si="2"/>
        <v/>
      </c>
      <c r="E169" s="14" t="str">
        <f t="shared" si="3"/>
        <v/>
      </c>
      <c r="F169" s="7" t="str">
        <f>IF($A169&lt;&gt;"",MAXIFS(Token!$B:$B,Token!$A:$A,$D169),)</f>
        <v/>
      </c>
    </row>
    <row r="170">
      <c r="A170" s="39" t="str">
        <f>IF(AND($L170*1&gt;=$G$3,$L170*1&lt;=$G$4,$I170*$J170&gt;0,OR($I170&lt;&gt;$I171,$L170-$L171&gt;25),$I170/POW(10,$J170)*MAXIFS(Token!$B:$B,Token!$A:$A,$K170)&gt;0.01),$L170/86400+DATE(1970,1,1)+$G$6,)</f>
        <v/>
      </c>
      <c r="B170" s="27" t="str">
        <f t="shared" si="1"/>
        <v/>
      </c>
      <c r="C170" s="14" t="str">
        <f>IF($A170&lt;&gt;"",MINIFS(Merchant!$A:$A,Merchant!$B:$B,$G$2),)</f>
        <v/>
      </c>
      <c r="D170" s="14" t="str">
        <f t="shared" si="2"/>
        <v/>
      </c>
      <c r="E170" s="14" t="str">
        <f t="shared" si="3"/>
        <v/>
      </c>
      <c r="F170" s="7" t="str">
        <f>IF($A170&lt;&gt;"",MAXIFS(Token!$B:$B,Token!$A:$A,$D170),)</f>
        <v/>
      </c>
    </row>
    <row r="171">
      <c r="A171" s="39" t="str">
        <f>IF(AND($L171*1&gt;=$G$3,$L171*1&lt;=$G$4,$I171*$J171&gt;0,OR($I171&lt;&gt;$I172,$L171-$L172&gt;25),$I171/POW(10,$J171)*MAXIFS(Token!$B:$B,Token!$A:$A,$K171)&gt;0.01),$L171/86400+DATE(1970,1,1)+$G$6,)</f>
        <v/>
      </c>
      <c r="B171" s="27" t="str">
        <f t="shared" si="1"/>
        <v/>
      </c>
      <c r="C171" s="14" t="str">
        <f>IF($A171&lt;&gt;"",MINIFS(Merchant!$A:$A,Merchant!$B:$B,$G$2),)</f>
        <v/>
      </c>
      <c r="D171" s="14" t="str">
        <f t="shared" si="2"/>
        <v/>
      </c>
      <c r="E171" s="14" t="str">
        <f t="shared" si="3"/>
        <v/>
      </c>
      <c r="F171" s="7" t="str">
        <f>IF($A171&lt;&gt;"",MAXIFS(Token!$B:$B,Token!$A:$A,$D171),)</f>
        <v/>
      </c>
    </row>
    <row r="172">
      <c r="A172" s="39" t="str">
        <f>IF(AND($L172*1&gt;=$G$3,$L172*1&lt;=$G$4,$I172*$J172&gt;0,OR($I172&lt;&gt;$I173,$L172-$L173&gt;25),$I172/POW(10,$J172)*MAXIFS(Token!$B:$B,Token!$A:$A,$K172)&gt;0.01),$L172/86400+DATE(1970,1,1)+$G$6,)</f>
        <v/>
      </c>
      <c r="B172" s="27" t="str">
        <f t="shared" si="1"/>
        <v/>
      </c>
      <c r="C172" s="14" t="str">
        <f>IF($A172&lt;&gt;"",MINIFS(Merchant!$A:$A,Merchant!$B:$B,$G$2),)</f>
        <v/>
      </c>
      <c r="D172" s="14" t="str">
        <f t="shared" si="2"/>
        <v/>
      </c>
      <c r="E172" s="14" t="str">
        <f t="shared" si="3"/>
        <v/>
      </c>
      <c r="F172" s="7" t="str">
        <f>IF($A172&lt;&gt;"",MAXIFS(Token!$B:$B,Token!$A:$A,$D172),)</f>
        <v/>
      </c>
    </row>
    <row r="173">
      <c r="A173" s="39" t="str">
        <f>IF(AND($L173*1&gt;=$G$3,$L173*1&lt;=$G$4,$I173*$J173&gt;0,OR($I173&lt;&gt;$I174,$L173-$L174&gt;25),$I173/POW(10,$J173)*MAXIFS(Token!$B:$B,Token!$A:$A,$K173)&gt;0.01),$L173/86400+DATE(1970,1,1)+$G$6,)</f>
        <v/>
      </c>
      <c r="B173" s="27" t="str">
        <f t="shared" si="1"/>
        <v/>
      </c>
      <c r="C173" s="14" t="str">
        <f>IF($A173&lt;&gt;"",MINIFS(Merchant!$A:$A,Merchant!$B:$B,$G$2),)</f>
        <v/>
      </c>
      <c r="D173" s="14" t="str">
        <f t="shared" si="2"/>
        <v/>
      </c>
      <c r="E173" s="14" t="str">
        <f t="shared" si="3"/>
        <v/>
      </c>
      <c r="F173" s="7" t="str">
        <f>IF($A173&lt;&gt;"",MAXIFS(Token!$B:$B,Token!$A:$A,$D173),)</f>
        <v/>
      </c>
    </row>
    <row r="174">
      <c r="A174" s="39" t="str">
        <f>IF(AND($L174*1&gt;=$G$3,$L174*1&lt;=$G$4,$I174*$J174&gt;0,OR($I174&lt;&gt;$I175,$L174-$L175&gt;25),$I174/POW(10,$J174)*MAXIFS(Token!$B:$B,Token!$A:$A,$K174)&gt;0.01),$L174/86400+DATE(1970,1,1)+$G$6,)</f>
        <v/>
      </c>
      <c r="B174" s="27" t="str">
        <f t="shared" si="1"/>
        <v/>
      </c>
      <c r="C174" s="14" t="str">
        <f>IF($A174&lt;&gt;"",MINIFS(Merchant!$A:$A,Merchant!$B:$B,$G$2),)</f>
        <v/>
      </c>
      <c r="D174" s="14" t="str">
        <f t="shared" si="2"/>
        <v/>
      </c>
      <c r="E174" s="14" t="str">
        <f t="shared" si="3"/>
        <v/>
      </c>
      <c r="F174" s="7" t="str">
        <f>IF($A174&lt;&gt;"",MAXIFS(Token!$B:$B,Token!$A:$A,$D174),)</f>
        <v/>
      </c>
    </row>
    <row r="175">
      <c r="A175" s="39" t="str">
        <f>IF(AND($L175*1&gt;=$G$3,$L175*1&lt;=$G$4,$I175*$J175&gt;0,OR($I175&lt;&gt;$I176,$L175-$L176&gt;25),$I175/POW(10,$J175)*MAXIFS(Token!$B:$B,Token!$A:$A,$K175)&gt;0.01),$L175/86400+DATE(1970,1,1)+$G$6,)</f>
        <v/>
      </c>
      <c r="B175" s="27" t="str">
        <f t="shared" si="1"/>
        <v/>
      </c>
      <c r="C175" s="14" t="str">
        <f>IF($A175&lt;&gt;"",MINIFS(Merchant!$A:$A,Merchant!$B:$B,$G$2),)</f>
        <v/>
      </c>
      <c r="D175" s="14" t="str">
        <f t="shared" si="2"/>
        <v/>
      </c>
      <c r="E175" s="14" t="str">
        <f t="shared" si="3"/>
        <v/>
      </c>
      <c r="F175" s="7" t="str">
        <f>IF($A175&lt;&gt;"",MAXIFS(Token!$B:$B,Token!$A:$A,$D175),)</f>
        <v/>
      </c>
    </row>
    <row r="176">
      <c r="A176" s="39" t="str">
        <f>IF(AND($L176*1&gt;=$G$3,$L176*1&lt;=$G$4,$I176*$J176&gt;0,OR($I176&lt;&gt;$I177,$L176-$L177&gt;25),$I176/POW(10,$J176)*MAXIFS(Token!$B:$B,Token!$A:$A,$K176)&gt;0.01),$L176/86400+DATE(1970,1,1)+$G$6,)</f>
        <v/>
      </c>
      <c r="B176" s="27" t="str">
        <f t="shared" si="1"/>
        <v/>
      </c>
      <c r="C176" s="14" t="str">
        <f>IF($A176&lt;&gt;"",MINIFS(Merchant!$A:$A,Merchant!$B:$B,$G$2),)</f>
        <v/>
      </c>
      <c r="D176" s="14" t="str">
        <f t="shared" si="2"/>
        <v/>
      </c>
      <c r="E176" s="14" t="str">
        <f t="shared" si="3"/>
        <v/>
      </c>
      <c r="F176" s="7" t="str">
        <f>IF($A176&lt;&gt;"",MAXIFS(Token!$B:$B,Token!$A:$A,$D176),)</f>
        <v/>
      </c>
    </row>
    <row r="177">
      <c r="A177" s="39" t="str">
        <f>IF(AND($L177*1&gt;=$G$3,$L177*1&lt;=$G$4,$I177*$J177&gt;0,OR($I177&lt;&gt;$I178,$L177-$L178&gt;25),$I177/POW(10,$J177)*MAXIFS(Token!$B:$B,Token!$A:$A,$K177)&gt;0.01),$L177/86400+DATE(1970,1,1)+$G$6,)</f>
        <v/>
      </c>
      <c r="B177" s="27" t="str">
        <f t="shared" si="1"/>
        <v/>
      </c>
      <c r="C177" s="14" t="str">
        <f>IF($A177&lt;&gt;"",MINIFS(Merchant!$A:$A,Merchant!$B:$B,$G$2),)</f>
        <v/>
      </c>
      <c r="D177" s="14" t="str">
        <f t="shared" si="2"/>
        <v/>
      </c>
      <c r="E177" s="14" t="str">
        <f t="shared" si="3"/>
        <v/>
      </c>
      <c r="F177" s="7" t="str">
        <f>IF($A177&lt;&gt;"",MAXIFS(Token!$B:$B,Token!$A:$A,$D177),)</f>
        <v/>
      </c>
    </row>
    <row r="178">
      <c r="A178" s="39" t="str">
        <f>IF(AND($L178*1&gt;=$G$3,$L178*1&lt;=$G$4,$I178*$J178&gt;0,OR($I178&lt;&gt;$I179,$L178-$L179&gt;25),$I178/POW(10,$J178)*MAXIFS(Token!$B:$B,Token!$A:$A,$K178)&gt;0.01),$L178/86400+DATE(1970,1,1)+$G$6,)</f>
        <v/>
      </c>
      <c r="B178" s="27" t="str">
        <f t="shared" si="1"/>
        <v/>
      </c>
      <c r="C178" s="14" t="str">
        <f>IF($A178&lt;&gt;"",MINIFS(Merchant!$A:$A,Merchant!$B:$B,$G$2),)</f>
        <v/>
      </c>
      <c r="D178" s="14" t="str">
        <f t="shared" si="2"/>
        <v/>
      </c>
      <c r="E178" s="14" t="str">
        <f t="shared" si="3"/>
        <v/>
      </c>
      <c r="F178" s="7" t="str">
        <f>IF($A178&lt;&gt;"",MAXIFS(Token!$B:$B,Token!$A:$A,$D178),)</f>
        <v/>
      </c>
    </row>
    <row r="179">
      <c r="A179" s="39" t="str">
        <f>IF(AND($L179*1&gt;=$G$3,$L179*1&lt;=$G$4,$I179*$J179&gt;0,OR($I179&lt;&gt;$I180,$L179-$L180&gt;25),$I179/POW(10,$J179)*MAXIFS(Token!$B:$B,Token!$A:$A,$K179)&gt;0.01),$L179/86400+DATE(1970,1,1)+$G$6,)</f>
        <v/>
      </c>
      <c r="B179" s="27" t="str">
        <f t="shared" si="1"/>
        <v/>
      </c>
      <c r="C179" s="14" t="str">
        <f>IF($A179&lt;&gt;"",MINIFS(Merchant!$A:$A,Merchant!$B:$B,$G$2),)</f>
        <v/>
      </c>
      <c r="D179" s="14" t="str">
        <f t="shared" si="2"/>
        <v/>
      </c>
      <c r="E179" s="14" t="str">
        <f t="shared" si="3"/>
        <v/>
      </c>
      <c r="F179" s="7" t="str">
        <f>IF($A179&lt;&gt;"",MAXIFS(Token!$B:$B,Token!$A:$A,$D179),)</f>
        <v/>
      </c>
    </row>
    <row r="180">
      <c r="A180" s="39" t="str">
        <f>IF(AND($L180*1&gt;=$G$3,$L180*1&lt;=$G$4,$I180*$J180&gt;0,OR($I180&lt;&gt;$I181,$L180-$L181&gt;25),$I180/POW(10,$J180)*MAXIFS(Token!$B:$B,Token!$A:$A,$K180)&gt;0.01),$L180/86400+DATE(1970,1,1)+$G$6,)</f>
        <v/>
      </c>
      <c r="B180" s="27" t="str">
        <f t="shared" si="1"/>
        <v/>
      </c>
      <c r="C180" s="14" t="str">
        <f>IF($A180&lt;&gt;"",MINIFS(Merchant!$A:$A,Merchant!$B:$B,$G$2),)</f>
        <v/>
      </c>
      <c r="D180" s="14" t="str">
        <f t="shared" si="2"/>
        <v/>
      </c>
      <c r="E180" s="14" t="str">
        <f t="shared" si="3"/>
        <v/>
      </c>
      <c r="F180" s="7" t="str">
        <f>IF($A180&lt;&gt;"",MAXIFS(Token!$B:$B,Token!$A:$A,$D180),)</f>
        <v/>
      </c>
    </row>
    <row r="181">
      <c r="A181" s="39" t="str">
        <f>IF(AND($L181*1&gt;=$G$3,$L181*1&lt;=$G$4,$I181*$J181&gt;0,OR($I181&lt;&gt;$I182,$L181-$L182&gt;25),$I181/POW(10,$J181)*MAXIFS(Token!$B:$B,Token!$A:$A,$K181)&gt;0.01),$L181/86400+DATE(1970,1,1)+$G$6,)</f>
        <v/>
      </c>
      <c r="B181" s="27" t="str">
        <f t="shared" si="1"/>
        <v/>
      </c>
      <c r="C181" s="14" t="str">
        <f>IF($A181&lt;&gt;"",MINIFS(Merchant!$A:$A,Merchant!$B:$B,$G$2),)</f>
        <v/>
      </c>
      <c r="D181" s="14" t="str">
        <f t="shared" si="2"/>
        <v/>
      </c>
      <c r="E181" s="14" t="str">
        <f t="shared" si="3"/>
        <v/>
      </c>
      <c r="F181" s="7" t="str">
        <f>IF($A181&lt;&gt;"",MAXIFS(Token!$B:$B,Token!$A:$A,$D181),)</f>
        <v/>
      </c>
    </row>
    <row r="182">
      <c r="A182" s="39" t="str">
        <f>IF(AND($L182*1&gt;=$G$3,$L182*1&lt;=$G$4,$I182*$J182&gt;0,OR($I182&lt;&gt;$I183,$L182-$L183&gt;25),$I182/POW(10,$J182)*MAXIFS(Token!$B:$B,Token!$A:$A,$K182)&gt;0.01),$L182/86400+DATE(1970,1,1)+$G$6,)</f>
        <v/>
      </c>
      <c r="B182" s="27" t="str">
        <f t="shared" si="1"/>
        <v/>
      </c>
      <c r="C182" s="14" t="str">
        <f>IF($A182&lt;&gt;"",MINIFS(Merchant!$A:$A,Merchant!$B:$B,$G$2),)</f>
        <v/>
      </c>
      <c r="D182" s="14" t="str">
        <f t="shared" si="2"/>
        <v/>
      </c>
      <c r="E182" s="14" t="str">
        <f t="shared" si="3"/>
        <v/>
      </c>
      <c r="F182" s="7" t="str">
        <f>IF($A182&lt;&gt;"",MAXIFS(Token!$B:$B,Token!$A:$A,$D182),)</f>
        <v/>
      </c>
    </row>
    <row r="183">
      <c r="A183" s="39" t="str">
        <f>IF(AND($L183*1&gt;=$G$3,$L183*1&lt;=$G$4,$I183*$J183&gt;0,OR($I183&lt;&gt;$I184,$L183-$L184&gt;25),$I183/POW(10,$J183)*MAXIFS(Token!$B:$B,Token!$A:$A,$K183)&gt;0.01),$L183/86400+DATE(1970,1,1)+$G$6,)</f>
        <v/>
      </c>
      <c r="B183" s="27" t="str">
        <f t="shared" si="1"/>
        <v/>
      </c>
      <c r="C183" s="14" t="str">
        <f>IF($A183&lt;&gt;"",MINIFS(Merchant!$A:$A,Merchant!$B:$B,$G$2),)</f>
        <v/>
      </c>
      <c r="D183" s="14" t="str">
        <f t="shared" si="2"/>
        <v/>
      </c>
      <c r="E183" s="14" t="str">
        <f t="shared" si="3"/>
        <v/>
      </c>
      <c r="F183" s="7" t="str">
        <f>IF($A183&lt;&gt;"",MAXIFS(Token!$B:$B,Token!$A:$A,$D183),)</f>
        <v/>
      </c>
    </row>
    <row r="184">
      <c r="A184" s="39" t="str">
        <f>IF(AND($L184*1&gt;=$G$3,$L184*1&lt;=$G$4,$I184*$J184&gt;0,OR($I184&lt;&gt;$I185,$L184-$L185&gt;25),$I184/POW(10,$J184)*MAXIFS(Token!$B:$B,Token!$A:$A,$K184)&gt;0.01),$L184/86400+DATE(1970,1,1)+$G$6,)</f>
        <v/>
      </c>
      <c r="B184" s="27" t="str">
        <f t="shared" si="1"/>
        <v/>
      </c>
      <c r="C184" s="14" t="str">
        <f>IF($A184&lt;&gt;"",MINIFS(Merchant!$A:$A,Merchant!$B:$B,$G$2),)</f>
        <v/>
      </c>
      <c r="D184" s="14" t="str">
        <f t="shared" si="2"/>
        <v/>
      </c>
      <c r="E184" s="14" t="str">
        <f t="shared" si="3"/>
        <v/>
      </c>
      <c r="F184" s="7" t="str">
        <f>IF($A184&lt;&gt;"",MAXIFS(Token!$B:$B,Token!$A:$A,$D184),)</f>
        <v/>
      </c>
    </row>
    <row r="185">
      <c r="A185" s="39" t="str">
        <f>IF(AND($L185*1&gt;=$G$3,$L185*1&lt;=$G$4,$I185*$J185&gt;0,OR($I185&lt;&gt;$I186,$L185-$L186&gt;25),$I185/POW(10,$J185)*MAXIFS(Token!$B:$B,Token!$A:$A,$K185)&gt;0.01),$L185/86400+DATE(1970,1,1)+$G$6,)</f>
        <v/>
      </c>
      <c r="B185" s="27" t="str">
        <f t="shared" si="1"/>
        <v/>
      </c>
      <c r="C185" s="14" t="str">
        <f>IF($A185&lt;&gt;"",MINIFS(Merchant!$A:$A,Merchant!$B:$B,$G$2),)</f>
        <v/>
      </c>
      <c r="D185" s="14" t="str">
        <f t="shared" si="2"/>
        <v/>
      </c>
      <c r="E185" s="14" t="str">
        <f t="shared" si="3"/>
        <v/>
      </c>
      <c r="F185" s="7" t="str">
        <f>IF($A185&lt;&gt;"",MAXIFS(Token!$B:$B,Token!$A:$A,$D185),)</f>
        <v/>
      </c>
    </row>
    <row r="186">
      <c r="A186" s="39" t="str">
        <f>IF(AND($L186*1&gt;=$G$3,$L186*1&lt;=$G$4,$I186*$J186&gt;0,OR($I186&lt;&gt;$I187,$L186-$L187&gt;25),$I186/POW(10,$J186)*MAXIFS(Token!$B:$B,Token!$A:$A,$K186)&gt;0.01),$L186/86400+DATE(1970,1,1)+$G$6,)</f>
        <v/>
      </c>
      <c r="B186" s="27" t="str">
        <f t="shared" si="1"/>
        <v/>
      </c>
      <c r="C186" s="14" t="str">
        <f>IF($A186&lt;&gt;"",MINIFS(Merchant!$A:$A,Merchant!$B:$B,$G$2),)</f>
        <v/>
      </c>
      <c r="D186" s="14" t="str">
        <f t="shared" si="2"/>
        <v/>
      </c>
      <c r="E186" s="14" t="str">
        <f t="shared" si="3"/>
        <v/>
      </c>
      <c r="F186" s="7" t="str">
        <f>IF($A186&lt;&gt;"",MAXIFS(Token!$B:$B,Token!$A:$A,$D186),)</f>
        <v/>
      </c>
    </row>
    <row r="187">
      <c r="A187" s="39" t="str">
        <f>IF(AND($L187*1&gt;=$G$3,$L187*1&lt;=$G$4,$I187*$J187&gt;0,OR($I187&lt;&gt;$I188,$L187-$L188&gt;25),$I187/POW(10,$J187)*MAXIFS(Token!$B:$B,Token!$A:$A,$K187)&gt;0.01),$L187/86400+DATE(1970,1,1)+$G$6,)</f>
        <v/>
      </c>
      <c r="B187" s="27" t="str">
        <f t="shared" si="1"/>
        <v/>
      </c>
      <c r="C187" s="14" t="str">
        <f>IF($A187&lt;&gt;"",MINIFS(Merchant!$A:$A,Merchant!$B:$B,$G$2),)</f>
        <v/>
      </c>
      <c r="D187" s="14" t="str">
        <f t="shared" si="2"/>
        <v/>
      </c>
      <c r="E187" s="14" t="str">
        <f t="shared" si="3"/>
        <v/>
      </c>
      <c r="F187" s="7" t="str">
        <f>IF($A187&lt;&gt;"",MAXIFS(Token!$B:$B,Token!$A:$A,$D187),)</f>
        <v/>
      </c>
    </row>
    <row r="188">
      <c r="A188" s="39" t="str">
        <f>IF(AND($L188*1&gt;=$G$3,$L188*1&lt;=$G$4,$I188*$J188&gt;0,OR($I188&lt;&gt;$I189,$L188-$L189&gt;25),$I188/POW(10,$J188)*MAXIFS(Token!$B:$B,Token!$A:$A,$K188)&gt;0.01),$L188/86400+DATE(1970,1,1)+$G$6,)</f>
        <v/>
      </c>
      <c r="B188" s="27" t="str">
        <f t="shared" si="1"/>
        <v/>
      </c>
      <c r="C188" s="14" t="str">
        <f>IF($A188&lt;&gt;"",MINIFS(Merchant!$A:$A,Merchant!$B:$B,$G$2),)</f>
        <v/>
      </c>
      <c r="D188" s="14" t="str">
        <f t="shared" si="2"/>
        <v/>
      </c>
      <c r="E188" s="14" t="str">
        <f t="shared" si="3"/>
        <v/>
      </c>
      <c r="F188" s="7" t="str">
        <f>IF($A188&lt;&gt;"",MAXIFS(Token!$B:$B,Token!$A:$A,$D188),)</f>
        <v/>
      </c>
    </row>
    <row r="189">
      <c r="A189" s="39" t="str">
        <f>IF(AND($L189*1&gt;=$G$3,$L189*1&lt;=$G$4,$I189*$J189&gt;0,OR($I189&lt;&gt;$I190,$L189-$L190&gt;25),$I189/POW(10,$J189)*MAXIFS(Token!$B:$B,Token!$A:$A,$K189)&gt;0.01),$L189/86400+DATE(1970,1,1)+$G$6,)</f>
        <v/>
      </c>
      <c r="B189" s="27" t="str">
        <f t="shared" si="1"/>
        <v/>
      </c>
      <c r="C189" s="14" t="str">
        <f>IF($A189&lt;&gt;"",MINIFS(Merchant!$A:$A,Merchant!$B:$B,$G$2),)</f>
        <v/>
      </c>
      <c r="D189" s="14" t="str">
        <f t="shared" si="2"/>
        <v/>
      </c>
      <c r="E189" s="14" t="str">
        <f t="shared" si="3"/>
        <v/>
      </c>
      <c r="F189" s="7" t="str">
        <f>IF($A189&lt;&gt;"",MAXIFS(Token!$B:$B,Token!$A:$A,$D189),)</f>
        <v/>
      </c>
    </row>
    <row r="190">
      <c r="A190" s="39" t="str">
        <f>IF(AND($L190*1&gt;=$G$3,$L190*1&lt;=$G$4,$I190*$J190&gt;0,OR($I190&lt;&gt;$I191,$L190-$L191&gt;25),$I190/POW(10,$J190)*MAXIFS(Token!$B:$B,Token!$A:$A,$K190)&gt;0.01),$L190/86400+DATE(1970,1,1)+$G$6,)</f>
        <v/>
      </c>
      <c r="B190" s="27" t="str">
        <f t="shared" si="1"/>
        <v/>
      </c>
      <c r="C190" s="14" t="str">
        <f>IF($A190&lt;&gt;"",MINIFS(Merchant!$A:$A,Merchant!$B:$B,$G$2),)</f>
        <v/>
      </c>
      <c r="D190" s="14" t="str">
        <f t="shared" si="2"/>
        <v/>
      </c>
      <c r="E190" s="14" t="str">
        <f t="shared" si="3"/>
        <v/>
      </c>
      <c r="F190" s="7" t="str">
        <f>IF($A190&lt;&gt;"",MAXIFS(Token!$B:$B,Token!$A:$A,$D190),)</f>
        <v/>
      </c>
    </row>
    <row r="191">
      <c r="A191" s="39" t="str">
        <f>IF(AND($L191*1&gt;=$G$3,$L191*1&lt;=$G$4,$I191*$J191&gt;0,OR($I191&lt;&gt;$I192,$L191-$L192&gt;25),$I191/POW(10,$J191)*MAXIFS(Token!$B:$B,Token!$A:$A,$K191)&gt;0.01),$L191/86400+DATE(1970,1,1)+$G$6,)</f>
        <v/>
      </c>
      <c r="B191" s="27" t="str">
        <f t="shared" si="1"/>
        <v/>
      </c>
      <c r="C191" s="14" t="str">
        <f>IF($A191&lt;&gt;"",MINIFS(Merchant!$A:$A,Merchant!$B:$B,$G$2),)</f>
        <v/>
      </c>
      <c r="D191" s="14" t="str">
        <f t="shared" si="2"/>
        <v/>
      </c>
      <c r="E191" s="14" t="str">
        <f t="shared" si="3"/>
        <v/>
      </c>
      <c r="F191" s="7" t="str">
        <f>IF($A191&lt;&gt;"",MAXIFS(Token!$B:$B,Token!$A:$A,$D191),)</f>
        <v/>
      </c>
    </row>
    <row r="192">
      <c r="A192" s="39" t="str">
        <f>IF(AND($L192*1&gt;=$G$3,$L192*1&lt;=$G$4,$I192*$J192&gt;0,OR($I192&lt;&gt;$I193,$L192-$L193&gt;25),$I192/POW(10,$J192)*MAXIFS(Token!$B:$B,Token!$A:$A,$K192)&gt;0.01),$L192/86400+DATE(1970,1,1)+$G$6,)</f>
        <v/>
      </c>
      <c r="B192" s="27" t="str">
        <f t="shared" si="1"/>
        <v/>
      </c>
      <c r="C192" s="14" t="str">
        <f>IF($A192&lt;&gt;"",MINIFS(Merchant!$A:$A,Merchant!$B:$B,$G$2),)</f>
        <v/>
      </c>
      <c r="D192" s="14" t="str">
        <f t="shared" si="2"/>
        <v/>
      </c>
      <c r="E192" s="14" t="str">
        <f t="shared" si="3"/>
        <v/>
      </c>
      <c r="F192" s="7" t="str">
        <f>IF($A192&lt;&gt;"",MAXIFS(Token!$B:$B,Token!$A:$A,$D192),)</f>
        <v/>
      </c>
    </row>
    <row r="193">
      <c r="A193" s="39" t="str">
        <f>IF(AND($L193*1&gt;=$G$3,$L193*1&lt;=$G$4,$I193*$J193&gt;0,OR($I193&lt;&gt;$I194,$L193-$L194&gt;25),$I193/POW(10,$J193)*MAXIFS(Token!$B:$B,Token!$A:$A,$K193)&gt;0.01),$L193/86400+DATE(1970,1,1)+$G$6,)</f>
        <v/>
      </c>
      <c r="B193" s="27" t="str">
        <f t="shared" si="1"/>
        <v/>
      </c>
      <c r="C193" s="14" t="str">
        <f>IF($A193&lt;&gt;"",MINIFS(Merchant!$A:$A,Merchant!$B:$B,$G$2),)</f>
        <v/>
      </c>
      <c r="D193" s="14" t="str">
        <f t="shared" si="2"/>
        <v/>
      </c>
      <c r="E193" s="14" t="str">
        <f t="shared" si="3"/>
        <v/>
      </c>
      <c r="F193" s="7" t="str">
        <f>IF($A193&lt;&gt;"",MAXIFS(Token!$B:$B,Token!$A:$A,$D193),)</f>
        <v/>
      </c>
    </row>
    <row r="194">
      <c r="A194" s="39" t="str">
        <f>IF(AND($L194*1&gt;=$G$3,$L194*1&lt;=$G$4,$I194*$J194&gt;0,OR($I194&lt;&gt;$I195,$L194-$L195&gt;25),$I194/POW(10,$J194)*MAXIFS(Token!$B:$B,Token!$A:$A,$K194)&gt;0.01),$L194/86400+DATE(1970,1,1)+$G$6,)</f>
        <v/>
      </c>
      <c r="B194" s="27" t="str">
        <f t="shared" si="1"/>
        <v/>
      </c>
      <c r="C194" s="14" t="str">
        <f>IF($A194&lt;&gt;"",MINIFS(Merchant!$A:$A,Merchant!$B:$B,$G$2),)</f>
        <v/>
      </c>
      <c r="D194" s="14" t="str">
        <f t="shared" si="2"/>
        <v/>
      </c>
      <c r="E194" s="14" t="str">
        <f t="shared" si="3"/>
        <v/>
      </c>
      <c r="F194" s="7" t="str">
        <f>IF($A194&lt;&gt;"",MAXIFS(Token!$B:$B,Token!$A:$A,$D194),)</f>
        <v/>
      </c>
    </row>
    <row r="195">
      <c r="A195" s="39" t="str">
        <f>IF(AND($L195*1&gt;=$G$3,$L195*1&lt;=$G$4,$I195*$J195&gt;0,OR($I195&lt;&gt;$I196,$L195-$L196&gt;25),$I195/POW(10,$J195)*MAXIFS(Token!$B:$B,Token!$A:$A,$K195)&gt;0.01),$L195/86400+DATE(1970,1,1)+$G$6,)</f>
        <v/>
      </c>
      <c r="B195" s="27" t="str">
        <f t="shared" si="1"/>
        <v/>
      </c>
      <c r="C195" s="14" t="str">
        <f>IF($A195&lt;&gt;"",MINIFS(Merchant!$A:$A,Merchant!$B:$B,$G$2),)</f>
        <v/>
      </c>
      <c r="D195" s="14" t="str">
        <f t="shared" si="2"/>
        <v/>
      </c>
      <c r="E195" s="14" t="str">
        <f t="shared" si="3"/>
        <v/>
      </c>
      <c r="F195" s="7" t="str">
        <f>IF($A195&lt;&gt;"",MAXIFS(Token!$B:$B,Token!$A:$A,$D195),)</f>
        <v/>
      </c>
    </row>
    <row r="196">
      <c r="A196" s="39" t="str">
        <f>IF(AND($L196*1&gt;=$G$3,$L196*1&lt;=$G$4,$I196*$J196&gt;0,OR($I196&lt;&gt;$I197,$L196-$L197&gt;25),$I196/POW(10,$J196)*MAXIFS(Token!$B:$B,Token!$A:$A,$K196)&gt;0.01),$L196/86400+DATE(1970,1,1)+$G$6,)</f>
        <v/>
      </c>
      <c r="B196" s="27" t="str">
        <f t="shared" si="1"/>
        <v/>
      </c>
      <c r="C196" s="14" t="str">
        <f>IF($A196&lt;&gt;"",MINIFS(Merchant!$A:$A,Merchant!$B:$B,$G$2),)</f>
        <v/>
      </c>
      <c r="D196" s="14" t="str">
        <f t="shared" si="2"/>
        <v/>
      </c>
      <c r="E196" s="14" t="str">
        <f t="shared" si="3"/>
        <v/>
      </c>
      <c r="F196" s="7" t="str">
        <f>IF($A196&lt;&gt;"",MAXIFS(Token!$B:$B,Token!$A:$A,$D196),)</f>
        <v/>
      </c>
    </row>
    <row r="197">
      <c r="A197" s="39" t="str">
        <f>IF(AND($L197*1&gt;=$G$3,$L197*1&lt;=$G$4,$I197*$J197&gt;0,OR($I197&lt;&gt;$I198,$L197-$L198&gt;25),$I197/POW(10,$J197)*MAXIFS(Token!$B:$B,Token!$A:$A,$K197)&gt;0.01),$L197/86400+DATE(1970,1,1)+$G$6,)</f>
        <v/>
      </c>
      <c r="B197" s="27" t="str">
        <f t="shared" si="1"/>
        <v/>
      </c>
      <c r="C197" s="14" t="str">
        <f>IF($A197&lt;&gt;"",MINIFS(Merchant!$A:$A,Merchant!$B:$B,$G$2),)</f>
        <v/>
      </c>
      <c r="D197" s="14" t="str">
        <f t="shared" si="2"/>
        <v/>
      </c>
      <c r="E197" s="14" t="str">
        <f t="shared" si="3"/>
        <v/>
      </c>
      <c r="F197" s="7" t="str">
        <f>IF($A197&lt;&gt;"",MAXIFS(Token!$B:$B,Token!$A:$A,$D197),)</f>
        <v/>
      </c>
    </row>
    <row r="198">
      <c r="A198" s="39" t="str">
        <f>IF(AND($L198*1&gt;=$G$3,$L198*1&lt;=$G$4,$I198*$J198&gt;0,OR($I198&lt;&gt;$I199,$L198-$L199&gt;25),$I198/POW(10,$J198)*MAXIFS(Token!$B:$B,Token!$A:$A,$K198)&gt;0.01),$L198/86400+DATE(1970,1,1)+$G$6,)</f>
        <v/>
      </c>
      <c r="B198" s="27" t="str">
        <f t="shared" si="1"/>
        <v/>
      </c>
      <c r="C198" s="14" t="str">
        <f>IF($A198&lt;&gt;"",MINIFS(Merchant!$A:$A,Merchant!$B:$B,$G$2),)</f>
        <v/>
      </c>
      <c r="D198" s="14" t="str">
        <f t="shared" si="2"/>
        <v/>
      </c>
      <c r="E198" s="14" t="str">
        <f t="shared" si="3"/>
        <v/>
      </c>
      <c r="F198" s="7" t="str">
        <f>IF($A198&lt;&gt;"",MAXIFS(Token!$B:$B,Token!$A:$A,$D198),)</f>
        <v/>
      </c>
    </row>
    <row r="199">
      <c r="A199" s="39" t="str">
        <f>IF(AND($L199*1&gt;=$G$3,$L199*1&lt;=$G$4,$I199*$J199&gt;0,OR($I199&lt;&gt;$I200,$L199-$L200&gt;25),$I199/POW(10,$J199)*MAXIFS(Token!$B:$B,Token!$A:$A,$K199)&gt;0.01),$L199/86400+DATE(1970,1,1)+$G$6,)</f>
        <v/>
      </c>
      <c r="B199" s="27" t="str">
        <f t="shared" si="1"/>
        <v/>
      </c>
      <c r="C199" s="14" t="str">
        <f>IF($A199&lt;&gt;"",MINIFS(Merchant!$A:$A,Merchant!$B:$B,$G$2),)</f>
        <v/>
      </c>
      <c r="D199" s="14" t="str">
        <f t="shared" si="2"/>
        <v/>
      </c>
      <c r="E199" s="14" t="str">
        <f t="shared" si="3"/>
        <v/>
      </c>
      <c r="F199" s="7" t="str">
        <f>IF($A199&lt;&gt;"",MAXIFS(Token!$B:$B,Token!$A:$A,$D199),)</f>
        <v/>
      </c>
    </row>
    <row r="200">
      <c r="A200" s="39" t="str">
        <f>IF(AND($L200*1&gt;=$G$3,$L200*1&lt;=$G$4,$I200*$J200&gt;0,OR($I200&lt;&gt;$I201,$L200-$L201&gt;25),$I200/POW(10,$J200)*MAXIFS(Token!$B:$B,Token!$A:$A,$K200)&gt;0.01),$L200/86400+DATE(1970,1,1)+$G$6,)</f>
        <v/>
      </c>
      <c r="B200" s="27" t="str">
        <f t="shared" si="1"/>
        <v/>
      </c>
      <c r="C200" s="14" t="str">
        <f>IF($A200&lt;&gt;"",MINIFS(Merchant!$A:$A,Merchant!$B:$B,$G$2),)</f>
        <v/>
      </c>
      <c r="D200" s="14" t="str">
        <f t="shared" si="2"/>
        <v/>
      </c>
      <c r="E200" s="14" t="str">
        <f t="shared" si="3"/>
        <v/>
      </c>
      <c r="F200" s="7" t="str">
        <f>IF($A200&lt;&gt;"",MAXIFS(Token!$B:$B,Token!$A:$A,$D200),)</f>
        <v/>
      </c>
    </row>
    <row r="201">
      <c r="A201" s="39" t="str">
        <f>IF(AND($L201*1&gt;=$G$3,$L201*1&lt;=$G$4,$I201*$J201&gt;0,OR($I201&lt;&gt;$I202,$L201-$L202&gt;25),$I201/POW(10,$J201)*MAXIFS(Token!$B:$B,Token!$A:$A,$K201)&gt;0.01),$L201/86400+DATE(1970,1,1)+$G$6,)</f>
        <v/>
      </c>
      <c r="B201" s="27" t="str">
        <f t="shared" si="1"/>
        <v/>
      </c>
      <c r="C201" s="14" t="str">
        <f>IF($A201&lt;&gt;"",MINIFS(Merchant!$A:$A,Merchant!$B:$B,$G$2),)</f>
        <v/>
      </c>
      <c r="D201" s="14" t="str">
        <f t="shared" si="2"/>
        <v/>
      </c>
      <c r="E201" s="14" t="str">
        <f t="shared" si="3"/>
        <v/>
      </c>
      <c r="F201" s="7" t="str">
        <f>IF($A201&lt;&gt;"",MAXIFS(Token!$B:$B,Token!$A:$A,$D201),)</f>
        <v/>
      </c>
    </row>
    <row r="202">
      <c r="A202" s="39" t="str">
        <f>IF(AND($L202*1&gt;=$G$3,$L202*1&lt;=$G$4,$I202*$J202&gt;0,OR($I202&lt;&gt;$I203,$L202-$L203&gt;25),$I202/POW(10,$J202)*MAXIFS(Token!$B:$B,Token!$A:$A,$K202)&gt;0.01),$L202/86400+DATE(1970,1,1)+$G$6,)</f>
        <v/>
      </c>
      <c r="B202" s="27" t="str">
        <f t="shared" si="1"/>
        <v/>
      </c>
      <c r="C202" s="14" t="str">
        <f>IF($A202&lt;&gt;"",MINIFS(Merchant!$A:$A,Merchant!$B:$B,$G$2),)</f>
        <v/>
      </c>
      <c r="D202" s="14" t="str">
        <f t="shared" si="2"/>
        <v/>
      </c>
      <c r="E202" s="14" t="str">
        <f t="shared" si="3"/>
        <v/>
      </c>
      <c r="F202" s="7" t="str">
        <f>IF($A202&lt;&gt;"",MAXIFS(Token!$B:$B,Token!$A:$A,$D202),)</f>
        <v/>
      </c>
    </row>
    <row r="203">
      <c r="A203" s="39" t="str">
        <f>IF(AND($L203*1&gt;=$G$3,$L203*1&lt;=$G$4,$I203*$J203&gt;0,OR($I203&lt;&gt;$I204,$L203-$L204&gt;25),$I203/POW(10,$J203)*MAXIFS(Token!$B:$B,Token!$A:$A,$K203)&gt;0.01),$L203/86400+DATE(1970,1,1)+$G$6,)</f>
        <v/>
      </c>
      <c r="B203" s="27" t="str">
        <f t="shared" si="1"/>
        <v/>
      </c>
      <c r="C203" s="14" t="str">
        <f>IF($A203&lt;&gt;"",MINIFS(Merchant!$A:$A,Merchant!$B:$B,$G$2),)</f>
        <v/>
      </c>
      <c r="D203" s="14" t="str">
        <f t="shared" si="2"/>
        <v/>
      </c>
      <c r="E203" s="14" t="str">
        <f t="shared" si="3"/>
        <v/>
      </c>
      <c r="F203" s="7" t="str">
        <f>IF($A203&lt;&gt;"",MAXIFS(Token!$B:$B,Token!$A:$A,$D203),)</f>
        <v/>
      </c>
    </row>
    <row r="204">
      <c r="A204" s="39" t="str">
        <f>IF(AND($L204*1&gt;=$G$3,$L204*1&lt;=$G$4,$I204*$J204&gt;0,OR($I204&lt;&gt;$I205,$L204-$L205&gt;25),$I204/POW(10,$J204)*MAXIFS(Token!$B:$B,Token!$A:$A,$K204)&gt;0.01),$L204/86400+DATE(1970,1,1)+$G$6,)</f>
        <v/>
      </c>
      <c r="B204" s="27" t="str">
        <f t="shared" si="1"/>
        <v/>
      </c>
      <c r="C204" s="14" t="str">
        <f>IF($A204&lt;&gt;"",MINIFS(Merchant!$A:$A,Merchant!$B:$B,$G$2),)</f>
        <v/>
      </c>
      <c r="D204" s="14" t="str">
        <f t="shared" si="2"/>
        <v/>
      </c>
      <c r="E204" s="14" t="str">
        <f t="shared" si="3"/>
        <v/>
      </c>
      <c r="F204" s="7" t="str">
        <f>IF($A204&lt;&gt;"",MAXIFS(Token!$B:$B,Token!$A:$A,$D204),)</f>
        <v/>
      </c>
    </row>
    <row r="205">
      <c r="A205" s="39" t="str">
        <f>IF(AND($L205*1&gt;=$G$3,$L205*1&lt;=$G$4,$I205*$J205&gt;0,OR($I205&lt;&gt;$I206,$L205-$L206&gt;25),$I205/POW(10,$J205)*MAXIFS(Token!$B:$B,Token!$A:$A,$K205)&gt;0.01),$L205/86400+DATE(1970,1,1)+$G$6,)</f>
        <v/>
      </c>
      <c r="B205" s="27" t="str">
        <f t="shared" si="1"/>
        <v/>
      </c>
      <c r="C205" s="14" t="str">
        <f>IF($A205&lt;&gt;"",MINIFS(Merchant!$A:$A,Merchant!$B:$B,$G$2),)</f>
        <v/>
      </c>
      <c r="D205" s="14" t="str">
        <f t="shared" si="2"/>
        <v/>
      </c>
      <c r="E205" s="14" t="str">
        <f t="shared" si="3"/>
        <v/>
      </c>
      <c r="F205" s="7" t="str">
        <f>IF($A205&lt;&gt;"",MAXIFS(Token!$B:$B,Token!$A:$A,$D205),)</f>
        <v/>
      </c>
    </row>
    <row r="206">
      <c r="A206" s="39" t="str">
        <f>IF(AND($L206*1&gt;=$G$3,$L206*1&lt;=$G$4,$I206*$J206&gt;0,OR($I206&lt;&gt;$I207,$L206-$L207&gt;25),$I206/POW(10,$J206)*MAXIFS(Token!$B:$B,Token!$A:$A,$K206)&gt;0.01),$L206/86400+DATE(1970,1,1)+$G$6,)</f>
        <v/>
      </c>
      <c r="B206" s="27" t="str">
        <f t="shared" si="1"/>
        <v/>
      </c>
      <c r="C206" s="14" t="str">
        <f>IF($A206&lt;&gt;"",MINIFS(Merchant!$A:$A,Merchant!$B:$B,$G$2),)</f>
        <v/>
      </c>
      <c r="D206" s="14" t="str">
        <f t="shared" si="2"/>
        <v/>
      </c>
      <c r="E206" s="14" t="str">
        <f t="shared" si="3"/>
        <v/>
      </c>
      <c r="F206" s="7" t="str">
        <f>IF($A206&lt;&gt;"",MAXIFS(Token!$B:$B,Token!$A:$A,$D206),)</f>
        <v/>
      </c>
    </row>
    <row r="207">
      <c r="A207" s="39" t="str">
        <f>IF(AND($L207*1&gt;=$G$3,$L207*1&lt;=$G$4,$I207*$J207&gt;0,OR($I207&lt;&gt;$I208,$L207-$L208&gt;25),$I207/POW(10,$J207)*MAXIFS(Token!$B:$B,Token!$A:$A,$K207)&gt;0.01),$L207/86400+DATE(1970,1,1)+$G$6,)</f>
        <v/>
      </c>
      <c r="B207" s="27" t="str">
        <f t="shared" si="1"/>
        <v/>
      </c>
      <c r="C207" s="14" t="str">
        <f>IF($A207&lt;&gt;"",MINIFS(Merchant!$A:$A,Merchant!$B:$B,$G$2),)</f>
        <v/>
      </c>
      <c r="D207" s="14" t="str">
        <f t="shared" si="2"/>
        <v/>
      </c>
      <c r="E207" s="14" t="str">
        <f t="shared" si="3"/>
        <v/>
      </c>
      <c r="F207" s="7" t="str">
        <f>IF($A207&lt;&gt;"",MAXIFS(Token!$B:$B,Token!$A:$A,$D207),)</f>
        <v/>
      </c>
    </row>
    <row r="208">
      <c r="A208" s="39" t="str">
        <f>IF(AND($L208*1&gt;=$G$3,$L208*1&lt;=$G$4,$I208*$J208&gt;0,OR($I208&lt;&gt;$I209,$L208-$L209&gt;25),$I208/POW(10,$J208)*MAXIFS(Token!$B:$B,Token!$A:$A,$K208)&gt;0.01),$L208/86400+DATE(1970,1,1)+$G$6,)</f>
        <v/>
      </c>
      <c r="B208" s="27" t="str">
        <f t="shared" si="1"/>
        <v/>
      </c>
      <c r="C208" s="14" t="str">
        <f>IF($A208&lt;&gt;"",MINIFS(Merchant!$A:$A,Merchant!$B:$B,$G$2),)</f>
        <v/>
      </c>
      <c r="D208" s="14" t="str">
        <f t="shared" si="2"/>
        <v/>
      </c>
      <c r="E208" s="14" t="str">
        <f t="shared" si="3"/>
        <v/>
      </c>
      <c r="F208" s="7" t="str">
        <f>IF($A208&lt;&gt;"",MAXIFS(Token!$B:$B,Token!$A:$A,$D208),)</f>
        <v/>
      </c>
    </row>
    <row r="209">
      <c r="A209" s="39" t="str">
        <f>IF(AND($L209*1&gt;=$G$3,$L209*1&lt;=$G$4,$I209*$J209&gt;0,OR($I209&lt;&gt;$I210,$L209-$L210&gt;25),$I209/POW(10,$J209)*MAXIFS(Token!$B:$B,Token!$A:$A,$K209)&gt;0.01),$L209/86400+DATE(1970,1,1)+$G$6,)</f>
        <v/>
      </c>
      <c r="B209" s="27" t="str">
        <f t="shared" si="1"/>
        <v/>
      </c>
      <c r="C209" s="14" t="str">
        <f>IF($A209&lt;&gt;"",MINIFS(Merchant!$A:$A,Merchant!$B:$B,$G$2),)</f>
        <v/>
      </c>
      <c r="D209" s="14" t="str">
        <f t="shared" si="2"/>
        <v/>
      </c>
      <c r="E209" s="14" t="str">
        <f t="shared" si="3"/>
        <v/>
      </c>
      <c r="F209" s="7" t="str">
        <f>IF($A209&lt;&gt;"",MAXIFS(Token!$B:$B,Token!$A:$A,$D209),)</f>
        <v/>
      </c>
    </row>
    <row r="210">
      <c r="A210" s="39" t="str">
        <f>IF(AND($L210*1&gt;=$G$3,$L210*1&lt;=$G$4,$I210*$J210&gt;0,OR($I210&lt;&gt;$I211,$L210-$L211&gt;25),$I210/POW(10,$J210)*MAXIFS(Token!$B:$B,Token!$A:$A,$K210)&gt;0.01),$L210/86400+DATE(1970,1,1)+$G$6,)</f>
        <v/>
      </c>
      <c r="B210" s="27" t="str">
        <f t="shared" si="1"/>
        <v/>
      </c>
      <c r="C210" s="14" t="str">
        <f>IF($A210&lt;&gt;"",MINIFS(Merchant!$A:$A,Merchant!$B:$B,$G$2),)</f>
        <v/>
      </c>
      <c r="D210" s="14" t="str">
        <f t="shared" si="2"/>
        <v/>
      </c>
      <c r="E210" s="14" t="str">
        <f t="shared" si="3"/>
        <v/>
      </c>
      <c r="F210" s="7" t="str">
        <f>IF($A210&lt;&gt;"",MAXIFS(Token!$B:$B,Token!$A:$A,$D210),)</f>
        <v/>
      </c>
    </row>
    <row r="211">
      <c r="A211" s="39" t="str">
        <f>IF(AND($L211*1&gt;=$G$3,$L211*1&lt;=$G$4,$I211*$J211&gt;0,OR($I211&lt;&gt;$I212,$L211-$L212&gt;25),$I211/POW(10,$J211)*MAXIFS(Token!$B:$B,Token!$A:$A,$K211)&gt;0.01),$L211/86400+DATE(1970,1,1)+$G$6,)</f>
        <v/>
      </c>
      <c r="B211" s="27" t="str">
        <f t="shared" si="1"/>
        <v/>
      </c>
      <c r="C211" s="14" t="str">
        <f>IF($A211&lt;&gt;"",MINIFS(Merchant!$A:$A,Merchant!$B:$B,$G$2),)</f>
        <v/>
      </c>
      <c r="D211" s="14" t="str">
        <f t="shared" si="2"/>
        <v/>
      </c>
      <c r="E211" s="14" t="str">
        <f t="shared" si="3"/>
        <v/>
      </c>
      <c r="F211" s="7" t="str">
        <f>IF($A211&lt;&gt;"",MAXIFS(Token!$B:$B,Token!$A:$A,$D211),)</f>
        <v/>
      </c>
    </row>
    <row r="212">
      <c r="A212" s="39" t="str">
        <f>IF(AND($L212*1&gt;=$G$3,$L212*1&lt;=$G$4,$I212*$J212&gt;0,OR($I212&lt;&gt;$I213,$L212-$L213&gt;25),$I212/POW(10,$J212)*MAXIFS(Token!$B:$B,Token!$A:$A,$K212)&gt;0.01),$L212/86400+DATE(1970,1,1)+$G$6,)</f>
        <v/>
      </c>
      <c r="B212" s="27" t="str">
        <f t="shared" si="1"/>
        <v/>
      </c>
      <c r="C212" s="14" t="str">
        <f>IF($A212&lt;&gt;"",MINIFS(Merchant!$A:$A,Merchant!$B:$B,$G$2),)</f>
        <v/>
      </c>
      <c r="D212" s="14" t="str">
        <f t="shared" si="2"/>
        <v/>
      </c>
      <c r="E212" s="14" t="str">
        <f t="shared" si="3"/>
        <v/>
      </c>
      <c r="F212" s="7" t="str">
        <f>IF($A212&lt;&gt;"",MAXIFS(Token!$B:$B,Token!$A:$A,$D212),)</f>
        <v/>
      </c>
    </row>
    <row r="213">
      <c r="A213" s="39" t="str">
        <f>IF(AND($L213*1&gt;=$G$3,$L213*1&lt;=$G$4,$I213*$J213&gt;0,OR($I213&lt;&gt;$I214,$L213-$L214&gt;25),$I213/POW(10,$J213)*MAXIFS(Token!$B:$B,Token!$A:$A,$K213)&gt;0.01),$L213/86400+DATE(1970,1,1)+$G$6,)</f>
        <v/>
      </c>
      <c r="B213" s="27" t="str">
        <f t="shared" si="1"/>
        <v/>
      </c>
      <c r="C213" s="14" t="str">
        <f>IF($A213&lt;&gt;"",MINIFS(Merchant!$A:$A,Merchant!$B:$B,$G$2),)</f>
        <v/>
      </c>
      <c r="D213" s="14" t="str">
        <f t="shared" si="2"/>
        <v/>
      </c>
      <c r="E213" s="14" t="str">
        <f t="shared" si="3"/>
        <v/>
      </c>
      <c r="F213" s="7" t="str">
        <f>IF($A213&lt;&gt;"",MAXIFS(Token!$B:$B,Token!$A:$A,$D213),)</f>
        <v/>
      </c>
    </row>
    <row r="214">
      <c r="A214" s="39" t="str">
        <f>IF(AND($L214*1&gt;=$G$3,$L214*1&lt;=$G$4,$I214*$J214&gt;0,OR($I214&lt;&gt;$I215,$L214-$L215&gt;25),$I214/POW(10,$J214)*MAXIFS(Token!$B:$B,Token!$A:$A,$K214)&gt;0.01),$L214/86400+DATE(1970,1,1)+$G$6,)</f>
        <v/>
      </c>
      <c r="B214" s="27" t="str">
        <f t="shared" si="1"/>
        <v/>
      </c>
      <c r="C214" s="14" t="str">
        <f>IF($A214&lt;&gt;"",MINIFS(Merchant!$A:$A,Merchant!$B:$B,$G$2),)</f>
        <v/>
      </c>
      <c r="D214" s="14" t="str">
        <f t="shared" si="2"/>
        <v/>
      </c>
      <c r="E214" s="14" t="str">
        <f t="shared" si="3"/>
        <v/>
      </c>
      <c r="F214" s="7" t="str">
        <f>IF($A214&lt;&gt;"",MAXIFS(Token!$B:$B,Token!$A:$A,$D214),)</f>
        <v/>
      </c>
    </row>
    <row r="215">
      <c r="A215" s="39" t="str">
        <f>IF(AND($L215*1&gt;=$G$3,$L215*1&lt;=$G$4,$I215*$J215&gt;0,OR($I215&lt;&gt;$I216,$L215-$L216&gt;25),$I215/POW(10,$J215)*MAXIFS(Token!$B:$B,Token!$A:$A,$K215)&gt;0.01),$L215/86400+DATE(1970,1,1)+$G$6,)</f>
        <v/>
      </c>
      <c r="B215" s="27" t="str">
        <f t="shared" si="1"/>
        <v/>
      </c>
      <c r="C215" s="14" t="str">
        <f>IF($A215&lt;&gt;"",MINIFS(Merchant!$A:$A,Merchant!$B:$B,$G$2),)</f>
        <v/>
      </c>
      <c r="D215" s="14" t="str">
        <f t="shared" si="2"/>
        <v/>
      </c>
      <c r="E215" s="14" t="str">
        <f t="shared" si="3"/>
        <v/>
      </c>
      <c r="F215" s="7" t="str">
        <f>IF($A215&lt;&gt;"",MAXIFS(Token!$B:$B,Token!$A:$A,$D215),)</f>
        <v/>
      </c>
    </row>
    <row r="216">
      <c r="A216" s="39" t="str">
        <f>IF(AND($L216*1&gt;=$G$3,$L216*1&lt;=$G$4,$I216*$J216&gt;0,OR($I216&lt;&gt;$I217,$L216-$L217&gt;25),$I216/POW(10,$J216)*MAXIFS(Token!$B:$B,Token!$A:$A,$K216)&gt;0.01),$L216/86400+DATE(1970,1,1)+$G$6,)</f>
        <v/>
      </c>
      <c r="B216" s="27" t="str">
        <f t="shared" si="1"/>
        <v/>
      </c>
      <c r="C216" s="14" t="str">
        <f>IF($A216&lt;&gt;"",MINIFS(Merchant!$A:$A,Merchant!$B:$B,$G$2),)</f>
        <v/>
      </c>
      <c r="D216" s="14" t="str">
        <f t="shared" si="2"/>
        <v/>
      </c>
      <c r="E216" s="14" t="str">
        <f t="shared" si="3"/>
        <v/>
      </c>
      <c r="F216" s="7" t="str">
        <f>IF($A216&lt;&gt;"",MAXIFS(Token!$B:$B,Token!$A:$A,$D216),)</f>
        <v/>
      </c>
    </row>
    <row r="217">
      <c r="A217" s="39" t="str">
        <f>IF(AND($L217*1&gt;=$G$3,$L217*1&lt;=$G$4,$I217*$J217&gt;0,OR($I217&lt;&gt;$I218,$L217-$L218&gt;25),$I217/POW(10,$J217)*MAXIFS(Token!$B:$B,Token!$A:$A,$K217)&gt;0.01),$L217/86400+DATE(1970,1,1)+$G$6,)</f>
        <v/>
      </c>
      <c r="B217" s="27" t="str">
        <f t="shared" si="1"/>
        <v/>
      </c>
      <c r="C217" s="14" t="str">
        <f>IF($A217&lt;&gt;"",MINIFS(Merchant!$A:$A,Merchant!$B:$B,$G$2),)</f>
        <v/>
      </c>
      <c r="D217" s="14" t="str">
        <f t="shared" si="2"/>
        <v/>
      </c>
      <c r="E217" s="14" t="str">
        <f t="shared" si="3"/>
        <v/>
      </c>
      <c r="F217" s="7" t="str">
        <f>IF($A217&lt;&gt;"",MAXIFS(Token!$B:$B,Token!$A:$A,$D217),)</f>
        <v/>
      </c>
    </row>
    <row r="218">
      <c r="A218" s="39" t="str">
        <f>IF(AND($L218*1&gt;=$G$3,$L218*1&lt;=$G$4,$I218*$J218&gt;0,OR($I218&lt;&gt;$I219,$L218-$L219&gt;25),$I218/POW(10,$J218)*MAXIFS(Token!$B:$B,Token!$A:$A,$K218)&gt;0.01),$L218/86400+DATE(1970,1,1)+$G$6,)</f>
        <v/>
      </c>
      <c r="B218" s="27" t="str">
        <f t="shared" si="1"/>
        <v/>
      </c>
      <c r="C218" s="14" t="str">
        <f>IF($A218&lt;&gt;"",MINIFS(Merchant!$A:$A,Merchant!$B:$B,$G$2),)</f>
        <v/>
      </c>
      <c r="D218" s="14" t="str">
        <f t="shared" si="2"/>
        <v/>
      </c>
      <c r="E218" s="14" t="str">
        <f t="shared" si="3"/>
        <v/>
      </c>
      <c r="F218" s="7" t="str">
        <f>IF($A218&lt;&gt;"",MAXIFS(Token!$B:$B,Token!$A:$A,$D218),)</f>
        <v/>
      </c>
    </row>
    <row r="219">
      <c r="A219" s="39" t="str">
        <f>IF(AND($L219*1&gt;=$G$3,$L219*1&lt;=$G$4,$I219*$J219&gt;0,OR($I219&lt;&gt;$I220,$L219-$L220&gt;25),$I219/POW(10,$J219)*MAXIFS(Token!$B:$B,Token!$A:$A,$K219)&gt;0.01),$L219/86400+DATE(1970,1,1)+$G$6,)</f>
        <v/>
      </c>
      <c r="B219" s="27" t="str">
        <f t="shared" si="1"/>
        <v/>
      </c>
      <c r="C219" s="14" t="str">
        <f>IF($A219&lt;&gt;"",MINIFS(Merchant!$A:$A,Merchant!$B:$B,$G$2),)</f>
        <v/>
      </c>
      <c r="D219" s="14" t="str">
        <f t="shared" si="2"/>
        <v/>
      </c>
      <c r="E219" s="14" t="str">
        <f t="shared" si="3"/>
        <v/>
      </c>
      <c r="F219" s="7" t="str">
        <f>IF($A219&lt;&gt;"",MAXIFS(Token!$B:$B,Token!$A:$A,$D219),)</f>
        <v/>
      </c>
    </row>
    <row r="220">
      <c r="A220" s="39" t="str">
        <f>IF(AND($L220*1&gt;=$G$3,$L220*1&lt;=$G$4,$I220*$J220&gt;0,OR($I220&lt;&gt;$I221,$L220-$L221&gt;25),$I220/POW(10,$J220)*MAXIFS(Token!$B:$B,Token!$A:$A,$K220)&gt;0.01),$L220/86400+DATE(1970,1,1)+$G$6,)</f>
        <v/>
      </c>
      <c r="B220" s="27" t="str">
        <f t="shared" si="1"/>
        <v/>
      </c>
      <c r="C220" s="14" t="str">
        <f>IF($A220&lt;&gt;"",MINIFS(Merchant!$A:$A,Merchant!$B:$B,$G$2),)</f>
        <v/>
      </c>
      <c r="D220" s="14" t="str">
        <f t="shared" si="2"/>
        <v/>
      </c>
      <c r="E220" s="14" t="str">
        <f t="shared" si="3"/>
        <v/>
      </c>
      <c r="F220" s="7" t="str">
        <f>IF($A220&lt;&gt;"",MAXIFS(Token!$B:$B,Token!$A:$A,$D220),)</f>
        <v/>
      </c>
    </row>
    <row r="221">
      <c r="A221" s="39" t="str">
        <f>IF(AND($L221*1&gt;=$G$3,$L221*1&lt;=$G$4,$I221*$J221&gt;0,OR($I221&lt;&gt;$I222,$L221-$L222&gt;25),$I221/POW(10,$J221)*MAXIFS(Token!$B:$B,Token!$A:$A,$K221)&gt;0.01),$L221/86400+DATE(1970,1,1)+$G$6,)</f>
        <v/>
      </c>
      <c r="B221" s="27" t="str">
        <f t="shared" si="1"/>
        <v/>
      </c>
      <c r="C221" s="14" t="str">
        <f>IF($A221&lt;&gt;"",MINIFS(Merchant!$A:$A,Merchant!$B:$B,$G$2),)</f>
        <v/>
      </c>
      <c r="D221" s="14" t="str">
        <f t="shared" si="2"/>
        <v/>
      </c>
      <c r="E221" s="14" t="str">
        <f t="shared" si="3"/>
        <v/>
      </c>
      <c r="F221" s="7" t="str">
        <f>IF($A221&lt;&gt;"",MAXIFS(Token!$B:$B,Token!$A:$A,$D221),)</f>
        <v/>
      </c>
    </row>
    <row r="222">
      <c r="A222" s="39" t="str">
        <f>IF(AND($L222*1&gt;=$G$3,$L222*1&lt;=$G$4,$I222*$J222&gt;0,OR($I222&lt;&gt;$I223,$L222-$L223&gt;25),$I222/POW(10,$J222)*MAXIFS(Token!$B:$B,Token!$A:$A,$K222)&gt;0.01),$L222/86400+DATE(1970,1,1)+$G$6,)</f>
        <v/>
      </c>
      <c r="B222" s="27" t="str">
        <f t="shared" si="1"/>
        <v/>
      </c>
      <c r="C222" s="14" t="str">
        <f>IF($A222&lt;&gt;"",MINIFS(Merchant!$A:$A,Merchant!$B:$B,$G$2),)</f>
        <v/>
      </c>
      <c r="D222" s="14" t="str">
        <f t="shared" si="2"/>
        <v/>
      </c>
      <c r="E222" s="14" t="str">
        <f t="shared" si="3"/>
        <v/>
      </c>
      <c r="F222" s="7" t="str">
        <f>IF($A222&lt;&gt;"",MAXIFS(Token!$B:$B,Token!$A:$A,$D222),)</f>
        <v/>
      </c>
    </row>
    <row r="223">
      <c r="A223" s="39" t="str">
        <f>IF(AND($L223*1&gt;=$G$3,$L223*1&lt;=$G$4,$I223*$J223&gt;0,OR($I223&lt;&gt;$I224,$L223-$L224&gt;25),$I223/POW(10,$J223)*MAXIFS(Token!$B:$B,Token!$A:$A,$K223)&gt;0.01),$L223/86400+DATE(1970,1,1)+$G$6,)</f>
        <v/>
      </c>
      <c r="B223" s="27" t="str">
        <f t="shared" si="1"/>
        <v/>
      </c>
      <c r="C223" s="14" t="str">
        <f>IF($A223&lt;&gt;"",MINIFS(Merchant!$A:$A,Merchant!$B:$B,$G$2),)</f>
        <v/>
      </c>
      <c r="D223" s="14" t="str">
        <f t="shared" si="2"/>
        <v/>
      </c>
      <c r="E223" s="14" t="str">
        <f t="shared" si="3"/>
        <v/>
      </c>
      <c r="F223" s="7" t="str">
        <f>IF($A223&lt;&gt;"",MAXIFS(Token!$B:$B,Token!$A:$A,$D223),)</f>
        <v/>
      </c>
    </row>
    <row r="224">
      <c r="A224" s="39" t="str">
        <f>IF(AND($L224*1&gt;=$G$3,$L224*1&lt;=$G$4,$I224*$J224&gt;0,OR($I224&lt;&gt;$I225,$L224-$L225&gt;25),$I224/POW(10,$J224)*MAXIFS(Token!$B:$B,Token!$A:$A,$K224)&gt;0.01),$L224/86400+DATE(1970,1,1)+$G$6,)</f>
        <v/>
      </c>
      <c r="B224" s="27" t="str">
        <f t="shared" si="1"/>
        <v/>
      </c>
      <c r="C224" s="14" t="str">
        <f>IF($A224&lt;&gt;"",MINIFS(Merchant!$A:$A,Merchant!$B:$B,$G$2),)</f>
        <v/>
      </c>
      <c r="D224" s="14" t="str">
        <f t="shared" si="2"/>
        <v/>
      </c>
      <c r="E224" s="14" t="str">
        <f t="shared" si="3"/>
        <v/>
      </c>
      <c r="F224" s="7" t="str">
        <f>IF($A224&lt;&gt;"",MAXIFS(Token!$B:$B,Token!$A:$A,$D224),)</f>
        <v/>
      </c>
    </row>
    <row r="225">
      <c r="A225" s="39" t="str">
        <f>IF(AND($L225*1&gt;=$G$3,$L225*1&lt;=$G$4,$I225*$J225&gt;0,OR($I225&lt;&gt;$I226,$L225-$L226&gt;25),$I225/POW(10,$J225)*MAXIFS(Token!$B:$B,Token!$A:$A,$K225)&gt;0.01),$L225/86400+DATE(1970,1,1)+$G$6,)</f>
        <v/>
      </c>
      <c r="B225" s="27" t="str">
        <f t="shared" si="1"/>
        <v/>
      </c>
      <c r="C225" s="14" t="str">
        <f>IF($A225&lt;&gt;"",MINIFS(Merchant!$A:$A,Merchant!$B:$B,$G$2),)</f>
        <v/>
      </c>
      <c r="D225" s="14" t="str">
        <f t="shared" si="2"/>
        <v/>
      </c>
      <c r="E225" s="14" t="str">
        <f t="shared" si="3"/>
        <v/>
      </c>
      <c r="F225" s="7" t="str">
        <f>IF($A225&lt;&gt;"",MAXIFS(Token!$B:$B,Token!$A:$A,$D225),)</f>
        <v/>
      </c>
    </row>
    <row r="226">
      <c r="A226" s="39" t="str">
        <f>IF(AND($L226*1&gt;=$G$3,$L226*1&lt;=$G$4,$I226*$J226&gt;0,OR($I226&lt;&gt;$I227,$L226-$L227&gt;25),$I226/POW(10,$J226)*MAXIFS(Token!$B:$B,Token!$A:$A,$K226)&gt;0.01),$L226/86400+DATE(1970,1,1)+$G$6,)</f>
        <v/>
      </c>
      <c r="B226" s="27" t="str">
        <f t="shared" si="1"/>
        <v/>
      </c>
      <c r="C226" s="14" t="str">
        <f>IF($A226&lt;&gt;"",MINIFS(Merchant!$A:$A,Merchant!$B:$B,$G$2),)</f>
        <v/>
      </c>
      <c r="D226" s="14" t="str">
        <f t="shared" si="2"/>
        <v/>
      </c>
      <c r="E226" s="14" t="str">
        <f t="shared" si="3"/>
        <v/>
      </c>
      <c r="F226" s="7" t="str">
        <f>IF($A226&lt;&gt;"",MAXIFS(Token!$B:$B,Token!$A:$A,$D226),)</f>
        <v/>
      </c>
    </row>
    <row r="227">
      <c r="A227" s="39" t="str">
        <f>IF(AND($L227*1&gt;=$G$3,$L227*1&lt;=$G$4,$I227*$J227&gt;0,OR($I227&lt;&gt;$I228,$L227-$L228&gt;25),$I227/POW(10,$J227)*MAXIFS(Token!$B:$B,Token!$A:$A,$K227)&gt;0.01),$L227/86400+DATE(1970,1,1)+$G$6,)</f>
        <v/>
      </c>
      <c r="B227" s="27" t="str">
        <f t="shared" si="1"/>
        <v/>
      </c>
      <c r="C227" s="14" t="str">
        <f>IF($A227&lt;&gt;"",MINIFS(Merchant!$A:$A,Merchant!$B:$B,$G$2),)</f>
        <v/>
      </c>
      <c r="D227" s="14" t="str">
        <f t="shared" si="2"/>
        <v/>
      </c>
      <c r="E227" s="14" t="str">
        <f t="shared" si="3"/>
        <v/>
      </c>
      <c r="F227" s="7" t="str">
        <f>IF($A227&lt;&gt;"",MAXIFS(Token!$B:$B,Token!$A:$A,$D227),)</f>
        <v/>
      </c>
    </row>
    <row r="228">
      <c r="A228" s="39" t="str">
        <f>IF(AND($L228*1&gt;=$G$3,$L228*1&lt;=$G$4,$I228*$J228&gt;0,OR($I228&lt;&gt;$I229,$L228-$L229&gt;25),$I228/POW(10,$J228)*MAXIFS(Token!$B:$B,Token!$A:$A,$K228)&gt;0.01),$L228/86400+DATE(1970,1,1)+$G$6,)</f>
        <v/>
      </c>
      <c r="B228" s="27" t="str">
        <f t="shared" si="1"/>
        <v/>
      </c>
      <c r="C228" s="14" t="str">
        <f>IF($A228&lt;&gt;"",MINIFS(Merchant!$A:$A,Merchant!$B:$B,$G$2),)</f>
        <v/>
      </c>
      <c r="D228" s="14" t="str">
        <f t="shared" si="2"/>
        <v/>
      </c>
      <c r="E228" s="14" t="str">
        <f t="shared" si="3"/>
        <v/>
      </c>
      <c r="F228" s="7" t="str">
        <f>IF($A228&lt;&gt;"",MAXIFS(Token!$B:$B,Token!$A:$A,$D228),)</f>
        <v/>
      </c>
    </row>
    <row r="229">
      <c r="A229" s="39" t="str">
        <f>IF(AND($L229*1&gt;=$G$3,$L229*1&lt;=$G$4,$I229*$J229&gt;0,OR($I229&lt;&gt;$I230,$L229-$L230&gt;25),$I229/POW(10,$J229)*MAXIFS(Token!$B:$B,Token!$A:$A,$K229)&gt;0.01),$L229/86400+DATE(1970,1,1)+$G$6,)</f>
        <v/>
      </c>
      <c r="B229" s="27" t="str">
        <f t="shared" si="1"/>
        <v/>
      </c>
      <c r="C229" s="14" t="str">
        <f>IF($A229&lt;&gt;"",MINIFS(Merchant!$A:$A,Merchant!$B:$B,$G$2),)</f>
        <v/>
      </c>
      <c r="D229" s="14" t="str">
        <f t="shared" si="2"/>
        <v/>
      </c>
      <c r="E229" s="14" t="str">
        <f t="shared" si="3"/>
        <v/>
      </c>
      <c r="F229" s="7" t="str">
        <f>IF($A229&lt;&gt;"",MAXIFS(Token!$B:$B,Token!$A:$A,$D229),)</f>
        <v/>
      </c>
    </row>
    <row r="230">
      <c r="A230" s="39" t="str">
        <f>IF(AND($L230*1&gt;=$G$3,$L230*1&lt;=$G$4,$I230*$J230&gt;0,OR($I230&lt;&gt;$I231,$L230-$L231&gt;25),$I230/POW(10,$J230)*MAXIFS(Token!$B:$B,Token!$A:$A,$K230)&gt;0.01),$L230/86400+DATE(1970,1,1)+$G$6,)</f>
        <v/>
      </c>
      <c r="B230" s="27" t="str">
        <f t="shared" si="1"/>
        <v/>
      </c>
      <c r="C230" s="14" t="str">
        <f>IF($A230&lt;&gt;"",MINIFS(Merchant!$A:$A,Merchant!$B:$B,$G$2),)</f>
        <v/>
      </c>
      <c r="D230" s="14" t="str">
        <f t="shared" si="2"/>
        <v/>
      </c>
      <c r="E230" s="14" t="str">
        <f t="shared" si="3"/>
        <v/>
      </c>
      <c r="F230" s="7" t="str">
        <f>IF($A230&lt;&gt;"",MAXIFS(Token!$B:$B,Token!$A:$A,$D230),)</f>
        <v/>
      </c>
    </row>
    <row r="231">
      <c r="A231" s="39" t="str">
        <f>IF(AND($L231*1&gt;=$G$3,$L231*1&lt;=$G$4,$I231*$J231&gt;0,OR($I231&lt;&gt;$I232,$L231-$L232&gt;25),$I231/POW(10,$J231)*MAXIFS(Token!$B:$B,Token!$A:$A,$K231)&gt;0.01),$L231/86400+DATE(1970,1,1)+$G$6,)</f>
        <v/>
      </c>
      <c r="B231" s="27" t="str">
        <f t="shared" si="1"/>
        <v/>
      </c>
      <c r="C231" s="14" t="str">
        <f>IF($A231&lt;&gt;"",MINIFS(Merchant!$A:$A,Merchant!$B:$B,$G$2),)</f>
        <v/>
      </c>
      <c r="D231" s="14" t="str">
        <f t="shared" si="2"/>
        <v/>
      </c>
      <c r="E231" s="14" t="str">
        <f t="shared" si="3"/>
        <v/>
      </c>
      <c r="F231" s="7" t="str">
        <f>IF($A231&lt;&gt;"",MAXIFS(Token!$B:$B,Token!$A:$A,$D231),)</f>
        <v/>
      </c>
    </row>
    <row r="232">
      <c r="A232" s="39" t="str">
        <f>IF(AND($L232*1&gt;=$G$3,$L232*1&lt;=$G$4,$I232*$J232&gt;0,OR($I232&lt;&gt;$I233,$L232-$L233&gt;25),$I232/POW(10,$J232)*MAXIFS(Token!$B:$B,Token!$A:$A,$K232)&gt;0.01),$L232/86400+DATE(1970,1,1)+$G$6,)</f>
        <v/>
      </c>
      <c r="B232" s="27" t="str">
        <f t="shared" si="1"/>
        <v/>
      </c>
      <c r="C232" s="14" t="str">
        <f>IF($A232&lt;&gt;"",MINIFS(Merchant!$A:$A,Merchant!$B:$B,$G$2),)</f>
        <v/>
      </c>
      <c r="D232" s="14" t="str">
        <f t="shared" si="2"/>
        <v/>
      </c>
      <c r="E232" s="14" t="str">
        <f t="shared" si="3"/>
        <v/>
      </c>
      <c r="F232" s="7" t="str">
        <f>IF($A232&lt;&gt;"",MAXIFS(Token!$B:$B,Token!$A:$A,$D232),)</f>
        <v/>
      </c>
    </row>
    <row r="233">
      <c r="A233" s="39" t="str">
        <f>IF(AND($L233*1&gt;=$G$3,$L233*1&lt;=$G$4,$I233*$J233&gt;0,OR($I233&lt;&gt;$I234,$L233-$L234&gt;25),$I233/POW(10,$J233)*MAXIFS(Token!$B:$B,Token!$A:$A,$K233)&gt;0.01),$L233/86400+DATE(1970,1,1)+$G$6,)</f>
        <v/>
      </c>
      <c r="B233" s="27" t="str">
        <f t="shared" si="1"/>
        <v/>
      </c>
      <c r="C233" s="14" t="str">
        <f>IF($A233&lt;&gt;"",MINIFS(Merchant!$A:$A,Merchant!$B:$B,$G$2),)</f>
        <v/>
      </c>
      <c r="D233" s="14" t="str">
        <f t="shared" si="2"/>
        <v/>
      </c>
      <c r="E233" s="14" t="str">
        <f t="shared" si="3"/>
        <v/>
      </c>
      <c r="F233" s="7" t="str">
        <f>IF($A233&lt;&gt;"",MAXIFS(Token!$B:$B,Token!$A:$A,$D233),)</f>
        <v/>
      </c>
    </row>
    <row r="234">
      <c r="A234" s="39" t="str">
        <f>IF(AND($L234*1&gt;=$G$3,$L234*1&lt;=$G$4,$I234*$J234&gt;0,OR($I234&lt;&gt;$I235,$L234-$L235&gt;25),$I234/POW(10,$J234)*MAXIFS(Token!$B:$B,Token!$A:$A,$K234)&gt;0.01),$L234/86400+DATE(1970,1,1)+$G$6,)</f>
        <v/>
      </c>
      <c r="B234" s="27" t="str">
        <f t="shared" si="1"/>
        <v/>
      </c>
      <c r="C234" s="14" t="str">
        <f>IF($A234&lt;&gt;"",MINIFS(Merchant!$A:$A,Merchant!$B:$B,$G$2),)</f>
        <v/>
      </c>
      <c r="D234" s="14" t="str">
        <f t="shared" si="2"/>
        <v/>
      </c>
      <c r="E234" s="14" t="str">
        <f t="shared" si="3"/>
        <v/>
      </c>
      <c r="F234" s="7" t="str">
        <f>IF($A234&lt;&gt;"",MAXIFS(Token!$B:$B,Token!$A:$A,$D234),)</f>
        <v/>
      </c>
    </row>
    <row r="235">
      <c r="A235" s="39" t="str">
        <f>IF(AND($L235*1&gt;=$G$3,$L235*1&lt;=$G$4,$I235*$J235&gt;0,OR($I235&lt;&gt;$I236,$L235-$L236&gt;25),$I235/POW(10,$J235)*MAXIFS(Token!$B:$B,Token!$A:$A,$K235)&gt;0.01),$L235/86400+DATE(1970,1,1)+$G$6,)</f>
        <v/>
      </c>
      <c r="B235" s="27" t="str">
        <f t="shared" si="1"/>
        <v/>
      </c>
      <c r="C235" s="14" t="str">
        <f>IF($A235&lt;&gt;"",MINIFS(Merchant!$A:$A,Merchant!$B:$B,$G$2),)</f>
        <v/>
      </c>
      <c r="D235" s="14" t="str">
        <f t="shared" si="2"/>
        <v/>
      </c>
      <c r="E235" s="14" t="str">
        <f t="shared" si="3"/>
        <v/>
      </c>
      <c r="F235" s="7" t="str">
        <f>IF($A235&lt;&gt;"",MAXIFS(Token!$B:$B,Token!$A:$A,$D235),)</f>
        <v/>
      </c>
    </row>
    <row r="236">
      <c r="A236" s="39" t="str">
        <f>IF(AND($L236*1&gt;=$G$3,$L236*1&lt;=$G$4,$I236*$J236&gt;0,OR($I236&lt;&gt;$I237,$L236-$L237&gt;25),$I236/POW(10,$J236)*MAXIFS(Token!$B:$B,Token!$A:$A,$K236)&gt;0.01),$L236/86400+DATE(1970,1,1)+$G$6,)</f>
        <v/>
      </c>
      <c r="B236" s="27" t="str">
        <f t="shared" si="1"/>
        <v/>
      </c>
      <c r="C236" s="14" t="str">
        <f>IF($A236&lt;&gt;"",MINIFS(Merchant!$A:$A,Merchant!$B:$B,$G$2),)</f>
        <v/>
      </c>
      <c r="D236" s="14" t="str">
        <f t="shared" si="2"/>
        <v/>
      </c>
      <c r="E236" s="14" t="str">
        <f t="shared" si="3"/>
        <v/>
      </c>
      <c r="F236" s="7" t="str">
        <f>IF($A236&lt;&gt;"",MAXIFS(Token!$B:$B,Token!$A:$A,$D236),)</f>
        <v/>
      </c>
    </row>
    <row r="237">
      <c r="A237" s="39" t="str">
        <f>IF(AND($L237*1&gt;=$G$3,$L237*1&lt;=$G$4,$I237*$J237&gt;0,OR($I237&lt;&gt;$I238,$L237-$L238&gt;25),$I237/POW(10,$J237)*MAXIFS(Token!$B:$B,Token!$A:$A,$K237)&gt;0.01),$L237/86400+DATE(1970,1,1)+$G$6,)</f>
        <v/>
      </c>
      <c r="B237" s="27" t="str">
        <f t="shared" si="1"/>
        <v/>
      </c>
      <c r="C237" s="14" t="str">
        <f>IF($A237&lt;&gt;"",MINIFS(Merchant!$A:$A,Merchant!$B:$B,$G$2),)</f>
        <v/>
      </c>
      <c r="D237" s="14" t="str">
        <f t="shared" si="2"/>
        <v/>
      </c>
      <c r="E237" s="14" t="str">
        <f t="shared" si="3"/>
        <v/>
      </c>
      <c r="F237" s="7" t="str">
        <f>IF($A237&lt;&gt;"",MAXIFS(Token!$B:$B,Token!$A:$A,$D237),)</f>
        <v/>
      </c>
    </row>
    <row r="238">
      <c r="A238" s="39" t="str">
        <f>IF(AND($L238*1&gt;=$G$3,$L238*1&lt;=$G$4,$I238*$J238&gt;0,OR($I238&lt;&gt;$I239,$L238-$L239&gt;25),$I238/POW(10,$J238)*MAXIFS(Token!$B:$B,Token!$A:$A,$K238)&gt;0.01),$L238/86400+DATE(1970,1,1)+$G$6,)</f>
        <v/>
      </c>
      <c r="B238" s="27" t="str">
        <f t="shared" si="1"/>
        <v/>
      </c>
      <c r="C238" s="14" t="str">
        <f>IF($A238&lt;&gt;"",MINIFS(Merchant!$A:$A,Merchant!$B:$B,$G$2),)</f>
        <v/>
      </c>
      <c r="D238" s="14" t="str">
        <f t="shared" si="2"/>
        <v/>
      </c>
      <c r="E238" s="14" t="str">
        <f t="shared" si="3"/>
        <v/>
      </c>
      <c r="F238" s="7" t="str">
        <f>IF($A238&lt;&gt;"",MAXIFS(Token!$B:$B,Token!$A:$A,$D238),)</f>
        <v/>
      </c>
    </row>
    <row r="239">
      <c r="A239" s="39" t="str">
        <f>IF(AND($L239*1&gt;=$G$3,$L239*1&lt;=$G$4,$I239*$J239&gt;0,OR($I239&lt;&gt;$I240,$L239-$L240&gt;25),$I239/POW(10,$J239)*MAXIFS(Token!$B:$B,Token!$A:$A,$K239)&gt;0.01),$L239/86400+DATE(1970,1,1)+$G$6,)</f>
        <v/>
      </c>
      <c r="B239" s="27" t="str">
        <f t="shared" si="1"/>
        <v/>
      </c>
      <c r="C239" s="14" t="str">
        <f>IF($A239&lt;&gt;"",MINIFS(Merchant!$A:$A,Merchant!$B:$B,$G$2),)</f>
        <v/>
      </c>
      <c r="D239" s="14" t="str">
        <f t="shared" si="2"/>
        <v/>
      </c>
      <c r="E239" s="14" t="str">
        <f t="shared" si="3"/>
        <v/>
      </c>
      <c r="F239" s="7" t="str">
        <f>IF($A239&lt;&gt;"",MAXIFS(Token!$B:$B,Token!$A:$A,$D239),)</f>
        <v/>
      </c>
    </row>
    <row r="240">
      <c r="A240" s="39" t="str">
        <f>IF(AND($L240*1&gt;=$G$3,$L240*1&lt;=$G$4,$I240*$J240&gt;0,OR($I240&lt;&gt;$I241,$L240-$L241&gt;25),$I240/POW(10,$J240)*MAXIFS(Token!$B:$B,Token!$A:$A,$K240)&gt;0.01),$L240/86400+DATE(1970,1,1)+$G$6,)</f>
        <v/>
      </c>
      <c r="B240" s="27" t="str">
        <f t="shared" si="1"/>
        <v/>
      </c>
      <c r="C240" s="14" t="str">
        <f>IF($A240&lt;&gt;"",MINIFS(Merchant!$A:$A,Merchant!$B:$B,$G$2),)</f>
        <v/>
      </c>
      <c r="D240" s="14" t="str">
        <f t="shared" si="2"/>
        <v/>
      </c>
      <c r="E240" s="14" t="str">
        <f t="shared" si="3"/>
        <v/>
      </c>
      <c r="F240" s="7" t="str">
        <f>IF($A240&lt;&gt;"",MAXIFS(Token!$B:$B,Token!$A:$A,$D240),)</f>
        <v/>
      </c>
    </row>
    <row r="241">
      <c r="A241" s="39" t="str">
        <f>IF(AND($L241*1&gt;=$G$3,$L241*1&lt;=$G$4,$I241*$J241&gt;0,OR($I241&lt;&gt;$I242,$L241-$L242&gt;25),$I241/POW(10,$J241)*MAXIFS(Token!$B:$B,Token!$A:$A,$K241)&gt;0.01),$L241/86400+DATE(1970,1,1)+$G$6,)</f>
        <v/>
      </c>
      <c r="B241" s="27" t="str">
        <f t="shared" si="1"/>
        <v/>
      </c>
      <c r="C241" s="14" t="str">
        <f>IF($A241&lt;&gt;"",MINIFS(Merchant!$A:$A,Merchant!$B:$B,$G$2),)</f>
        <v/>
      </c>
      <c r="D241" s="14" t="str">
        <f t="shared" si="2"/>
        <v/>
      </c>
      <c r="E241" s="14" t="str">
        <f t="shared" si="3"/>
        <v/>
      </c>
      <c r="F241" s="7" t="str">
        <f>IF($A241&lt;&gt;"",MAXIFS(Token!$B:$B,Token!$A:$A,$D241),)</f>
        <v/>
      </c>
    </row>
    <row r="242">
      <c r="A242" s="39" t="str">
        <f>IF(AND($L242*1&gt;=$G$3,$L242*1&lt;=$G$4,$I242*$J242&gt;0,OR($I242&lt;&gt;$I243,$L242-$L243&gt;25),$I242/POW(10,$J242)*MAXIFS(Token!$B:$B,Token!$A:$A,$K242)&gt;0.01),$L242/86400+DATE(1970,1,1)+$G$6,)</f>
        <v/>
      </c>
      <c r="B242" s="27" t="str">
        <f t="shared" si="1"/>
        <v/>
      </c>
      <c r="C242" s="14" t="str">
        <f>IF($A242&lt;&gt;"",MINIFS(Merchant!$A:$A,Merchant!$B:$B,$G$2),)</f>
        <v/>
      </c>
      <c r="D242" s="14" t="str">
        <f t="shared" si="2"/>
        <v/>
      </c>
      <c r="E242" s="14" t="str">
        <f t="shared" si="3"/>
        <v/>
      </c>
      <c r="F242" s="7" t="str">
        <f>IF($A242&lt;&gt;"",MAXIFS(Token!$B:$B,Token!$A:$A,$D242),)</f>
        <v/>
      </c>
    </row>
    <row r="243">
      <c r="A243" s="39" t="str">
        <f>IF(AND($L243*1&gt;=$G$3,$L243*1&lt;=$G$4,$I243*$J243&gt;0,OR($I243&lt;&gt;$I244,$L243-$L244&gt;25),$I243/POW(10,$J243)*MAXIFS(Token!$B:$B,Token!$A:$A,$K243)&gt;0.01),$L243/86400+DATE(1970,1,1)+$G$6,)</f>
        <v/>
      </c>
      <c r="B243" s="27" t="str">
        <f t="shared" si="1"/>
        <v/>
      </c>
      <c r="C243" s="14" t="str">
        <f>IF($A243&lt;&gt;"",MINIFS(Merchant!$A:$A,Merchant!$B:$B,$G$2),)</f>
        <v/>
      </c>
      <c r="D243" s="14" t="str">
        <f t="shared" si="2"/>
        <v/>
      </c>
      <c r="E243" s="14" t="str">
        <f t="shared" si="3"/>
        <v/>
      </c>
      <c r="F243" s="7" t="str">
        <f>IF($A243&lt;&gt;"",MAXIFS(Token!$B:$B,Token!$A:$A,$D243),)</f>
        <v/>
      </c>
    </row>
    <row r="244">
      <c r="A244" s="39" t="str">
        <f>IF(AND($L244*1&gt;=$G$3,$L244*1&lt;=$G$4,$I244*$J244&gt;0,OR($I244&lt;&gt;$I245,$L244-$L245&gt;25),$I244/POW(10,$J244)*MAXIFS(Token!$B:$B,Token!$A:$A,$K244)&gt;0.01),$L244/86400+DATE(1970,1,1)+$G$6,)</f>
        <v/>
      </c>
      <c r="B244" s="27" t="str">
        <f t="shared" si="1"/>
        <v/>
      </c>
      <c r="C244" s="14" t="str">
        <f>IF($A244&lt;&gt;"",MINIFS(Merchant!$A:$A,Merchant!$B:$B,$G$2),)</f>
        <v/>
      </c>
      <c r="D244" s="14" t="str">
        <f t="shared" si="2"/>
        <v/>
      </c>
      <c r="E244" s="14" t="str">
        <f t="shared" si="3"/>
        <v/>
      </c>
      <c r="F244" s="7" t="str">
        <f>IF($A244&lt;&gt;"",MAXIFS(Token!$B:$B,Token!$A:$A,$D244),)</f>
        <v/>
      </c>
    </row>
    <row r="245">
      <c r="A245" s="39" t="str">
        <f>IF(AND($L245*1&gt;=$G$3,$L245*1&lt;=$G$4,$I245*$J245&gt;0,OR($I245&lt;&gt;$I246,$L245-$L246&gt;25),$I245/POW(10,$J245)*MAXIFS(Token!$B:$B,Token!$A:$A,$K245)&gt;0.01),$L245/86400+DATE(1970,1,1)+$G$6,)</f>
        <v/>
      </c>
      <c r="B245" s="27" t="str">
        <f t="shared" si="1"/>
        <v/>
      </c>
      <c r="C245" s="14" t="str">
        <f>IF($A245&lt;&gt;"",MINIFS(Merchant!$A:$A,Merchant!$B:$B,$G$2),)</f>
        <v/>
      </c>
      <c r="D245" s="14" t="str">
        <f t="shared" si="2"/>
        <v/>
      </c>
      <c r="E245" s="14" t="str">
        <f t="shared" si="3"/>
        <v/>
      </c>
      <c r="F245" s="7" t="str">
        <f>IF($A245&lt;&gt;"",MAXIFS(Token!$B:$B,Token!$A:$A,$D245),)</f>
        <v/>
      </c>
    </row>
    <row r="246">
      <c r="A246" s="39" t="str">
        <f>IF(AND($L246*1&gt;=$G$3,$L246*1&lt;=$G$4,$I246*$J246&gt;0,OR($I246&lt;&gt;$I247,$L246-$L247&gt;25),$I246/POW(10,$J246)*MAXIFS(Token!$B:$B,Token!$A:$A,$K246)&gt;0.01),$L246/86400+DATE(1970,1,1)+$G$6,)</f>
        <v/>
      </c>
      <c r="B246" s="27" t="str">
        <f t="shared" si="1"/>
        <v/>
      </c>
      <c r="C246" s="14" t="str">
        <f>IF($A246&lt;&gt;"",MINIFS(Merchant!$A:$A,Merchant!$B:$B,$G$2),)</f>
        <v/>
      </c>
      <c r="D246" s="14" t="str">
        <f t="shared" si="2"/>
        <v/>
      </c>
      <c r="E246" s="14" t="str">
        <f t="shared" si="3"/>
        <v/>
      </c>
      <c r="F246" s="7" t="str">
        <f>IF($A246&lt;&gt;"",MAXIFS(Token!$B:$B,Token!$A:$A,$D246),)</f>
        <v/>
      </c>
    </row>
    <row r="247">
      <c r="A247" s="39" t="str">
        <f>IF(AND($L247*1&gt;=$G$3,$L247*1&lt;=$G$4,$I247*$J247&gt;0,OR($I247&lt;&gt;$I248,$L247-$L248&gt;25),$I247/POW(10,$J247)*MAXIFS(Token!$B:$B,Token!$A:$A,$K247)&gt;0.01),$L247/86400+DATE(1970,1,1)+$G$6,)</f>
        <v/>
      </c>
      <c r="B247" s="27" t="str">
        <f t="shared" si="1"/>
        <v/>
      </c>
      <c r="C247" s="14" t="str">
        <f>IF($A247&lt;&gt;"",MINIFS(Merchant!$A:$A,Merchant!$B:$B,$G$2),)</f>
        <v/>
      </c>
      <c r="D247" s="14" t="str">
        <f t="shared" si="2"/>
        <v/>
      </c>
      <c r="E247" s="14" t="str">
        <f t="shared" si="3"/>
        <v/>
      </c>
      <c r="F247" s="7" t="str">
        <f>IF($A247&lt;&gt;"",MAXIFS(Token!$B:$B,Token!$A:$A,$D247),)</f>
        <v/>
      </c>
    </row>
    <row r="248">
      <c r="A248" s="39" t="str">
        <f>IF(AND($L248*1&gt;=$G$3,$L248*1&lt;=$G$4,$I248*$J248&gt;0,OR($I248&lt;&gt;$I249,$L248-$L249&gt;25),$I248/POW(10,$J248)*MAXIFS(Token!$B:$B,Token!$A:$A,$K248)&gt;0.01),$L248/86400+DATE(1970,1,1)+$G$6,)</f>
        <v/>
      </c>
      <c r="B248" s="27" t="str">
        <f t="shared" si="1"/>
        <v/>
      </c>
      <c r="C248" s="14" t="str">
        <f>IF($A248&lt;&gt;"",MINIFS(Merchant!$A:$A,Merchant!$B:$B,$G$2),)</f>
        <v/>
      </c>
      <c r="D248" s="14" t="str">
        <f t="shared" si="2"/>
        <v/>
      </c>
      <c r="E248" s="14" t="str">
        <f t="shared" si="3"/>
        <v/>
      </c>
      <c r="F248" s="7" t="str">
        <f>IF($A248&lt;&gt;"",MAXIFS(Token!$B:$B,Token!$A:$A,$D248),)</f>
        <v/>
      </c>
    </row>
    <row r="249">
      <c r="A249" s="39" t="str">
        <f>IF(AND($L249*1&gt;=$G$3,$L249*1&lt;=$G$4,$I249*$J249&gt;0,OR($I249&lt;&gt;$I250,$L249-$L250&gt;25),$I249/POW(10,$J249)*MAXIFS(Token!$B:$B,Token!$A:$A,$K249)&gt;0.01),$L249/86400+DATE(1970,1,1)+$G$6,)</f>
        <v/>
      </c>
      <c r="B249" s="27" t="str">
        <f t="shared" si="1"/>
        <v/>
      </c>
      <c r="C249" s="14" t="str">
        <f>IF($A249&lt;&gt;"",MINIFS(Merchant!$A:$A,Merchant!$B:$B,$G$2),)</f>
        <v/>
      </c>
      <c r="D249" s="14" t="str">
        <f t="shared" si="2"/>
        <v/>
      </c>
      <c r="E249" s="14" t="str">
        <f t="shared" si="3"/>
        <v/>
      </c>
      <c r="F249" s="7" t="str">
        <f>IF($A249&lt;&gt;"",MAXIFS(Token!$B:$B,Token!$A:$A,$D249),)</f>
        <v/>
      </c>
    </row>
    <row r="250">
      <c r="A250" s="39" t="str">
        <f>IF(AND($L250*1&gt;=$G$3,$L250*1&lt;=$G$4,$I250*$J250&gt;0,OR($I250&lt;&gt;$I251,$L250-$L251&gt;25),$I250/POW(10,$J250)*MAXIFS(Token!$B:$B,Token!$A:$A,$K250)&gt;0.01),$L250/86400+DATE(1970,1,1)+$G$6,)</f>
        <v/>
      </c>
      <c r="B250" s="27" t="str">
        <f t="shared" si="1"/>
        <v/>
      </c>
      <c r="C250" s="14" t="str">
        <f>IF($A250&lt;&gt;"",MINIFS(Merchant!$A:$A,Merchant!$B:$B,$G$2),)</f>
        <v/>
      </c>
      <c r="D250" s="14" t="str">
        <f t="shared" si="2"/>
        <v/>
      </c>
      <c r="E250" s="14" t="str">
        <f t="shared" si="3"/>
        <v/>
      </c>
      <c r="F250" s="7" t="str">
        <f>IF($A250&lt;&gt;"",MAXIFS(Token!$B:$B,Token!$A:$A,$D250),)</f>
        <v/>
      </c>
    </row>
    <row r="251">
      <c r="A251" s="39" t="str">
        <f>IF(AND($L251*1&gt;=$G$3,$L251*1&lt;=$G$4,$I251*$J251&gt;0,OR($I251&lt;&gt;$I252,$L251-$L252&gt;25),$I251/POW(10,$J251)*MAXIFS(Token!$B:$B,Token!$A:$A,$K251)&gt;0.01),$L251/86400+DATE(1970,1,1)+$G$6,)</f>
        <v/>
      </c>
      <c r="B251" s="27" t="str">
        <f t="shared" si="1"/>
        <v/>
      </c>
      <c r="C251" s="14" t="str">
        <f>IF($A251&lt;&gt;"",MINIFS(Merchant!$A:$A,Merchant!$B:$B,$G$2),)</f>
        <v/>
      </c>
      <c r="D251" s="14" t="str">
        <f t="shared" si="2"/>
        <v/>
      </c>
      <c r="E251" s="14" t="str">
        <f t="shared" si="3"/>
        <v/>
      </c>
      <c r="F251" s="7" t="str">
        <f>IF($A251&lt;&gt;"",MAXIFS(Token!$B:$B,Token!$A:$A,$D251),)</f>
        <v/>
      </c>
    </row>
    <row r="252">
      <c r="A252" s="39" t="str">
        <f>IF(AND($L252*1&gt;=$G$3,$L252*1&lt;=$G$4,$I252*$J252&gt;0,OR($I252&lt;&gt;$I253,$L252-$L253&gt;25),$I252/POW(10,$J252)*MAXIFS(Token!$B:$B,Token!$A:$A,$K252)&gt;0.01),$L252/86400+DATE(1970,1,1)+$G$6,)</f>
        <v/>
      </c>
      <c r="B252" s="27" t="str">
        <f t="shared" si="1"/>
        <v/>
      </c>
      <c r="C252" s="14" t="str">
        <f>IF($A252&lt;&gt;"",MINIFS(Merchant!$A:$A,Merchant!$B:$B,$G$2),)</f>
        <v/>
      </c>
      <c r="D252" s="14" t="str">
        <f t="shared" si="2"/>
        <v/>
      </c>
      <c r="E252" s="14" t="str">
        <f t="shared" si="3"/>
        <v/>
      </c>
      <c r="F252" s="7" t="str">
        <f>IF($A252&lt;&gt;"",MAXIFS(Token!$B:$B,Token!$A:$A,$D252),)</f>
        <v/>
      </c>
    </row>
    <row r="253">
      <c r="A253" s="39" t="str">
        <f>IF(AND($L253*1&gt;=$G$3,$L253*1&lt;=$G$4,$I253*$J253&gt;0,OR($I253&lt;&gt;$I254,$L253-$L254&gt;25),$I253/POW(10,$J253)*MAXIFS(Token!$B:$B,Token!$A:$A,$K253)&gt;0.01),$L253/86400+DATE(1970,1,1)+$G$6,)</f>
        <v/>
      </c>
      <c r="B253" s="27" t="str">
        <f t="shared" si="1"/>
        <v/>
      </c>
      <c r="C253" s="14" t="str">
        <f>IF($A253&lt;&gt;"",MINIFS(Merchant!$A:$A,Merchant!$B:$B,$G$2),)</f>
        <v/>
      </c>
      <c r="D253" s="14" t="str">
        <f t="shared" si="2"/>
        <v/>
      </c>
      <c r="E253" s="14" t="str">
        <f t="shared" si="3"/>
        <v/>
      </c>
      <c r="F253" s="7" t="str">
        <f>IF($A253&lt;&gt;"",MAXIFS(Token!$B:$B,Token!$A:$A,$D253),)</f>
        <v/>
      </c>
    </row>
    <row r="254">
      <c r="A254" s="39" t="str">
        <f>IF(AND($L254*1&gt;=$G$3,$L254*1&lt;=$G$4,$I254*$J254&gt;0,OR($I254&lt;&gt;$I255,$L254-$L255&gt;25),$I254/POW(10,$J254)*MAXIFS(Token!$B:$B,Token!$A:$A,$K254)&gt;0.01),$L254/86400+DATE(1970,1,1)+$G$6,)</f>
        <v/>
      </c>
      <c r="B254" s="27" t="str">
        <f t="shared" si="1"/>
        <v/>
      </c>
      <c r="C254" s="14" t="str">
        <f>IF($A254&lt;&gt;"",MINIFS(Merchant!$A:$A,Merchant!$B:$B,$G$2),)</f>
        <v/>
      </c>
      <c r="D254" s="14" t="str">
        <f t="shared" si="2"/>
        <v/>
      </c>
      <c r="E254" s="14" t="str">
        <f t="shared" si="3"/>
        <v/>
      </c>
      <c r="F254" s="7" t="str">
        <f>IF($A254&lt;&gt;"",MAXIFS(Token!$B:$B,Token!$A:$A,$D254),)</f>
        <v/>
      </c>
    </row>
    <row r="255">
      <c r="A255" s="39" t="str">
        <f>IF(AND($L255*1&gt;=$G$3,$L255*1&lt;=$G$4,$I255*$J255&gt;0,OR($I255&lt;&gt;$I256,$L255-$L256&gt;25),$I255/POW(10,$J255)*MAXIFS(Token!$B:$B,Token!$A:$A,$K255)&gt;0.01),$L255/86400+DATE(1970,1,1)+$G$6,)</f>
        <v/>
      </c>
      <c r="B255" s="27" t="str">
        <f t="shared" si="1"/>
        <v/>
      </c>
      <c r="C255" s="14" t="str">
        <f>IF($A255&lt;&gt;"",MINIFS(Merchant!$A:$A,Merchant!$B:$B,$G$2),)</f>
        <v/>
      </c>
      <c r="D255" s="14" t="str">
        <f t="shared" si="2"/>
        <v/>
      </c>
      <c r="E255" s="14" t="str">
        <f t="shared" si="3"/>
        <v/>
      </c>
      <c r="F255" s="7" t="str">
        <f>IF($A255&lt;&gt;"",MAXIFS(Token!$B:$B,Token!$A:$A,$D255),)</f>
        <v/>
      </c>
    </row>
    <row r="256">
      <c r="A256" s="39" t="str">
        <f>IF(AND($L256*1&gt;=$G$3,$L256*1&lt;=$G$4,$I256*$J256&gt;0,OR($I256&lt;&gt;$I257,$L256-$L257&gt;25),$I256/POW(10,$J256)*MAXIFS(Token!$B:$B,Token!$A:$A,$K256)&gt;0.01),$L256/86400+DATE(1970,1,1)+$G$6,)</f>
        <v/>
      </c>
      <c r="B256" s="27" t="str">
        <f t="shared" si="1"/>
        <v/>
      </c>
      <c r="C256" s="14" t="str">
        <f>IF($A256&lt;&gt;"",MINIFS(Merchant!$A:$A,Merchant!$B:$B,$G$2),)</f>
        <v/>
      </c>
      <c r="D256" s="14" t="str">
        <f t="shared" si="2"/>
        <v/>
      </c>
      <c r="E256" s="14" t="str">
        <f t="shared" si="3"/>
        <v/>
      </c>
      <c r="F256" s="7" t="str">
        <f>IF($A256&lt;&gt;"",MAXIFS(Token!$B:$B,Token!$A:$A,$D256),)</f>
        <v/>
      </c>
    </row>
    <row r="257">
      <c r="A257" s="39" t="str">
        <f>IF(AND($L257*1&gt;=$G$3,$L257*1&lt;=$G$4,$I257*$J257&gt;0,OR($I257&lt;&gt;$I258,$L257-$L258&gt;25),$I257/POW(10,$J257)*MAXIFS(Token!$B:$B,Token!$A:$A,$K257)&gt;0.01),$L257/86400+DATE(1970,1,1)+$G$6,)</f>
        <v/>
      </c>
      <c r="B257" s="27" t="str">
        <f t="shared" si="1"/>
        <v/>
      </c>
      <c r="C257" s="14" t="str">
        <f>IF($A257&lt;&gt;"",MINIFS(Merchant!$A:$A,Merchant!$B:$B,$G$2),)</f>
        <v/>
      </c>
      <c r="D257" s="14" t="str">
        <f t="shared" si="2"/>
        <v/>
      </c>
      <c r="E257" s="14" t="str">
        <f t="shared" si="3"/>
        <v/>
      </c>
      <c r="F257" s="7" t="str">
        <f>IF($A257&lt;&gt;"",MAXIFS(Token!$B:$B,Token!$A:$A,$D257),)</f>
        <v/>
      </c>
    </row>
    <row r="258">
      <c r="A258" s="39" t="str">
        <f>IF(AND($L258*1&gt;=$G$3,$L258*1&lt;=$G$4,$I258*$J258&gt;0,OR($I258&lt;&gt;$I259,$L258-$L259&gt;25),$I258/POW(10,$J258)*MAXIFS(Token!$B:$B,Token!$A:$A,$K258)&gt;0.01),$L258/86400+DATE(1970,1,1)+$G$6,)</f>
        <v/>
      </c>
      <c r="B258" s="27" t="str">
        <f t="shared" si="1"/>
        <v/>
      </c>
      <c r="C258" s="14" t="str">
        <f>IF($A258&lt;&gt;"",MINIFS(Merchant!$A:$A,Merchant!$B:$B,$G$2),)</f>
        <v/>
      </c>
      <c r="D258" s="14" t="str">
        <f t="shared" si="2"/>
        <v/>
      </c>
      <c r="E258" s="14" t="str">
        <f t="shared" si="3"/>
        <v/>
      </c>
      <c r="F258" s="7" t="str">
        <f>IF($A258&lt;&gt;"",MAXIFS(Token!$B:$B,Token!$A:$A,$D258),)</f>
        <v/>
      </c>
    </row>
    <row r="259">
      <c r="A259" s="39" t="str">
        <f>IF(AND($L259*1&gt;=$G$3,$L259*1&lt;=$G$4,$I259*$J259&gt;0,OR($I259&lt;&gt;$I260,$L259-$L260&gt;25),$I259/POW(10,$J259)*MAXIFS(Token!$B:$B,Token!$A:$A,$K259)&gt;0.01),$L259/86400+DATE(1970,1,1)+$G$6,)</f>
        <v/>
      </c>
      <c r="B259" s="27" t="str">
        <f t="shared" si="1"/>
        <v/>
      </c>
      <c r="C259" s="14" t="str">
        <f>IF($A259&lt;&gt;"",MINIFS(Merchant!$A:$A,Merchant!$B:$B,$G$2),)</f>
        <v/>
      </c>
      <c r="D259" s="14" t="str">
        <f t="shared" si="2"/>
        <v/>
      </c>
      <c r="E259" s="14" t="str">
        <f t="shared" si="3"/>
        <v/>
      </c>
      <c r="F259" s="7" t="str">
        <f>IF($A259&lt;&gt;"",MAXIFS(Token!$B:$B,Token!$A:$A,$D259),)</f>
        <v/>
      </c>
    </row>
    <row r="260">
      <c r="A260" s="39" t="str">
        <f>IF(AND($L260*1&gt;=$G$3,$L260*1&lt;=$G$4,$I260*$J260&gt;0,OR($I260&lt;&gt;$I261,$L260-$L261&gt;25),$I260/POW(10,$J260)*MAXIFS(Token!$B:$B,Token!$A:$A,$K260)&gt;0.01),$L260/86400+DATE(1970,1,1)+$G$6,)</f>
        <v/>
      </c>
      <c r="B260" s="27" t="str">
        <f t="shared" si="1"/>
        <v/>
      </c>
      <c r="C260" s="14" t="str">
        <f>IF($A260&lt;&gt;"",MINIFS(Merchant!$A:$A,Merchant!$B:$B,$G$2),)</f>
        <v/>
      </c>
      <c r="D260" s="14" t="str">
        <f t="shared" si="2"/>
        <v/>
      </c>
      <c r="E260" s="14" t="str">
        <f t="shared" si="3"/>
        <v/>
      </c>
      <c r="F260" s="7" t="str">
        <f>IF($A260&lt;&gt;"",MAXIFS(Token!$B:$B,Token!$A:$A,$D260),)</f>
        <v/>
      </c>
    </row>
    <row r="261">
      <c r="A261" s="39" t="str">
        <f>IF(AND($L261*1&gt;=$G$3,$L261*1&lt;=$G$4,$I261*$J261&gt;0,OR($I261&lt;&gt;$I262,$L261-$L262&gt;25),$I261/POW(10,$J261)*MAXIFS(Token!$B:$B,Token!$A:$A,$K261)&gt;0.01),$L261/86400+DATE(1970,1,1)+$G$6,)</f>
        <v/>
      </c>
      <c r="B261" s="27" t="str">
        <f t="shared" si="1"/>
        <v/>
      </c>
      <c r="C261" s="14" t="str">
        <f>IF($A261&lt;&gt;"",MINIFS(Merchant!$A:$A,Merchant!$B:$B,$G$2),)</f>
        <v/>
      </c>
      <c r="D261" s="14" t="str">
        <f t="shared" si="2"/>
        <v/>
      </c>
      <c r="E261" s="14" t="str">
        <f t="shared" si="3"/>
        <v/>
      </c>
      <c r="F261" s="7" t="str">
        <f>IF($A261&lt;&gt;"",MAXIFS(Token!$B:$B,Token!$A:$A,$D261),)</f>
        <v/>
      </c>
    </row>
    <row r="262">
      <c r="A262" s="39" t="str">
        <f>IF(AND($L262*1&gt;=$G$3,$L262*1&lt;=$G$4,$I262*$J262&gt;0,OR($I262&lt;&gt;$I263,$L262-$L263&gt;25),$I262/POW(10,$J262)*MAXIFS(Token!$B:$B,Token!$A:$A,$K262)&gt;0.01),$L262/86400+DATE(1970,1,1)+$G$6,)</f>
        <v/>
      </c>
      <c r="B262" s="27" t="str">
        <f t="shared" si="1"/>
        <v/>
      </c>
      <c r="C262" s="14" t="str">
        <f>IF($A262&lt;&gt;"",MINIFS(Merchant!$A:$A,Merchant!$B:$B,$G$2),)</f>
        <v/>
      </c>
      <c r="D262" s="14" t="str">
        <f t="shared" si="2"/>
        <v/>
      </c>
      <c r="E262" s="14" t="str">
        <f t="shared" si="3"/>
        <v/>
      </c>
      <c r="F262" s="7" t="str">
        <f>IF($A262&lt;&gt;"",MAXIFS(Token!$B:$B,Token!$A:$A,$D262),)</f>
        <v/>
      </c>
    </row>
    <row r="263">
      <c r="A263" s="39" t="str">
        <f>IF(AND($L263*1&gt;=$G$3,$L263*1&lt;=$G$4,$I263*$J263&gt;0,OR($I263&lt;&gt;$I264,$L263-$L264&gt;25),$I263/POW(10,$J263)*MAXIFS(Token!$B:$B,Token!$A:$A,$K263)&gt;0.01),$L263/86400+DATE(1970,1,1)+$G$6,)</f>
        <v/>
      </c>
      <c r="B263" s="27" t="str">
        <f t="shared" si="1"/>
        <v/>
      </c>
      <c r="C263" s="14" t="str">
        <f>IF($A263&lt;&gt;"",MINIFS(Merchant!$A:$A,Merchant!$B:$B,$G$2),)</f>
        <v/>
      </c>
      <c r="D263" s="14" t="str">
        <f t="shared" si="2"/>
        <v/>
      </c>
      <c r="E263" s="14" t="str">
        <f t="shared" si="3"/>
        <v/>
      </c>
      <c r="F263" s="7" t="str">
        <f>IF($A263&lt;&gt;"",MAXIFS(Token!$B:$B,Token!$A:$A,$D263),)</f>
        <v/>
      </c>
    </row>
    <row r="264">
      <c r="A264" s="39" t="str">
        <f>IF(AND($L264*1&gt;=$G$3,$L264*1&lt;=$G$4,$I264*$J264&gt;0,OR($I264&lt;&gt;$I265,$L264-$L265&gt;25),$I264/POW(10,$J264)*MAXIFS(Token!$B:$B,Token!$A:$A,$K264)&gt;0.01),$L264/86400+DATE(1970,1,1)+$G$6,)</f>
        <v/>
      </c>
      <c r="B264" s="27" t="str">
        <f t="shared" si="1"/>
        <v/>
      </c>
      <c r="C264" s="14" t="str">
        <f>IF($A264&lt;&gt;"",MINIFS(Merchant!$A:$A,Merchant!$B:$B,$G$2),)</f>
        <v/>
      </c>
      <c r="D264" s="14" t="str">
        <f t="shared" si="2"/>
        <v/>
      </c>
      <c r="E264" s="14" t="str">
        <f t="shared" si="3"/>
        <v/>
      </c>
      <c r="F264" s="7" t="str">
        <f>IF($A264&lt;&gt;"",MAXIFS(Token!$B:$B,Token!$A:$A,$D264),)</f>
        <v/>
      </c>
    </row>
    <row r="265">
      <c r="A265" s="39" t="str">
        <f>IF(AND($L265*1&gt;=$G$3,$L265*1&lt;=$G$4,$I265*$J265&gt;0,OR($I265&lt;&gt;$I266,$L265-$L266&gt;25),$I265/POW(10,$J265)*MAXIFS(Token!$B:$B,Token!$A:$A,$K265)&gt;0.01),$L265/86400+DATE(1970,1,1)+$G$6,)</f>
        <v/>
      </c>
      <c r="B265" s="27" t="str">
        <f t="shared" si="1"/>
        <v/>
      </c>
      <c r="C265" s="14" t="str">
        <f>IF($A265&lt;&gt;"",MINIFS(Merchant!$A:$A,Merchant!$B:$B,$G$2),)</f>
        <v/>
      </c>
      <c r="D265" s="14" t="str">
        <f t="shared" si="2"/>
        <v/>
      </c>
      <c r="E265" s="14" t="str">
        <f t="shared" si="3"/>
        <v/>
      </c>
      <c r="F265" s="7" t="str">
        <f>IF($A265&lt;&gt;"",MAXIFS(Token!$B:$B,Token!$A:$A,$D265),)</f>
        <v/>
      </c>
    </row>
    <row r="266">
      <c r="A266" s="39" t="str">
        <f>IF(AND($L266*1&gt;=$G$3,$L266*1&lt;=$G$4,$I266*$J266&gt;0,OR($I266&lt;&gt;$I267,$L266-$L267&gt;25),$I266/POW(10,$J266)*MAXIFS(Token!$B:$B,Token!$A:$A,$K266)&gt;0.01),$L266/86400+DATE(1970,1,1)+$G$6,)</f>
        <v/>
      </c>
      <c r="B266" s="27" t="str">
        <f t="shared" si="1"/>
        <v/>
      </c>
      <c r="C266" s="14" t="str">
        <f>IF($A266&lt;&gt;"",MINIFS(Merchant!$A:$A,Merchant!$B:$B,$G$2),)</f>
        <v/>
      </c>
      <c r="D266" s="14" t="str">
        <f t="shared" si="2"/>
        <v/>
      </c>
      <c r="E266" s="14" t="str">
        <f t="shared" si="3"/>
        <v/>
      </c>
      <c r="F266" s="7" t="str">
        <f>IF($A266&lt;&gt;"",MAXIFS(Token!$B:$B,Token!$A:$A,$D266),)</f>
        <v/>
      </c>
    </row>
    <row r="267">
      <c r="A267" s="39" t="str">
        <f>IF(AND($L267*1&gt;=$G$3,$L267*1&lt;=$G$4,$I267*$J267&gt;0,OR($I267&lt;&gt;$I268,$L267-$L268&gt;25),$I267/POW(10,$J267)*MAXIFS(Token!$B:$B,Token!$A:$A,$K267)&gt;0.01),$L267/86400+DATE(1970,1,1)+$G$6,)</f>
        <v/>
      </c>
      <c r="B267" s="27" t="str">
        <f t="shared" si="1"/>
        <v/>
      </c>
      <c r="C267" s="14" t="str">
        <f>IF($A267&lt;&gt;"",MINIFS(Merchant!$A:$A,Merchant!$B:$B,$G$2),)</f>
        <v/>
      </c>
      <c r="D267" s="14" t="str">
        <f t="shared" si="2"/>
        <v/>
      </c>
      <c r="E267" s="14" t="str">
        <f t="shared" si="3"/>
        <v/>
      </c>
      <c r="F267" s="7" t="str">
        <f>IF($A267&lt;&gt;"",MAXIFS(Token!$B:$B,Token!$A:$A,$D267),)</f>
        <v/>
      </c>
    </row>
    <row r="268">
      <c r="A268" s="39" t="str">
        <f>IF(AND($L268*1&gt;=$G$3,$L268*1&lt;=$G$4,$I268*$J268&gt;0,OR($I268&lt;&gt;$I269,$L268-$L269&gt;25),$I268/POW(10,$J268)*MAXIFS(Token!$B:$B,Token!$A:$A,$K268)&gt;0.01),$L268/86400+DATE(1970,1,1)+$G$6,)</f>
        <v/>
      </c>
      <c r="B268" s="27" t="str">
        <f t="shared" si="1"/>
        <v/>
      </c>
      <c r="C268" s="14" t="str">
        <f>IF($A268&lt;&gt;"",MINIFS(Merchant!$A:$A,Merchant!$B:$B,$G$2),)</f>
        <v/>
      </c>
      <c r="D268" s="14" t="str">
        <f t="shared" si="2"/>
        <v/>
      </c>
      <c r="E268" s="14" t="str">
        <f t="shared" si="3"/>
        <v/>
      </c>
      <c r="F268" s="7" t="str">
        <f>IF($A268&lt;&gt;"",MAXIFS(Token!$B:$B,Token!$A:$A,$D268),)</f>
        <v/>
      </c>
    </row>
    <row r="269">
      <c r="A269" s="39" t="str">
        <f>IF(AND($L269*1&gt;=$G$3,$L269*1&lt;=$G$4,$I269*$J269&gt;0,OR($I269&lt;&gt;$I270,$L269-$L270&gt;25),$I269/POW(10,$J269)*MAXIFS(Token!$B:$B,Token!$A:$A,$K269)&gt;0.01),$L269/86400+DATE(1970,1,1)+$G$6,)</f>
        <v/>
      </c>
      <c r="B269" s="27" t="str">
        <f t="shared" si="1"/>
        <v/>
      </c>
      <c r="C269" s="14" t="str">
        <f>IF($A269&lt;&gt;"",MINIFS(Merchant!$A:$A,Merchant!$B:$B,$G$2),)</f>
        <v/>
      </c>
      <c r="D269" s="14" t="str">
        <f t="shared" si="2"/>
        <v/>
      </c>
      <c r="E269" s="14" t="str">
        <f t="shared" si="3"/>
        <v/>
      </c>
      <c r="F269" s="7" t="str">
        <f>IF($A269&lt;&gt;"",MAXIFS(Token!$B:$B,Token!$A:$A,$D269),)</f>
        <v/>
      </c>
    </row>
    <row r="270">
      <c r="A270" s="39" t="str">
        <f>IF(AND($L270*1&gt;=$G$3,$L270*1&lt;=$G$4,$I270*$J270&gt;0,OR($I270&lt;&gt;$I271,$L270-$L271&gt;25),$I270/POW(10,$J270)*MAXIFS(Token!$B:$B,Token!$A:$A,$K270)&gt;0.01),$L270/86400+DATE(1970,1,1)+$G$6,)</f>
        <v/>
      </c>
      <c r="B270" s="27" t="str">
        <f t="shared" si="1"/>
        <v/>
      </c>
      <c r="C270" s="14" t="str">
        <f>IF($A270&lt;&gt;"",MINIFS(Merchant!$A:$A,Merchant!$B:$B,$G$2),)</f>
        <v/>
      </c>
      <c r="D270" s="14" t="str">
        <f t="shared" si="2"/>
        <v/>
      </c>
      <c r="E270" s="14" t="str">
        <f t="shared" si="3"/>
        <v/>
      </c>
      <c r="F270" s="7" t="str">
        <f>IF($A270&lt;&gt;"",MAXIFS(Token!$B:$B,Token!$A:$A,$D270),)</f>
        <v/>
      </c>
    </row>
    <row r="271">
      <c r="A271" s="39" t="str">
        <f>IF(AND($L271*1&gt;=$G$3,$L271*1&lt;=$G$4,$I271*$J271&gt;0,OR($I271&lt;&gt;$I272,$L271-$L272&gt;25),$I271/POW(10,$J271)*MAXIFS(Token!$B:$B,Token!$A:$A,$K271)&gt;0.01),$L271/86400+DATE(1970,1,1)+$G$6,)</f>
        <v/>
      </c>
      <c r="B271" s="27" t="str">
        <f t="shared" si="1"/>
        <v/>
      </c>
      <c r="C271" s="14" t="str">
        <f>IF($A271&lt;&gt;"",MINIFS(Merchant!$A:$A,Merchant!$B:$B,$G$2),)</f>
        <v/>
      </c>
      <c r="D271" s="14" t="str">
        <f t="shared" si="2"/>
        <v/>
      </c>
      <c r="E271" s="14" t="str">
        <f t="shared" si="3"/>
        <v/>
      </c>
      <c r="F271" s="7" t="str">
        <f>IF($A271&lt;&gt;"",MAXIFS(Token!$B:$B,Token!$A:$A,$D271),)</f>
        <v/>
      </c>
    </row>
    <row r="272">
      <c r="A272" s="39" t="str">
        <f>IF(AND($L272*1&gt;=$G$3,$L272*1&lt;=$G$4,$I272*$J272&gt;0,OR($I272&lt;&gt;$I273,$L272-$L273&gt;25),$I272/POW(10,$J272)*MAXIFS(Token!$B:$B,Token!$A:$A,$K272)&gt;0.01),$L272/86400+DATE(1970,1,1)+$G$6,)</f>
        <v/>
      </c>
      <c r="B272" s="27" t="str">
        <f t="shared" si="1"/>
        <v/>
      </c>
      <c r="C272" s="14" t="str">
        <f>IF($A272&lt;&gt;"",MINIFS(Merchant!$A:$A,Merchant!$B:$B,$G$2),)</f>
        <v/>
      </c>
      <c r="D272" s="14" t="str">
        <f t="shared" si="2"/>
        <v/>
      </c>
      <c r="E272" s="14" t="str">
        <f t="shared" si="3"/>
        <v/>
      </c>
      <c r="F272" s="7" t="str">
        <f>IF($A272&lt;&gt;"",MAXIFS(Token!$B:$B,Token!$A:$A,$D272),)</f>
        <v/>
      </c>
    </row>
    <row r="273">
      <c r="A273" s="39" t="str">
        <f>IF(AND($L273*1&gt;=$G$3,$L273*1&lt;=$G$4,$I273*$J273&gt;0,OR($I273&lt;&gt;$I274,$L273-$L274&gt;25),$I273/POW(10,$J273)*MAXIFS(Token!$B:$B,Token!$A:$A,$K273)&gt;0.01),$L273/86400+DATE(1970,1,1)+$G$6,)</f>
        <v/>
      </c>
      <c r="B273" s="27" t="str">
        <f t="shared" si="1"/>
        <v/>
      </c>
      <c r="C273" s="14" t="str">
        <f>IF($A273&lt;&gt;"",MINIFS(Merchant!$A:$A,Merchant!$B:$B,$G$2),)</f>
        <v/>
      </c>
      <c r="D273" s="14" t="str">
        <f t="shared" si="2"/>
        <v/>
      </c>
      <c r="E273" s="14" t="str">
        <f t="shared" si="3"/>
        <v/>
      </c>
      <c r="F273" s="7" t="str">
        <f>IF($A273&lt;&gt;"",MAXIFS(Token!$B:$B,Token!$A:$A,$D273),)</f>
        <v/>
      </c>
    </row>
    <row r="274">
      <c r="A274" s="39" t="str">
        <f>IF(AND($L274*1&gt;=$G$3,$L274*1&lt;=$G$4,$I274*$J274&gt;0,OR($I274&lt;&gt;$I275,$L274-$L275&gt;25),$I274/POW(10,$J274)*MAXIFS(Token!$B:$B,Token!$A:$A,$K274)&gt;0.01),$L274/86400+DATE(1970,1,1)+$G$6,)</f>
        <v/>
      </c>
      <c r="B274" s="27" t="str">
        <f t="shared" si="1"/>
        <v/>
      </c>
      <c r="C274" s="14" t="str">
        <f>IF($A274&lt;&gt;"",MINIFS(Merchant!$A:$A,Merchant!$B:$B,$G$2),)</f>
        <v/>
      </c>
      <c r="D274" s="14" t="str">
        <f t="shared" si="2"/>
        <v/>
      </c>
      <c r="E274" s="14" t="str">
        <f t="shared" si="3"/>
        <v/>
      </c>
      <c r="F274" s="7" t="str">
        <f>IF($A274&lt;&gt;"",MAXIFS(Token!$B:$B,Token!$A:$A,$D274),)</f>
        <v/>
      </c>
    </row>
    <row r="275">
      <c r="A275" s="39" t="str">
        <f>IF(AND($L275*1&gt;=$G$3,$L275*1&lt;=$G$4,$I275*$J275&gt;0,OR($I275&lt;&gt;$I276,$L275-$L276&gt;25),$I275/POW(10,$J275)*MAXIFS(Token!$B:$B,Token!$A:$A,$K275)&gt;0.01),$L275/86400+DATE(1970,1,1)+$G$6,)</f>
        <v/>
      </c>
      <c r="B275" s="27" t="str">
        <f t="shared" si="1"/>
        <v/>
      </c>
      <c r="C275" s="14" t="str">
        <f>IF($A275&lt;&gt;"",MINIFS(Merchant!$A:$A,Merchant!$B:$B,$G$2),)</f>
        <v/>
      </c>
      <c r="D275" s="14" t="str">
        <f t="shared" si="2"/>
        <v/>
      </c>
      <c r="E275" s="14" t="str">
        <f t="shared" si="3"/>
        <v/>
      </c>
      <c r="F275" s="7" t="str">
        <f>IF($A275&lt;&gt;"",MAXIFS(Token!$B:$B,Token!$A:$A,$D275),)</f>
        <v/>
      </c>
    </row>
    <row r="276">
      <c r="A276" s="39" t="str">
        <f>IF(AND($L276*1&gt;=$G$3,$L276*1&lt;=$G$4,$I276*$J276&gt;0,OR($I276&lt;&gt;$I277,$L276-$L277&gt;25),$I276/POW(10,$J276)*MAXIFS(Token!$B:$B,Token!$A:$A,$K276)&gt;0.01),$L276/86400+DATE(1970,1,1)+$G$6,)</f>
        <v/>
      </c>
      <c r="B276" s="27" t="str">
        <f t="shared" si="1"/>
        <v/>
      </c>
      <c r="C276" s="14" t="str">
        <f>IF($A276&lt;&gt;"",MINIFS(Merchant!$A:$A,Merchant!$B:$B,$G$2),)</f>
        <v/>
      </c>
      <c r="D276" s="14" t="str">
        <f t="shared" si="2"/>
        <v/>
      </c>
      <c r="E276" s="14" t="str">
        <f t="shared" si="3"/>
        <v/>
      </c>
      <c r="F276" s="7" t="str">
        <f>IF($A276&lt;&gt;"",MAXIFS(Token!$B:$B,Token!$A:$A,$D276),)</f>
        <v/>
      </c>
    </row>
    <row r="277">
      <c r="A277" s="39" t="str">
        <f>IF(AND($L277*1&gt;=$G$3,$L277*1&lt;=$G$4,$I277*$J277&gt;0,OR($I277&lt;&gt;$I278,$L277-$L278&gt;25),$I277/POW(10,$J277)*MAXIFS(Token!$B:$B,Token!$A:$A,$K277)&gt;0.01),$L277/86400+DATE(1970,1,1)+$G$6,)</f>
        <v/>
      </c>
      <c r="B277" s="27" t="str">
        <f t="shared" si="1"/>
        <v/>
      </c>
      <c r="C277" s="14" t="str">
        <f>IF($A277&lt;&gt;"",MINIFS(Merchant!$A:$A,Merchant!$B:$B,$G$2),)</f>
        <v/>
      </c>
      <c r="D277" s="14" t="str">
        <f t="shared" si="2"/>
        <v/>
      </c>
      <c r="E277" s="14" t="str">
        <f t="shared" si="3"/>
        <v/>
      </c>
      <c r="F277" s="7" t="str">
        <f>IF($A277&lt;&gt;"",MAXIFS(Token!$B:$B,Token!$A:$A,$D277),)</f>
        <v/>
      </c>
    </row>
    <row r="278">
      <c r="A278" s="39" t="str">
        <f>IF(AND($L278*1&gt;=$G$3,$L278*1&lt;=$G$4,$I278*$J278&gt;0,OR($I278&lt;&gt;$I279,$L278-$L279&gt;25),$I278/POW(10,$J278)*MAXIFS(Token!$B:$B,Token!$A:$A,$K278)&gt;0.01),$L278/86400+DATE(1970,1,1)+$G$6,)</f>
        <v/>
      </c>
      <c r="B278" s="27" t="str">
        <f t="shared" si="1"/>
        <v/>
      </c>
      <c r="C278" s="14" t="str">
        <f>IF($A278&lt;&gt;"",MINIFS(Merchant!$A:$A,Merchant!$B:$B,$G$2),)</f>
        <v/>
      </c>
      <c r="D278" s="14" t="str">
        <f t="shared" si="2"/>
        <v/>
      </c>
      <c r="E278" s="14" t="str">
        <f t="shared" si="3"/>
        <v/>
      </c>
      <c r="F278" s="7" t="str">
        <f>IF($A278&lt;&gt;"",MAXIFS(Token!$B:$B,Token!$A:$A,$D278),)</f>
        <v/>
      </c>
    </row>
    <row r="279">
      <c r="A279" s="39" t="str">
        <f>IF(AND($L279*1&gt;=$G$3,$L279*1&lt;=$G$4,$I279*$J279&gt;0,OR($I279&lt;&gt;$I280,$L279-$L280&gt;25),$I279/POW(10,$J279)*MAXIFS(Token!$B:$B,Token!$A:$A,$K279)&gt;0.01),$L279/86400+DATE(1970,1,1)+$G$6,)</f>
        <v/>
      </c>
      <c r="B279" s="27" t="str">
        <f t="shared" si="1"/>
        <v/>
      </c>
      <c r="C279" s="14" t="str">
        <f>IF($A279&lt;&gt;"",MINIFS(Merchant!$A:$A,Merchant!$B:$B,$G$2),)</f>
        <v/>
      </c>
      <c r="D279" s="14" t="str">
        <f t="shared" si="2"/>
        <v/>
      </c>
      <c r="E279" s="14" t="str">
        <f t="shared" si="3"/>
        <v/>
      </c>
      <c r="F279" s="7" t="str">
        <f>IF($A279&lt;&gt;"",MAXIFS(Token!$B:$B,Token!$A:$A,$D279),)</f>
        <v/>
      </c>
    </row>
    <row r="280">
      <c r="A280" s="39" t="str">
        <f>IF(AND($L280*1&gt;=$G$3,$L280*1&lt;=$G$4,$I280*$J280&gt;0,OR($I280&lt;&gt;$I281,$L280-$L281&gt;25),$I280/POW(10,$J280)*MAXIFS(Token!$B:$B,Token!$A:$A,$K280)&gt;0.01),$L280/86400+DATE(1970,1,1)+$G$6,)</f>
        <v/>
      </c>
      <c r="B280" s="27" t="str">
        <f t="shared" si="1"/>
        <v/>
      </c>
      <c r="C280" s="14" t="str">
        <f>IF($A280&lt;&gt;"",MINIFS(Merchant!$A:$A,Merchant!$B:$B,$G$2),)</f>
        <v/>
      </c>
      <c r="D280" s="14" t="str">
        <f t="shared" si="2"/>
        <v/>
      </c>
      <c r="E280" s="14" t="str">
        <f t="shared" si="3"/>
        <v/>
      </c>
      <c r="F280" s="7" t="str">
        <f>IF($A280&lt;&gt;"",MAXIFS(Token!$B:$B,Token!$A:$A,$D280),)</f>
        <v/>
      </c>
    </row>
    <row r="281">
      <c r="A281" s="39" t="str">
        <f>IF(AND($L281*1&gt;=$G$3,$L281*1&lt;=$G$4,$I281*$J281&gt;0,OR($I281&lt;&gt;$I282,$L281-$L282&gt;25),$I281/POW(10,$J281)*MAXIFS(Token!$B:$B,Token!$A:$A,$K281)&gt;0.01),$L281/86400+DATE(1970,1,1)+$G$6,)</f>
        <v/>
      </c>
      <c r="B281" s="27" t="str">
        <f t="shared" si="1"/>
        <v/>
      </c>
      <c r="C281" s="14" t="str">
        <f>IF($A281&lt;&gt;"",MINIFS(Merchant!$A:$A,Merchant!$B:$B,$G$2),)</f>
        <v/>
      </c>
      <c r="D281" s="14" t="str">
        <f t="shared" si="2"/>
        <v/>
      </c>
      <c r="E281" s="14" t="str">
        <f t="shared" si="3"/>
        <v/>
      </c>
      <c r="F281" s="7" t="str">
        <f>IF($A281&lt;&gt;"",MAXIFS(Token!$B:$B,Token!$A:$A,$D281),)</f>
        <v/>
      </c>
    </row>
    <row r="282">
      <c r="A282" s="39" t="str">
        <f>IF(AND($L282*1&gt;=$G$3,$L282*1&lt;=$G$4,$I282*$J282&gt;0,OR($I282&lt;&gt;$I283,$L282-$L283&gt;25),$I282/POW(10,$J282)*MAXIFS(Token!$B:$B,Token!$A:$A,$K282)&gt;0.01),$L282/86400+DATE(1970,1,1)+$G$6,)</f>
        <v/>
      </c>
      <c r="B282" s="27" t="str">
        <f t="shared" si="1"/>
        <v/>
      </c>
      <c r="C282" s="14" t="str">
        <f>IF($A282&lt;&gt;"",MINIFS(Merchant!$A:$A,Merchant!$B:$B,$G$2),)</f>
        <v/>
      </c>
      <c r="D282" s="14" t="str">
        <f t="shared" si="2"/>
        <v/>
      </c>
      <c r="E282" s="14" t="str">
        <f t="shared" si="3"/>
        <v/>
      </c>
      <c r="F282" s="7" t="str">
        <f>IF($A282&lt;&gt;"",MAXIFS(Token!$B:$B,Token!$A:$A,$D282),)</f>
        <v/>
      </c>
    </row>
    <row r="283">
      <c r="A283" s="39" t="str">
        <f>IF(AND($L283*1&gt;=$G$3,$L283*1&lt;=$G$4,$I283*$J283&gt;0,OR($I283&lt;&gt;$I284,$L283-$L284&gt;25),$I283/POW(10,$J283)*MAXIFS(Token!$B:$B,Token!$A:$A,$K283)&gt;0.01),$L283/86400+DATE(1970,1,1)+$G$6,)</f>
        <v/>
      </c>
      <c r="B283" s="27" t="str">
        <f t="shared" si="1"/>
        <v/>
      </c>
      <c r="C283" s="14" t="str">
        <f>IF($A283&lt;&gt;"",MINIFS(Merchant!$A:$A,Merchant!$B:$B,$G$2),)</f>
        <v/>
      </c>
      <c r="D283" s="14" t="str">
        <f t="shared" si="2"/>
        <v/>
      </c>
      <c r="E283" s="14" t="str">
        <f t="shared" si="3"/>
        <v/>
      </c>
      <c r="F283" s="7" t="str">
        <f>IF($A283&lt;&gt;"",MAXIFS(Token!$B:$B,Token!$A:$A,$D283),)</f>
        <v/>
      </c>
    </row>
    <row r="284">
      <c r="A284" s="39" t="str">
        <f>IF(AND($L284*1&gt;=$G$3,$L284*1&lt;=$G$4,$I284*$J284&gt;0,OR($I284&lt;&gt;$I285,$L284-$L285&gt;25),$I284/POW(10,$J284)*MAXIFS(Token!$B:$B,Token!$A:$A,$K284)&gt;0.01),$L284/86400+DATE(1970,1,1)+$G$6,)</f>
        <v/>
      </c>
      <c r="B284" s="27" t="str">
        <f t="shared" si="1"/>
        <v/>
      </c>
      <c r="C284" s="14" t="str">
        <f>IF($A284&lt;&gt;"",MINIFS(Merchant!$A:$A,Merchant!$B:$B,$G$2),)</f>
        <v/>
      </c>
      <c r="D284" s="14" t="str">
        <f t="shared" si="2"/>
        <v/>
      </c>
      <c r="E284" s="14" t="str">
        <f t="shared" si="3"/>
        <v/>
      </c>
      <c r="F284" s="7" t="str">
        <f>IF($A284&lt;&gt;"",MAXIFS(Token!$B:$B,Token!$A:$A,$D284),)</f>
        <v/>
      </c>
    </row>
    <row r="285">
      <c r="A285" s="39" t="str">
        <f>IF(AND($L285*1&gt;=$G$3,$L285*1&lt;=$G$4,$I285*$J285&gt;0,OR($I285&lt;&gt;$I286,$L285-$L286&gt;25),$I285/POW(10,$J285)*MAXIFS(Token!$B:$B,Token!$A:$A,$K285)&gt;0.01),$L285/86400+DATE(1970,1,1)+$G$6,)</f>
        <v/>
      </c>
      <c r="B285" s="27" t="str">
        <f t="shared" si="1"/>
        <v/>
      </c>
      <c r="C285" s="14" t="str">
        <f>IF($A285&lt;&gt;"",MINIFS(Merchant!$A:$A,Merchant!$B:$B,$G$2),)</f>
        <v/>
      </c>
      <c r="D285" s="14" t="str">
        <f t="shared" si="2"/>
        <v/>
      </c>
      <c r="E285" s="14" t="str">
        <f t="shared" si="3"/>
        <v/>
      </c>
      <c r="F285" s="7" t="str">
        <f>IF($A285&lt;&gt;"",MAXIFS(Token!$B:$B,Token!$A:$A,$D285),)</f>
        <v/>
      </c>
    </row>
    <row r="286">
      <c r="A286" s="39" t="str">
        <f>IF(AND($L286*1&gt;=$G$3,$L286*1&lt;=$G$4,$I286*$J286&gt;0,OR($I286&lt;&gt;$I287,$L286-$L287&gt;25),$I286/POW(10,$J286)*MAXIFS(Token!$B:$B,Token!$A:$A,$K286)&gt;0.01),$L286/86400+DATE(1970,1,1)+$G$6,)</f>
        <v/>
      </c>
      <c r="B286" s="27" t="str">
        <f t="shared" si="1"/>
        <v/>
      </c>
      <c r="C286" s="14" t="str">
        <f>IF($A286&lt;&gt;"",MINIFS(Merchant!$A:$A,Merchant!$B:$B,$G$2),)</f>
        <v/>
      </c>
      <c r="D286" s="14" t="str">
        <f t="shared" si="2"/>
        <v/>
      </c>
      <c r="E286" s="14" t="str">
        <f t="shared" si="3"/>
        <v/>
      </c>
      <c r="F286" s="7" t="str">
        <f>IF($A286&lt;&gt;"",MAXIFS(Token!$B:$B,Token!$A:$A,$D286),)</f>
        <v/>
      </c>
    </row>
    <row r="287">
      <c r="A287" s="39" t="str">
        <f>IF(AND($L287*1&gt;=$G$3,$L287*1&lt;=$G$4,$I287*$J287&gt;0,OR($I287&lt;&gt;$I288,$L287-$L288&gt;25),$I287/POW(10,$J287)*MAXIFS(Token!$B:$B,Token!$A:$A,$K287)&gt;0.01),$L287/86400+DATE(1970,1,1)+$G$6,)</f>
        <v/>
      </c>
      <c r="B287" s="27" t="str">
        <f t="shared" si="1"/>
        <v/>
      </c>
      <c r="C287" s="14" t="str">
        <f>IF($A287&lt;&gt;"",MINIFS(Merchant!$A:$A,Merchant!$B:$B,$G$2),)</f>
        <v/>
      </c>
      <c r="D287" s="14" t="str">
        <f t="shared" si="2"/>
        <v/>
      </c>
      <c r="E287" s="14" t="str">
        <f t="shared" si="3"/>
        <v/>
      </c>
      <c r="F287" s="7" t="str">
        <f>IF($A287&lt;&gt;"",MAXIFS(Token!$B:$B,Token!$A:$A,$D287),)</f>
        <v/>
      </c>
    </row>
    <row r="288">
      <c r="A288" s="39" t="str">
        <f>IF(AND($L288*1&gt;=$G$3,$L288*1&lt;=$G$4,$I288*$J288&gt;0,OR($I288&lt;&gt;$I289,$L288-$L289&gt;25),$I288/POW(10,$J288)*MAXIFS(Token!$B:$B,Token!$A:$A,$K288)&gt;0.01),$L288/86400+DATE(1970,1,1)+$G$6,)</f>
        <v/>
      </c>
      <c r="B288" s="27" t="str">
        <f t="shared" si="1"/>
        <v/>
      </c>
      <c r="C288" s="14" t="str">
        <f>IF($A288&lt;&gt;"",MINIFS(Merchant!$A:$A,Merchant!$B:$B,$G$2),)</f>
        <v/>
      </c>
      <c r="D288" s="14" t="str">
        <f t="shared" si="2"/>
        <v/>
      </c>
      <c r="E288" s="14" t="str">
        <f t="shared" si="3"/>
        <v/>
      </c>
      <c r="F288" s="7" t="str">
        <f>IF($A288&lt;&gt;"",MAXIFS(Token!$B:$B,Token!$A:$A,$D288),)</f>
        <v/>
      </c>
    </row>
    <row r="289">
      <c r="A289" s="39" t="str">
        <f>IF(AND($L289*1&gt;=$G$3,$L289*1&lt;=$G$4,$I289*$J289&gt;0,OR($I289&lt;&gt;$I290,$L289-$L290&gt;25),$I289/POW(10,$J289)*MAXIFS(Token!$B:$B,Token!$A:$A,$K289)&gt;0.01),$L289/86400+DATE(1970,1,1)+$G$6,)</f>
        <v/>
      </c>
      <c r="B289" s="27" t="str">
        <f t="shared" si="1"/>
        <v/>
      </c>
      <c r="C289" s="14" t="str">
        <f>IF($A289&lt;&gt;"",MINIFS(Merchant!$A:$A,Merchant!$B:$B,$G$2),)</f>
        <v/>
      </c>
      <c r="D289" s="14" t="str">
        <f t="shared" si="2"/>
        <v/>
      </c>
      <c r="E289" s="14" t="str">
        <f t="shared" si="3"/>
        <v/>
      </c>
      <c r="F289" s="7" t="str">
        <f>IF($A289&lt;&gt;"",MAXIFS(Token!$B:$B,Token!$A:$A,$D289),)</f>
        <v/>
      </c>
    </row>
    <row r="290">
      <c r="A290" s="39" t="str">
        <f>IF(AND($L290*1&gt;=$G$3,$L290*1&lt;=$G$4,$I290*$J290&gt;0,OR($I290&lt;&gt;$I291,$L290-$L291&gt;25),$I290/POW(10,$J290)*MAXIFS(Token!$B:$B,Token!$A:$A,$K290)&gt;0.01),$L290/86400+DATE(1970,1,1)+$G$6,)</f>
        <v/>
      </c>
      <c r="B290" s="27" t="str">
        <f t="shared" si="1"/>
        <v/>
      </c>
      <c r="C290" s="14" t="str">
        <f>IF($A290&lt;&gt;"",MINIFS(Merchant!$A:$A,Merchant!$B:$B,$G$2),)</f>
        <v/>
      </c>
      <c r="D290" s="14" t="str">
        <f t="shared" si="2"/>
        <v/>
      </c>
      <c r="E290" s="14" t="str">
        <f t="shared" si="3"/>
        <v/>
      </c>
      <c r="F290" s="7" t="str">
        <f>IF($A290&lt;&gt;"",MAXIFS(Token!$B:$B,Token!$A:$A,$D290),)</f>
        <v/>
      </c>
    </row>
    <row r="291">
      <c r="A291" s="39" t="str">
        <f>IF(AND($L291*1&gt;=$G$3,$L291*1&lt;=$G$4,$I291*$J291&gt;0,OR($I291&lt;&gt;$I292,$L291-$L292&gt;25),$I291/POW(10,$J291)*MAXIFS(Token!$B:$B,Token!$A:$A,$K291)&gt;0.01),$L291/86400+DATE(1970,1,1)+$G$6,)</f>
        <v/>
      </c>
      <c r="B291" s="27" t="str">
        <f t="shared" si="1"/>
        <v/>
      </c>
      <c r="C291" s="14" t="str">
        <f>IF($A291&lt;&gt;"",MINIFS(Merchant!$A:$A,Merchant!$B:$B,$G$2),)</f>
        <v/>
      </c>
      <c r="D291" s="14" t="str">
        <f t="shared" si="2"/>
        <v/>
      </c>
      <c r="E291" s="14" t="str">
        <f t="shared" si="3"/>
        <v/>
      </c>
      <c r="F291" s="7" t="str">
        <f>IF($A291&lt;&gt;"",MAXIFS(Token!$B:$B,Token!$A:$A,$D291),)</f>
        <v/>
      </c>
    </row>
    <row r="292">
      <c r="A292" s="39" t="str">
        <f>IF(AND($L292*1&gt;=$G$3,$L292*1&lt;=$G$4,$I292*$J292&gt;0,OR($I292&lt;&gt;$I293,$L292-$L293&gt;25),$I292/POW(10,$J292)*MAXIFS(Token!$B:$B,Token!$A:$A,$K292)&gt;0.01),$L292/86400+DATE(1970,1,1)+$G$6,)</f>
        <v/>
      </c>
      <c r="B292" s="27" t="str">
        <f t="shared" si="1"/>
        <v/>
      </c>
      <c r="C292" s="14" t="str">
        <f>IF($A292&lt;&gt;"",MINIFS(Merchant!$A:$A,Merchant!$B:$B,$G$2),)</f>
        <v/>
      </c>
      <c r="D292" s="14" t="str">
        <f t="shared" si="2"/>
        <v/>
      </c>
      <c r="E292" s="14" t="str">
        <f t="shared" si="3"/>
        <v/>
      </c>
      <c r="F292" s="7" t="str">
        <f>IF($A292&lt;&gt;"",MAXIFS(Token!$B:$B,Token!$A:$A,$D292),)</f>
        <v/>
      </c>
    </row>
    <row r="293">
      <c r="A293" s="39" t="str">
        <f>IF(AND($L293*1&gt;=$G$3,$L293*1&lt;=$G$4,$I293*$J293&gt;0,OR($I293&lt;&gt;$I294,$L293-$L294&gt;25),$I293/POW(10,$J293)*MAXIFS(Token!$B:$B,Token!$A:$A,$K293)&gt;0.01),$L293/86400+DATE(1970,1,1)+$G$6,)</f>
        <v/>
      </c>
      <c r="B293" s="27" t="str">
        <f t="shared" si="1"/>
        <v/>
      </c>
      <c r="C293" s="14" t="str">
        <f>IF($A293&lt;&gt;"",MINIFS(Merchant!$A:$A,Merchant!$B:$B,$G$2),)</f>
        <v/>
      </c>
      <c r="D293" s="14" t="str">
        <f t="shared" si="2"/>
        <v/>
      </c>
      <c r="E293" s="14" t="str">
        <f t="shared" si="3"/>
        <v/>
      </c>
      <c r="F293" s="7" t="str">
        <f>IF($A293&lt;&gt;"",MAXIFS(Token!$B:$B,Token!$A:$A,$D293),)</f>
        <v/>
      </c>
    </row>
    <row r="294">
      <c r="A294" s="39" t="str">
        <f>IF(AND($L294*1&gt;=$G$3,$L294*1&lt;=$G$4,$I294*$J294&gt;0,OR($I294&lt;&gt;$I295,$L294-$L295&gt;25),$I294/POW(10,$J294)*MAXIFS(Token!$B:$B,Token!$A:$A,$K294)&gt;0.01),$L294/86400+DATE(1970,1,1)+$G$6,)</f>
        <v/>
      </c>
      <c r="B294" s="27" t="str">
        <f t="shared" si="1"/>
        <v/>
      </c>
      <c r="C294" s="14" t="str">
        <f>IF($A294&lt;&gt;"",MINIFS(Merchant!$A:$A,Merchant!$B:$B,$G$2),)</f>
        <v/>
      </c>
      <c r="D294" s="14" t="str">
        <f t="shared" si="2"/>
        <v/>
      </c>
      <c r="E294" s="14" t="str">
        <f t="shared" si="3"/>
        <v/>
      </c>
      <c r="F294" s="7" t="str">
        <f>IF($A294&lt;&gt;"",MAXIFS(Token!$B:$B,Token!$A:$A,$D294),)</f>
        <v/>
      </c>
    </row>
    <row r="295">
      <c r="A295" s="39" t="str">
        <f>IF(AND($L295*1&gt;=$G$3,$L295*1&lt;=$G$4,$I295*$J295&gt;0,OR($I295&lt;&gt;$I296,$L295-$L296&gt;25),$I295/POW(10,$J295)*MAXIFS(Token!$B:$B,Token!$A:$A,$K295)&gt;0.01),$L295/86400+DATE(1970,1,1)+$G$6,)</f>
        <v/>
      </c>
      <c r="B295" s="27" t="str">
        <f t="shared" si="1"/>
        <v/>
      </c>
      <c r="C295" s="14" t="str">
        <f>IF($A295&lt;&gt;"",MINIFS(Merchant!$A:$A,Merchant!$B:$B,$G$2),)</f>
        <v/>
      </c>
      <c r="D295" s="14" t="str">
        <f t="shared" si="2"/>
        <v/>
      </c>
      <c r="E295" s="14" t="str">
        <f t="shared" si="3"/>
        <v/>
      </c>
      <c r="F295" s="7" t="str">
        <f>IF($A295&lt;&gt;"",MAXIFS(Token!$B:$B,Token!$A:$A,$D295),)</f>
        <v/>
      </c>
    </row>
    <row r="296">
      <c r="A296" s="39" t="str">
        <f>IF(AND($L296*1&gt;=$G$3,$L296*1&lt;=$G$4,$I296*$J296&gt;0,OR($I296&lt;&gt;$I297,$L296-$L297&gt;25),$I296/POW(10,$J296)*MAXIFS(Token!$B:$B,Token!$A:$A,$K296)&gt;0.01),$L296/86400+DATE(1970,1,1)+$G$6,)</f>
        <v/>
      </c>
      <c r="B296" s="27" t="str">
        <f t="shared" si="1"/>
        <v/>
      </c>
      <c r="C296" s="14" t="str">
        <f>IF($A296&lt;&gt;"",MINIFS(Merchant!$A:$A,Merchant!$B:$B,$G$2),)</f>
        <v/>
      </c>
      <c r="D296" s="14" t="str">
        <f t="shared" si="2"/>
        <v/>
      </c>
      <c r="E296" s="14" t="str">
        <f t="shared" si="3"/>
        <v/>
      </c>
      <c r="F296" s="7" t="str">
        <f>IF($A296&lt;&gt;"",MAXIFS(Token!$B:$B,Token!$A:$A,$D296),)</f>
        <v/>
      </c>
    </row>
    <row r="297">
      <c r="A297" s="39" t="str">
        <f>IF(AND($L297*1&gt;=$G$3,$L297*1&lt;=$G$4,$I297*$J297&gt;0,OR($I297&lt;&gt;$I298,$L297-$L298&gt;25),$I297/POW(10,$J297)*MAXIFS(Token!$B:$B,Token!$A:$A,$K297)&gt;0.01),$L297/86400+DATE(1970,1,1)+$G$6,)</f>
        <v/>
      </c>
      <c r="B297" s="27" t="str">
        <f t="shared" si="1"/>
        <v/>
      </c>
      <c r="C297" s="14" t="str">
        <f>IF($A297&lt;&gt;"",MINIFS(Merchant!$A:$A,Merchant!$B:$B,$G$2),)</f>
        <v/>
      </c>
      <c r="D297" s="14" t="str">
        <f t="shared" si="2"/>
        <v/>
      </c>
      <c r="E297" s="14" t="str">
        <f t="shared" si="3"/>
        <v/>
      </c>
      <c r="F297" s="7" t="str">
        <f>IF($A297&lt;&gt;"",MAXIFS(Token!$B:$B,Token!$A:$A,$D297),)</f>
        <v/>
      </c>
    </row>
    <row r="298">
      <c r="A298" s="39" t="str">
        <f>IF(AND($L298*1&gt;=$G$3,$L298*1&lt;=$G$4,$I298*$J298&gt;0,OR($I298&lt;&gt;$I299,$L298-$L299&gt;25),$I298/POW(10,$J298)*MAXIFS(Token!$B:$B,Token!$A:$A,$K298)&gt;0.01),$L298/86400+DATE(1970,1,1)+$G$6,)</f>
        <v/>
      </c>
      <c r="B298" s="27" t="str">
        <f t="shared" si="1"/>
        <v/>
      </c>
      <c r="C298" s="14" t="str">
        <f>IF($A298&lt;&gt;"",MINIFS(Merchant!$A:$A,Merchant!$B:$B,$G$2),)</f>
        <v/>
      </c>
      <c r="D298" s="14" t="str">
        <f t="shared" si="2"/>
        <v/>
      </c>
      <c r="E298" s="14" t="str">
        <f t="shared" si="3"/>
        <v/>
      </c>
      <c r="F298" s="7" t="str">
        <f>IF($A298&lt;&gt;"",MAXIFS(Token!$B:$B,Token!$A:$A,$D298),)</f>
        <v/>
      </c>
    </row>
    <row r="299">
      <c r="A299" s="39" t="str">
        <f>IF(AND($L299*1&gt;=$G$3,$L299*1&lt;=$G$4,$I299*$J299&gt;0,OR($I299&lt;&gt;$I300,$L299-$L300&gt;25),$I299/POW(10,$J299)*MAXIFS(Token!$B:$B,Token!$A:$A,$K299)&gt;0.01),$L299/86400+DATE(1970,1,1)+$G$6,)</f>
        <v/>
      </c>
      <c r="B299" s="27" t="str">
        <f t="shared" si="1"/>
        <v/>
      </c>
      <c r="C299" s="14" t="str">
        <f>IF($A299&lt;&gt;"",MINIFS(Merchant!$A:$A,Merchant!$B:$B,$G$2),)</f>
        <v/>
      </c>
      <c r="D299" s="14" t="str">
        <f t="shared" si="2"/>
        <v/>
      </c>
      <c r="E299" s="14" t="str">
        <f t="shared" si="3"/>
        <v/>
      </c>
      <c r="F299" s="7" t="str">
        <f>IF($A299&lt;&gt;"",MAXIFS(Token!$B:$B,Token!$A:$A,$D299),)</f>
        <v/>
      </c>
    </row>
    <row r="300">
      <c r="A300" s="39" t="str">
        <f>IF(AND($L300*1&gt;=$G$3,$L300*1&lt;=$G$4,$I300*$J300&gt;0,OR($I300&lt;&gt;$I301,$L300-$L301&gt;25),$I300/POW(10,$J300)*MAXIFS(Token!$B:$B,Token!$A:$A,$K300)&gt;0.01),$L300/86400+DATE(1970,1,1)+$G$6,)</f>
        <v/>
      </c>
      <c r="B300" s="27" t="str">
        <f t="shared" si="1"/>
        <v/>
      </c>
      <c r="C300" s="14" t="str">
        <f>IF($A300&lt;&gt;"",MINIFS(Merchant!$A:$A,Merchant!$B:$B,$G$2),)</f>
        <v/>
      </c>
      <c r="D300" s="14" t="str">
        <f t="shared" si="2"/>
        <v/>
      </c>
      <c r="E300" s="14" t="str">
        <f t="shared" si="3"/>
        <v/>
      </c>
      <c r="F300" s="7" t="str">
        <f>IF($A300&lt;&gt;"",MAXIFS(Token!$B:$B,Token!$A:$A,$D300),)</f>
        <v/>
      </c>
    </row>
    <row r="301">
      <c r="A301" s="39" t="str">
        <f>IF(AND($L301*1&gt;=$G$3,$L301*1&lt;=$G$4,$I301*$J301&gt;0,OR($I301&lt;&gt;$I302,$L301-$L302&gt;25),$I301/POW(10,$J301)*MAXIFS(Token!$B:$B,Token!$A:$A,$K301)&gt;0.01),$L301/86400+DATE(1970,1,1)+$G$6,)</f>
        <v/>
      </c>
      <c r="B301" s="27" t="str">
        <f t="shared" si="1"/>
        <v/>
      </c>
      <c r="C301" s="14" t="str">
        <f>IF($A301&lt;&gt;"",MINIFS(Merchant!$A:$A,Merchant!$B:$B,$G$2),)</f>
        <v/>
      </c>
      <c r="D301" s="14" t="str">
        <f t="shared" si="2"/>
        <v/>
      </c>
      <c r="E301" s="14" t="str">
        <f t="shared" si="3"/>
        <v/>
      </c>
      <c r="F301" s="7" t="str">
        <f>IF($A301&lt;&gt;"",MAXIFS(Token!$B:$B,Token!$A:$A,$D301),)</f>
        <v/>
      </c>
    </row>
    <row r="302">
      <c r="A302" s="39" t="str">
        <f>IF(AND($L302*1&gt;=$G$3,$L302*1&lt;=$G$4,$I302*$J302&gt;0,OR($I302&lt;&gt;$I303,$L302-$L303&gt;25),$I302/POW(10,$J302)*MAXIFS(Token!$B:$B,Token!$A:$A,$K302)&gt;0.01),$L302/86400+DATE(1970,1,1)+$G$6,)</f>
        <v/>
      </c>
      <c r="B302" s="27" t="str">
        <f t="shared" si="1"/>
        <v/>
      </c>
      <c r="C302" s="14" t="str">
        <f>IF($A302&lt;&gt;"",MINIFS(Merchant!$A:$A,Merchant!$B:$B,$G$2),)</f>
        <v/>
      </c>
      <c r="D302" s="14" t="str">
        <f t="shared" si="2"/>
        <v/>
      </c>
      <c r="E302" s="14" t="str">
        <f t="shared" si="3"/>
        <v/>
      </c>
      <c r="F302" s="7" t="str">
        <f>IF($A302&lt;&gt;"",MAXIFS(Token!$B:$B,Token!$A:$A,$D302),)</f>
        <v/>
      </c>
    </row>
    <row r="303">
      <c r="A303" s="39" t="str">
        <f>IF(AND($L303*1&gt;=$G$3,$L303*1&lt;=$G$4,$I303*$J303&gt;0,OR($I303&lt;&gt;$I304,$L303-$L304&gt;25),$I303/POW(10,$J303)*MAXIFS(Token!$B:$B,Token!$A:$A,$K303)&gt;0.01),$L303/86400+DATE(1970,1,1)+$G$6,)</f>
        <v/>
      </c>
      <c r="B303" s="27" t="str">
        <f t="shared" si="1"/>
        <v/>
      </c>
      <c r="C303" s="14" t="str">
        <f>IF($A303&lt;&gt;"",MINIFS(Merchant!$A:$A,Merchant!$B:$B,$G$2),)</f>
        <v/>
      </c>
      <c r="D303" s="14" t="str">
        <f t="shared" si="2"/>
        <v/>
      </c>
      <c r="E303" s="14" t="str">
        <f t="shared" si="3"/>
        <v/>
      </c>
      <c r="F303" s="7" t="str">
        <f>IF($A303&lt;&gt;"",MAXIFS(Token!$B:$B,Token!$A:$A,$D303),)</f>
        <v/>
      </c>
    </row>
    <row r="304">
      <c r="A304" s="39" t="str">
        <f>IF(AND($L304*1&gt;=$G$3,$L304*1&lt;=$G$4,$I304*$J304&gt;0,OR($I304&lt;&gt;$I305,$L304-$L305&gt;25),$I304/POW(10,$J304)*MAXIFS(Token!$B:$B,Token!$A:$A,$K304)&gt;0.01),$L304/86400+DATE(1970,1,1)+$G$6,)</f>
        <v/>
      </c>
      <c r="B304" s="27" t="str">
        <f t="shared" si="1"/>
        <v/>
      </c>
      <c r="C304" s="14" t="str">
        <f>IF($A304&lt;&gt;"",MINIFS(Merchant!$A:$A,Merchant!$B:$B,$G$2),)</f>
        <v/>
      </c>
      <c r="D304" s="14" t="str">
        <f t="shared" si="2"/>
        <v/>
      </c>
      <c r="E304" s="14" t="str">
        <f t="shared" si="3"/>
        <v/>
      </c>
      <c r="F304" s="7" t="str">
        <f>IF($A304&lt;&gt;"",MAXIFS(Token!$B:$B,Token!$A:$A,$D304),)</f>
        <v/>
      </c>
    </row>
    <row r="305">
      <c r="A305" s="39" t="str">
        <f>IF(AND($L305*1&gt;=$G$3,$L305*1&lt;=$G$4,$I305*$J305&gt;0,OR($I305&lt;&gt;$I306,$L305-$L306&gt;25),$I305/POW(10,$J305)*MAXIFS(Token!$B:$B,Token!$A:$A,$K305)&gt;0.01),$L305/86400+DATE(1970,1,1)+$G$6,)</f>
        <v/>
      </c>
      <c r="B305" s="27" t="str">
        <f t="shared" si="1"/>
        <v/>
      </c>
      <c r="C305" s="14" t="str">
        <f>IF($A305&lt;&gt;"",MINIFS(Merchant!$A:$A,Merchant!$B:$B,$G$2),)</f>
        <v/>
      </c>
      <c r="D305" s="14" t="str">
        <f t="shared" si="2"/>
        <v/>
      </c>
      <c r="E305" s="14" t="str">
        <f t="shared" si="3"/>
        <v/>
      </c>
      <c r="F305" s="7" t="str">
        <f>IF($A305&lt;&gt;"",MAXIFS(Token!$B:$B,Token!$A:$A,$D305),)</f>
        <v/>
      </c>
    </row>
    <row r="306">
      <c r="A306" s="39" t="str">
        <f>IF(AND($L306*1&gt;=$G$3,$L306*1&lt;=$G$4,$I306*$J306&gt;0,OR($I306&lt;&gt;$I307,$L306-$L307&gt;25),$I306/POW(10,$J306)*MAXIFS(Token!$B:$B,Token!$A:$A,$K306)&gt;0.01),$L306/86400+DATE(1970,1,1)+$G$6,)</f>
        <v/>
      </c>
      <c r="B306" s="27" t="str">
        <f t="shared" si="1"/>
        <v/>
      </c>
      <c r="C306" s="14" t="str">
        <f>IF($A306&lt;&gt;"",MINIFS(Merchant!$A:$A,Merchant!$B:$B,$G$2),)</f>
        <v/>
      </c>
      <c r="D306" s="14" t="str">
        <f t="shared" si="2"/>
        <v/>
      </c>
      <c r="E306" s="14" t="str">
        <f t="shared" si="3"/>
        <v/>
      </c>
      <c r="F306" s="7" t="str">
        <f>IF($A306&lt;&gt;"",MAXIFS(Token!$B:$B,Token!$A:$A,$D306),)</f>
        <v/>
      </c>
    </row>
    <row r="307">
      <c r="A307" s="39" t="str">
        <f>IF(AND($L307*1&gt;=$G$3,$L307*1&lt;=$G$4,$I307*$J307&gt;0,OR($I307&lt;&gt;$I308,$L307-$L308&gt;25),$I307/POW(10,$J307)*MAXIFS(Token!$B:$B,Token!$A:$A,$K307)&gt;0.01),$L307/86400+DATE(1970,1,1)+$G$6,)</f>
        <v/>
      </c>
      <c r="B307" s="27" t="str">
        <f t="shared" si="1"/>
        <v/>
      </c>
      <c r="C307" s="14" t="str">
        <f>IF($A307&lt;&gt;"",MINIFS(Merchant!$A:$A,Merchant!$B:$B,$G$2),)</f>
        <v/>
      </c>
      <c r="D307" s="14" t="str">
        <f t="shared" si="2"/>
        <v/>
      </c>
      <c r="E307" s="14" t="str">
        <f t="shared" si="3"/>
        <v/>
      </c>
      <c r="F307" s="7" t="str">
        <f>IF($A307&lt;&gt;"",MAXIFS(Token!$B:$B,Token!$A:$A,$D307),)</f>
        <v/>
      </c>
    </row>
    <row r="308">
      <c r="A308" s="39" t="str">
        <f>IF(AND($L308*1&gt;=$G$3,$L308*1&lt;=$G$4,$I308*$J308&gt;0,OR($I308&lt;&gt;$I309,$L308-$L309&gt;25),$I308/POW(10,$J308)*MAXIFS(Token!$B:$B,Token!$A:$A,$K308)&gt;0.01),$L308/86400+DATE(1970,1,1)+$G$6,)</f>
        <v/>
      </c>
      <c r="B308" s="27" t="str">
        <f t="shared" si="1"/>
        <v/>
      </c>
      <c r="C308" s="14" t="str">
        <f>IF($A308&lt;&gt;"",MINIFS(Merchant!$A:$A,Merchant!$B:$B,$G$2),)</f>
        <v/>
      </c>
      <c r="D308" s="14" t="str">
        <f t="shared" si="2"/>
        <v/>
      </c>
      <c r="E308" s="14" t="str">
        <f t="shared" si="3"/>
        <v/>
      </c>
      <c r="F308" s="7" t="str">
        <f>IF($A308&lt;&gt;"",MAXIFS(Token!$B:$B,Token!$A:$A,$D308),)</f>
        <v/>
      </c>
    </row>
    <row r="309">
      <c r="A309" s="39" t="str">
        <f>IF(AND($L309*1&gt;=$G$3,$L309*1&lt;=$G$4,$I309*$J309&gt;0,OR($I309&lt;&gt;$I310,$L309-$L310&gt;25),$I309/POW(10,$J309)*MAXIFS(Token!$B:$B,Token!$A:$A,$K309)&gt;0.01),$L309/86400+DATE(1970,1,1)+$G$6,)</f>
        <v/>
      </c>
      <c r="B309" s="27" t="str">
        <f t="shared" si="1"/>
        <v/>
      </c>
      <c r="C309" s="14" t="str">
        <f>IF($A309&lt;&gt;"",MINIFS(Merchant!$A:$A,Merchant!$B:$B,$G$2),)</f>
        <v/>
      </c>
      <c r="D309" s="14" t="str">
        <f t="shared" si="2"/>
        <v/>
      </c>
      <c r="E309" s="14" t="str">
        <f t="shared" si="3"/>
        <v/>
      </c>
      <c r="F309" s="7" t="str">
        <f>IF($A309&lt;&gt;"",MAXIFS(Token!$B:$B,Token!$A:$A,$D309),)</f>
        <v/>
      </c>
    </row>
    <row r="310">
      <c r="A310" s="39" t="str">
        <f>IF(AND($L310*1&gt;=$G$3,$L310*1&lt;=$G$4,$I310*$J310&gt;0,OR($I310&lt;&gt;$I311,$L310-$L311&gt;25),$I310/POW(10,$J310)*MAXIFS(Token!$B:$B,Token!$A:$A,$K310)&gt;0.01),$L310/86400+DATE(1970,1,1)+$G$6,)</f>
        <v/>
      </c>
      <c r="B310" s="27" t="str">
        <f t="shared" si="1"/>
        <v/>
      </c>
      <c r="C310" s="14" t="str">
        <f>IF($A310&lt;&gt;"",MINIFS(Merchant!$A:$A,Merchant!$B:$B,$G$2),)</f>
        <v/>
      </c>
      <c r="D310" s="14" t="str">
        <f t="shared" si="2"/>
        <v/>
      </c>
      <c r="E310" s="14" t="str">
        <f t="shared" si="3"/>
        <v/>
      </c>
      <c r="F310" s="7" t="str">
        <f>IF($A310&lt;&gt;"",MAXIFS(Token!$B:$B,Token!$A:$A,$D310),)</f>
        <v/>
      </c>
    </row>
    <row r="311">
      <c r="A311" s="39" t="str">
        <f>IF(AND($L311*1&gt;=$G$3,$L311*1&lt;=$G$4,$I311*$J311&gt;0,OR($I311&lt;&gt;$I312,$L311-$L312&gt;25),$I311/POW(10,$J311)*MAXIFS(Token!$B:$B,Token!$A:$A,$K311)&gt;0.01),$L311/86400+DATE(1970,1,1)+$G$6,)</f>
        <v/>
      </c>
      <c r="B311" s="27" t="str">
        <f t="shared" si="1"/>
        <v/>
      </c>
      <c r="C311" s="14" t="str">
        <f>IF($A311&lt;&gt;"",MINIFS(Merchant!$A:$A,Merchant!$B:$B,$G$2),)</f>
        <v/>
      </c>
      <c r="D311" s="14" t="str">
        <f t="shared" si="2"/>
        <v/>
      </c>
      <c r="E311" s="14" t="str">
        <f t="shared" si="3"/>
        <v/>
      </c>
      <c r="F311" s="7" t="str">
        <f>IF($A311&lt;&gt;"",MAXIFS(Token!$B:$B,Token!$A:$A,$D311),)</f>
        <v/>
      </c>
    </row>
    <row r="312">
      <c r="A312" s="39" t="str">
        <f>IF(AND($L312*1&gt;=$G$3,$L312*1&lt;=$G$4,$I312*$J312&gt;0,OR($I312&lt;&gt;$I313,$L312-$L313&gt;25),$I312/POW(10,$J312)*MAXIFS(Token!$B:$B,Token!$A:$A,$K312)&gt;0.01),$L312/86400+DATE(1970,1,1)+$G$6,)</f>
        <v/>
      </c>
      <c r="B312" s="27" t="str">
        <f t="shared" si="1"/>
        <v/>
      </c>
      <c r="C312" s="14" t="str">
        <f>IF($A312&lt;&gt;"",MINIFS(Merchant!$A:$A,Merchant!$B:$B,$G$2),)</f>
        <v/>
      </c>
      <c r="D312" s="14" t="str">
        <f t="shared" si="2"/>
        <v/>
      </c>
      <c r="E312" s="14" t="str">
        <f t="shared" si="3"/>
        <v/>
      </c>
      <c r="F312" s="7" t="str">
        <f>IF($A312&lt;&gt;"",MAXIFS(Token!$B:$B,Token!$A:$A,$D312),)</f>
        <v/>
      </c>
    </row>
    <row r="313">
      <c r="A313" s="39" t="str">
        <f>IF(AND($L313*1&gt;=$G$3,$L313*1&lt;=$G$4,$I313*$J313&gt;0,OR($I313&lt;&gt;$I314,$L313-$L314&gt;25),$I313/POW(10,$J313)*MAXIFS(Token!$B:$B,Token!$A:$A,$K313)&gt;0.01),$L313/86400+DATE(1970,1,1)+$G$6,)</f>
        <v/>
      </c>
      <c r="B313" s="27" t="str">
        <f t="shared" si="1"/>
        <v/>
      </c>
      <c r="C313" s="14" t="str">
        <f>IF($A313&lt;&gt;"",MINIFS(Merchant!$A:$A,Merchant!$B:$B,$G$2),)</f>
        <v/>
      </c>
      <c r="D313" s="14" t="str">
        <f t="shared" si="2"/>
        <v/>
      </c>
      <c r="E313" s="14" t="str">
        <f t="shared" si="3"/>
        <v/>
      </c>
      <c r="F313" s="7" t="str">
        <f>IF($A313&lt;&gt;"",MAXIFS(Token!$B:$B,Token!$A:$A,$D313),)</f>
        <v/>
      </c>
    </row>
    <row r="314">
      <c r="A314" s="39" t="str">
        <f>IF(AND($L314*1&gt;=$G$3,$L314*1&lt;=$G$4,$I314*$J314&gt;0,OR($I314&lt;&gt;$I315,$L314-$L315&gt;25),$I314/POW(10,$J314)*MAXIFS(Token!$B:$B,Token!$A:$A,$K314)&gt;0.01),$L314/86400+DATE(1970,1,1)+$G$6,)</f>
        <v/>
      </c>
      <c r="B314" s="27" t="str">
        <f t="shared" si="1"/>
        <v/>
      </c>
      <c r="C314" s="14" t="str">
        <f>IF($A314&lt;&gt;"",MINIFS(Merchant!$A:$A,Merchant!$B:$B,$G$2),)</f>
        <v/>
      </c>
      <c r="D314" s="14" t="str">
        <f t="shared" si="2"/>
        <v/>
      </c>
      <c r="E314" s="14" t="str">
        <f t="shared" si="3"/>
        <v/>
      </c>
      <c r="F314" s="7" t="str">
        <f>IF($A314&lt;&gt;"",MAXIFS(Token!$B:$B,Token!$A:$A,$D314),)</f>
        <v/>
      </c>
    </row>
    <row r="315">
      <c r="A315" s="39" t="str">
        <f>IF(AND($L315*1&gt;=$G$3,$L315*1&lt;=$G$4,$I315*$J315&gt;0,OR($I315&lt;&gt;$I316,$L315-$L316&gt;25),$I315/POW(10,$J315)*MAXIFS(Token!$B:$B,Token!$A:$A,$K315)&gt;0.01),$L315/86400+DATE(1970,1,1)+$G$6,)</f>
        <v/>
      </c>
      <c r="B315" s="27" t="str">
        <f t="shared" si="1"/>
        <v/>
      </c>
      <c r="C315" s="14" t="str">
        <f>IF($A315&lt;&gt;"",MINIFS(Merchant!$A:$A,Merchant!$B:$B,$G$2),)</f>
        <v/>
      </c>
      <c r="D315" s="14" t="str">
        <f t="shared" si="2"/>
        <v/>
      </c>
      <c r="E315" s="14" t="str">
        <f t="shared" si="3"/>
        <v/>
      </c>
      <c r="F315" s="7" t="str">
        <f>IF($A315&lt;&gt;"",MAXIFS(Token!$B:$B,Token!$A:$A,$D315),)</f>
        <v/>
      </c>
    </row>
    <row r="316">
      <c r="A316" s="39" t="str">
        <f>IF(AND($L316*1&gt;=$G$3,$L316*1&lt;=$G$4,$I316*$J316&gt;0,OR($I316&lt;&gt;$I317,$L316-$L317&gt;25),$I316/POW(10,$J316)*MAXIFS(Token!$B:$B,Token!$A:$A,$K316)&gt;0.01),$L316/86400+DATE(1970,1,1)+$G$6,)</f>
        <v/>
      </c>
      <c r="B316" s="27" t="str">
        <f t="shared" si="1"/>
        <v/>
      </c>
      <c r="C316" s="14" t="str">
        <f>IF($A316&lt;&gt;"",MINIFS(Merchant!$A:$A,Merchant!$B:$B,$G$2),)</f>
        <v/>
      </c>
      <c r="D316" s="14" t="str">
        <f t="shared" si="2"/>
        <v/>
      </c>
      <c r="E316" s="14" t="str">
        <f t="shared" si="3"/>
        <v/>
      </c>
      <c r="F316" s="7" t="str">
        <f>IF($A316&lt;&gt;"",MAXIFS(Token!$B:$B,Token!$A:$A,$D316),)</f>
        <v/>
      </c>
    </row>
    <row r="317">
      <c r="A317" s="39" t="str">
        <f>IF(AND($L317*1&gt;=$G$3,$L317*1&lt;=$G$4,$I317*$J317&gt;0,OR($I317&lt;&gt;$I318,$L317-$L318&gt;25),$I317/POW(10,$J317)*MAXIFS(Token!$B:$B,Token!$A:$A,$K317)&gt;0.01),$L317/86400+DATE(1970,1,1)+$G$6,)</f>
        <v/>
      </c>
      <c r="B317" s="27" t="str">
        <f t="shared" si="1"/>
        <v/>
      </c>
      <c r="C317" s="14" t="str">
        <f>IF($A317&lt;&gt;"",MINIFS(Merchant!$A:$A,Merchant!$B:$B,$G$2),)</f>
        <v/>
      </c>
      <c r="D317" s="14" t="str">
        <f t="shared" si="2"/>
        <v/>
      </c>
      <c r="E317" s="14" t="str">
        <f t="shared" si="3"/>
        <v/>
      </c>
      <c r="F317" s="7" t="str">
        <f>IF($A317&lt;&gt;"",MAXIFS(Token!$B:$B,Token!$A:$A,$D317),)</f>
        <v/>
      </c>
    </row>
    <row r="318">
      <c r="A318" s="39" t="str">
        <f>IF(AND($L318*1&gt;=$G$3,$L318*1&lt;=$G$4,$I318*$J318&gt;0,OR($I318&lt;&gt;$I319,$L318-$L319&gt;25),$I318/POW(10,$J318)*MAXIFS(Token!$B:$B,Token!$A:$A,$K318)&gt;0.01),$L318/86400+DATE(1970,1,1)+$G$6,)</f>
        <v/>
      </c>
      <c r="B318" s="27" t="str">
        <f t="shared" si="1"/>
        <v/>
      </c>
      <c r="C318" s="14" t="str">
        <f>IF($A318&lt;&gt;"",MINIFS(Merchant!$A:$A,Merchant!$B:$B,$G$2),)</f>
        <v/>
      </c>
      <c r="D318" s="14" t="str">
        <f t="shared" si="2"/>
        <v/>
      </c>
      <c r="E318" s="14" t="str">
        <f t="shared" si="3"/>
        <v/>
      </c>
      <c r="F318" s="7" t="str">
        <f>IF($A318&lt;&gt;"",MAXIFS(Token!$B:$B,Token!$A:$A,$D318),)</f>
        <v/>
      </c>
    </row>
    <row r="319">
      <c r="A319" s="39" t="str">
        <f>IF(AND($L319*1&gt;=$G$3,$L319*1&lt;=$G$4,$I319*$J319&gt;0,OR($I319&lt;&gt;$I320,$L319-$L320&gt;25),$I319/POW(10,$J319)*MAXIFS(Token!$B:$B,Token!$A:$A,$K319)&gt;0.01),$L319/86400+DATE(1970,1,1)+$G$6,)</f>
        <v/>
      </c>
      <c r="B319" s="27" t="str">
        <f t="shared" si="1"/>
        <v/>
      </c>
      <c r="C319" s="14" t="str">
        <f>IF($A319&lt;&gt;"",MINIFS(Merchant!$A:$A,Merchant!$B:$B,$G$2),)</f>
        <v/>
      </c>
      <c r="D319" s="14" t="str">
        <f t="shared" si="2"/>
        <v/>
      </c>
      <c r="E319" s="14" t="str">
        <f t="shared" si="3"/>
        <v/>
      </c>
      <c r="F319" s="7" t="str">
        <f>IF($A319&lt;&gt;"",MAXIFS(Token!$B:$B,Token!$A:$A,$D319),)</f>
        <v/>
      </c>
    </row>
    <row r="320">
      <c r="A320" s="39" t="str">
        <f>IF(AND($L320*1&gt;=$G$3,$L320*1&lt;=$G$4,$I320*$J320&gt;0,OR($I320&lt;&gt;$I321,$L320-$L321&gt;25),$I320/POW(10,$J320)*MAXIFS(Token!$B:$B,Token!$A:$A,$K320)&gt;0.01),$L320/86400+DATE(1970,1,1)+$G$6,)</f>
        <v/>
      </c>
      <c r="B320" s="27" t="str">
        <f t="shared" si="1"/>
        <v/>
      </c>
      <c r="C320" s="14" t="str">
        <f>IF($A320&lt;&gt;"",MINIFS(Merchant!$A:$A,Merchant!$B:$B,$G$2),)</f>
        <v/>
      </c>
      <c r="D320" s="14" t="str">
        <f t="shared" si="2"/>
        <v/>
      </c>
      <c r="E320" s="14" t="str">
        <f t="shared" si="3"/>
        <v/>
      </c>
      <c r="F320" s="7" t="str">
        <f>IF($A320&lt;&gt;"",MAXIFS(Token!$B:$B,Token!$A:$A,$D320),)</f>
        <v/>
      </c>
    </row>
    <row r="321">
      <c r="A321" s="39" t="str">
        <f>IF(AND($L321*1&gt;=$G$3,$L321*1&lt;=$G$4,$I321*$J321&gt;0,OR($I321&lt;&gt;$I322,$L321-$L322&gt;25),$I321/POW(10,$J321)*MAXIFS(Token!$B:$B,Token!$A:$A,$K321)&gt;0.01),$L321/86400+DATE(1970,1,1)+$G$6,)</f>
        <v/>
      </c>
      <c r="B321" s="27" t="str">
        <f t="shared" si="1"/>
        <v/>
      </c>
      <c r="C321" s="14" t="str">
        <f>IF($A321&lt;&gt;"",MINIFS(Merchant!$A:$A,Merchant!$B:$B,$G$2),)</f>
        <v/>
      </c>
      <c r="D321" s="14" t="str">
        <f t="shared" si="2"/>
        <v/>
      </c>
      <c r="E321" s="14" t="str">
        <f t="shared" si="3"/>
        <v/>
      </c>
      <c r="F321" s="7" t="str">
        <f>IF($A321&lt;&gt;"",MAXIFS(Token!$B:$B,Token!$A:$A,$D321),)</f>
        <v/>
      </c>
    </row>
    <row r="322">
      <c r="A322" s="39" t="str">
        <f>IF(AND($L322*1&gt;=$G$3,$L322*1&lt;=$G$4,$I322*$J322&gt;0,OR($I322&lt;&gt;$I323,$L322-$L323&gt;25),$I322/POW(10,$J322)*MAXIFS(Token!$B:$B,Token!$A:$A,$K322)&gt;0.01),$L322/86400+DATE(1970,1,1)+$G$6,)</f>
        <v/>
      </c>
      <c r="B322" s="27" t="str">
        <f t="shared" si="1"/>
        <v/>
      </c>
      <c r="C322" s="14" t="str">
        <f>IF($A322&lt;&gt;"",MINIFS(Merchant!$A:$A,Merchant!$B:$B,$G$2),)</f>
        <v/>
      </c>
      <c r="D322" s="14" t="str">
        <f t="shared" si="2"/>
        <v/>
      </c>
      <c r="E322" s="14" t="str">
        <f t="shared" si="3"/>
        <v/>
      </c>
      <c r="F322" s="7" t="str">
        <f>IF($A322&lt;&gt;"",MAXIFS(Token!$B:$B,Token!$A:$A,$D322),)</f>
        <v/>
      </c>
    </row>
    <row r="323">
      <c r="A323" s="39" t="str">
        <f>IF(AND($L323*1&gt;=$G$3,$L323*1&lt;=$G$4,$I323*$J323&gt;0,OR($I323&lt;&gt;$I324,$L323-$L324&gt;25),$I323/POW(10,$J323)*MAXIFS(Token!$B:$B,Token!$A:$A,$K323)&gt;0.01),$L323/86400+DATE(1970,1,1)+$G$6,)</f>
        <v/>
      </c>
      <c r="B323" s="27" t="str">
        <f t="shared" si="1"/>
        <v/>
      </c>
      <c r="C323" s="14" t="str">
        <f>IF($A323&lt;&gt;"",MINIFS(Merchant!$A:$A,Merchant!$B:$B,$G$2),)</f>
        <v/>
      </c>
      <c r="D323" s="14" t="str">
        <f t="shared" si="2"/>
        <v/>
      </c>
      <c r="E323" s="14" t="str">
        <f t="shared" si="3"/>
        <v/>
      </c>
      <c r="F323" s="7" t="str">
        <f>IF($A323&lt;&gt;"",MAXIFS(Token!$B:$B,Token!$A:$A,$D323),)</f>
        <v/>
      </c>
    </row>
    <row r="324">
      <c r="A324" s="39" t="str">
        <f>IF(AND($L324*1&gt;=$G$3,$L324*1&lt;=$G$4,$I324*$J324&gt;0,OR($I324&lt;&gt;$I325,$L324-$L325&gt;25),$I324/POW(10,$J324)*MAXIFS(Token!$B:$B,Token!$A:$A,$K324)&gt;0.01),$L324/86400+DATE(1970,1,1)+$G$6,)</f>
        <v/>
      </c>
      <c r="B324" s="27" t="str">
        <f t="shared" si="1"/>
        <v/>
      </c>
      <c r="C324" s="14" t="str">
        <f>IF($A324&lt;&gt;"",MINIFS(Merchant!$A:$A,Merchant!$B:$B,$G$2),)</f>
        <v/>
      </c>
      <c r="D324" s="14" t="str">
        <f t="shared" si="2"/>
        <v/>
      </c>
      <c r="E324" s="14" t="str">
        <f t="shared" si="3"/>
        <v/>
      </c>
      <c r="F324" s="7" t="str">
        <f>IF($A324&lt;&gt;"",MAXIFS(Token!$B:$B,Token!$A:$A,$D324),)</f>
        <v/>
      </c>
    </row>
    <row r="325">
      <c r="A325" s="39" t="str">
        <f>IF(AND($L325*1&gt;=$G$3,$L325*1&lt;=$G$4,$I325*$J325&gt;0,OR($I325&lt;&gt;$I326,$L325-$L326&gt;25),$I325/POW(10,$J325)*MAXIFS(Token!$B:$B,Token!$A:$A,$K325)&gt;0.01),$L325/86400+DATE(1970,1,1)+$G$6,)</f>
        <v/>
      </c>
      <c r="B325" s="27" t="str">
        <f t="shared" si="1"/>
        <v/>
      </c>
      <c r="C325" s="14" t="str">
        <f>IF($A325&lt;&gt;"",MINIFS(Merchant!$A:$A,Merchant!$B:$B,$G$2),)</f>
        <v/>
      </c>
      <c r="D325" s="14" t="str">
        <f t="shared" si="2"/>
        <v/>
      </c>
      <c r="E325" s="14" t="str">
        <f t="shared" si="3"/>
        <v/>
      </c>
      <c r="F325" s="7" t="str">
        <f>IF($A325&lt;&gt;"",MAXIFS(Token!$B:$B,Token!$A:$A,$D325),)</f>
        <v/>
      </c>
    </row>
    <row r="326">
      <c r="A326" s="39" t="str">
        <f>IF(AND($L326*1&gt;=$G$3,$L326*1&lt;=$G$4,$I326*$J326&gt;0,OR($I326&lt;&gt;$I327,$L326-$L327&gt;25),$I326/POW(10,$J326)*MAXIFS(Token!$B:$B,Token!$A:$A,$K326)&gt;0.01),$L326/86400+DATE(1970,1,1)+$G$6,)</f>
        <v/>
      </c>
      <c r="B326" s="27" t="str">
        <f t="shared" si="1"/>
        <v/>
      </c>
      <c r="C326" s="14" t="str">
        <f>IF($A326&lt;&gt;"",MINIFS(Merchant!$A:$A,Merchant!$B:$B,$G$2),)</f>
        <v/>
      </c>
      <c r="D326" s="14" t="str">
        <f t="shared" si="2"/>
        <v/>
      </c>
      <c r="E326" s="14" t="str">
        <f t="shared" si="3"/>
        <v/>
      </c>
      <c r="F326" s="7" t="str">
        <f>IF($A326&lt;&gt;"",MAXIFS(Token!$B:$B,Token!$A:$A,$D326),)</f>
        <v/>
      </c>
    </row>
    <row r="327">
      <c r="A327" s="39" t="str">
        <f>IF(AND($L327*1&gt;=$G$3,$L327*1&lt;=$G$4,$I327*$J327&gt;0,OR($I327&lt;&gt;$I328,$L327-$L328&gt;25),$I327/POW(10,$J327)*MAXIFS(Token!$B:$B,Token!$A:$A,$K327)&gt;0.01),$L327/86400+DATE(1970,1,1)+$G$6,)</f>
        <v/>
      </c>
      <c r="B327" s="27" t="str">
        <f t="shared" si="1"/>
        <v/>
      </c>
      <c r="C327" s="14" t="str">
        <f>IF($A327&lt;&gt;"",MINIFS(Merchant!$A:$A,Merchant!$B:$B,$G$2),)</f>
        <v/>
      </c>
      <c r="D327" s="14" t="str">
        <f t="shared" si="2"/>
        <v/>
      </c>
      <c r="E327" s="14" t="str">
        <f t="shared" si="3"/>
        <v/>
      </c>
      <c r="F327" s="7" t="str">
        <f>IF($A327&lt;&gt;"",MAXIFS(Token!$B:$B,Token!$A:$A,$D327),)</f>
        <v/>
      </c>
    </row>
    <row r="328">
      <c r="A328" s="39" t="str">
        <f>IF(AND($L328*1&gt;=$G$3,$L328*1&lt;=$G$4,$I328*$J328&gt;0,OR($I328&lt;&gt;$I329,$L328-$L329&gt;25),$I328/POW(10,$J328)*MAXIFS(Token!$B:$B,Token!$A:$A,$K328)&gt;0.01),$L328/86400+DATE(1970,1,1)+$G$6,)</f>
        <v/>
      </c>
      <c r="B328" s="27" t="str">
        <f t="shared" si="1"/>
        <v/>
      </c>
      <c r="C328" s="14" t="str">
        <f>IF($A328&lt;&gt;"",MINIFS(Merchant!$A:$A,Merchant!$B:$B,$G$2),)</f>
        <v/>
      </c>
      <c r="D328" s="14" t="str">
        <f t="shared" si="2"/>
        <v/>
      </c>
      <c r="E328" s="14" t="str">
        <f t="shared" si="3"/>
        <v/>
      </c>
      <c r="F328" s="7" t="str">
        <f>IF($A328&lt;&gt;"",MAXIFS(Token!$B:$B,Token!$A:$A,$D328),)</f>
        <v/>
      </c>
    </row>
    <row r="329">
      <c r="A329" s="39" t="str">
        <f>IF(AND($L329*1&gt;=$G$3,$L329*1&lt;=$G$4,$I329*$J329&gt;0,OR($I329&lt;&gt;$I330,$L329-$L330&gt;25),$I329/POW(10,$J329)*MAXIFS(Token!$B:$B,Token!$A:$A,$K329)&gt;0.01),$L329/86400+DATE(1970,1,1)+$G$6,)</f>
        <v/>
      </c>
      <c r="B329" s="27" t="str">
        <f t="shared" si="1"/>
        <v/>
      </c>
      <c r="C329" s="14" t="str">
        <f>IF($A329&lt;&gt;"",MINIFS(Merchant!$A:$A,Merchant!$B:$B,$G$2),)</f>
        <v/>
      </c>
      <c r="D329" s="14" t="str">
        <f t="shared" si="2"/>
        <v/>
      </c>
      <c r="E329" s="14" t="str">
        <f t="shared" si="3"/>
        <v/>
      </c>
      <c r="F329" s="7" t="str">
        <f>IF($A329&lt;&gt;"",MAXIFS(Token!$B:$B,Token!$A:$A,$D329),)</f>
        <v/>
      </c>
    </row>
    <row r="330">
      <c r="A330" s="39" t="str">
        <f>IF(AND($L330*1&gt;=$G$3,$L330*1&lt;=$G$4,$I330*$J330&gt;0,OR($I330&lt;&gt;$I331,$L330-$L331&gt;25),$I330/POW(10,$J330)*MAXIFS(Token!$B:$B,Token!$A:$A,$K330)&gt;0.01),$L330/86400+DATE(1970,1,1)+$G$6,)</f>
        <v/>
      </c>
      <c r="B330" s="27" t="str">
        <f t="shared" si="1"/>
        <v/>
      </c>
      <c r="C330" s="14" t="str">
        <f>IF($A330&lt;&gt;"",MINIFS(Merchant!$A:$A,Merchant!$B:$B,$G$2),)</f>
        <v/>
      </c>
      <c r="D330" s="14" t="str">
        <f t="shared" si="2"/>
        <v/>
      </c>
      <c r="E330" s="14" t="str">
        <f t="shared" si="3"/>
        <v/>
      </c>
      <c r="F330" s="7" t="str">
        <f>IF($A330&lt;&gt;"",MAXIFS(Token!$B:$B,Token!$A:$A,$D330),)</f>
        <v/>
      </c>
    </row>
    <row r="331">
      <c r="A331" s="39" t="str">
        <f>IF(AND($L331*1&gt;=$G$3,$L331*1&lt;=$G$4,$I331*$J331&gt;0,OR($I331&lt;&gt;$I332,$L331-$L332&gt;25),$I331/POW(10,$J331)*MAXIFS(Token!$B:$B,Token!$A:$A,$K331)&gt;0.01),$L331/86400+DATE(1970,1,1)+$G$6,)</f>
        <v/>
      </c>
      <c r="B331" s="27" t="str">
        <f t="shared" si="1"/>
        <v/>
      </c>
      <c r="C331" s="14" t="str">
        <f>IF($A331&lt;&gt;"",MINIFS(Merchant!$A:$A,Merchant!$B:$B,$G$2),)</f>
        <v/>
      </c>
      <c r="D331" s="14" t="str">
        <f t="shared" si="2"/>
        <v/>
      </c>
      <c r="E331" s="14" t="str">
        <f t="shared" si="3"/>
        <v/>
      </c>
      <c r="F331" s="7" t="str">
        <f>IF($A331&lt;&gt;"",MAXIFS(Token!$B:$B,Token!$A:$A,$D331),)</f>
        <v/>
      </c>
    </row>
    <row r="332">
      <c r="A332" s="39" t="str">
        <f>IF(AND($L332*1&gt;=$G$3,$L332*1&lt;=$G$4,$I332*$J332&gt;0,OR($I332&lt;&gt;$I333,$L332-$L333&gt;25),$I332/POW(10,$J332)*MAXIFS(Token!$B:$B,Token!$A:$A,$K332)&gt;0.01),$L332/86400+DATE(1970,1,1)+$G$6,)</f>
        <v/>
      </c>
      <c r="B332" s="27" t="str">
        <f t="shared" si="1"/>
        <v/>
      </c>
      <c r="C332" s="14" t="str">
        <f>IF($A332&lt;&gt;"",MINIFS(Merchant!$A:$A,Merchant!$B:$B,$G$2),)</f>
        <v/>
      </c>
      <c r="D332" s="14" t="str">
        <f t="shared" si="2"/>
        <v/>
      </c>
      <c r="E332" s="14" t="str">
        <f t="shared" si="3"/>
        <v/>
      </c>
      <c r="F332" s="7" t="str">
        <f>IF($A332&lt;&gt;"",MAXIFS(Token!$B:$B,Token!$A:$A,$D332),)</f>
        <v/>
      </c>
    </row>
    <row r="333">
      <c r="A333" s="39" t="str">
        <f>IF(AND($L333*1&gt;=$G$3,$L333*1&lt;=$G$4,$I333*$J333&gt;0,OR($I333&lt;&gt;$I334,$L333-$L334&gt;25),$I333/POW(10,$J333)*MAXIFS(Token!$B:$B,Token!$A:$A,$K333)&gt;0.01),$L333/86400+DATE(1970,1,1)+$G$6,)</f>
        <v/>
      </c>
      <c r="B333" s="27" t="str">
        <f t="shared" si="1"/>
        <v/>
      </c>
      <c r="C333" s="14" t="str">
        <f>IF($A333&lt;&gt;"",MINIFS(Merchant!$A:$A,Merchant!$B:$B,$G$2),)</f>
        <v/>
      </c>
      <c r="D333" s="14" t="str">
        <f t="shared" si="2"/>
        <v/>
      </c>
      <c r="E333" s="14" t="str">
        <f t="shared" si="3"/>
        <v/>
      </c>
      <c r="F333" s="7" t="str">
        <f>IF($A333&lt;&gt;"",MAXIFS(Token!$B:$B,Token!$A:$A,$D333),)</f>
        <v/>
      </c>
    </row>
    <row r="334">
      <c r="A334" s="39" t="str">
        <f>IF(AND($L334*1&gt;=$G$3,$L334*1&lt;=$G$4,$I334*$J334&gt;0,OR($I334&lt;&gt;$I335,$L334-$L335&gt;25),$I334/POW(10,$J334)*MAXIFS(Token!$B:$B,Token!$A:$A,$K334)&gt;0.01),$L334/86400+DATE(1970,1,1)+$G$6,)</f>
        <v/>
      </c>
      <c r="B334" s="27" t="str">
        <f t="shared" si="1"/>
        <v/>
      </c>
      <c r="C334" s="14" t="str">
        <f>IF($A334&lt;&gt;"",MINIFS(Merchant!$A:$A,Merchant!$B:$B,$G$2),)</f>
        <v/>
      </c>
      <c r="D334" s="14" t="str">
        <f t="shared" si="2"/>
        <v/>
      </c>
      <c r="E334" s="14" t="str">
        <f t="shared" si="3"/>
        <v/>
      </c>
      <c r="F334" s="7" t="str">
        <f>IF($A334&lt;&gt;"",MAXIFS(Token!$B:$B,Token!$A:$A,$D334),)</f>
        <v/>
      </c>
    </row>
    <row r="335">
      <c r="A335" s="39" t="str">
        <f>IF(AND($L335*1&gt;=$G$3,$L335*1&lt;=$G$4,$I335*$J335&gt;0,OR($I335&lt;&gt;$I336,$L335-$L336&gt;25),$I335/POW(10,$J335)*MAXIFS(Token!$B:$B,Token!$A:$A,$K335)&gt;0.01),$L335/86400+DATE(1970,1,1)+$G$6,)</f>
        <v/>
      </c>
      <c r="B335" s="27" t="str">
        <f t="shared" si="1"/>
        <v/>
      </c>
      <c r="C335" s="14" t="str">
        <f>IF($A335&lt;&gt;"",MINIFS(Merchant!$A:$A,Merchant!$B:$B,$G$2),)</f>
        <v/>
      </c>
      <c r="D335" s="14" t="str">
        <f t="shared" si="2"/>
        <v/>
      </c>
      <c r="E335" s="14" t="str">
        <f t="shared" si="3"/>
        <v/>
      </c>
      <c r="F335" s="7" t="str">
        <f>IF($A335&lt;&gt;"",MAXIFS(Token!$B:$B,Token!$A:$A,$D335),)</f>
        <v/>
      </c>
    </row>
    <row r="336">
      <c r="A336" s="39" t="str">
        <f>IF(AND($L336*1&gt;=$G$3,$L336*1&lt;=$G$4,$I336*$J336&gt;0,OR($I336&lt;&gt;$I337,$L336-$L337&gt;25),$I336/POW(10,$J336)*MAXIFS(Token!$B:$B,Token!$A:$A,$K336)&gt;0.01),$L336/86400+DATE(1970,1,1)+$G$6,)</f>
        <v/>
      </c>
      <c r="B336" s="27" t="str">
        <f t="shared" si="1"/>
        <v/>
      </c>
      <c r="C336" s="14" t="str">
        <f>IF($A336&lt;&gt;"",MINIFS(Merchant!$A:$A,Merchant!$B:$B,$G$2),)</f>
        <v/>
      </c>
      <c r="D336" s="14" t="str">
        <f t="shared" si="2"/>
        <v/>
      </c>
      <c r="E336" s="14" t="str">
        <f t="shared" si="3"/>
        <v/>
      </c>
      <c r="F336" s="7" t="str">
        <f>IF($A336&lt;&gt;"",MAXIFS(Token!$B:$B,Token!$A:$A,$D336),)</f>
        <v/>
      </c>
    </row>
    <row r="337">
      <c r="A337" s="39" t="str">
        <f>IF(AND($L337*1&gt;=$G$3,$L337*1&lt;=$G$4,$I337*$J337&gt;0,OR($I337&lt;&gt;$I338,$L337-$L338&gt;25),$I337/POW(10,$J337)*MAXIFS(Token!$B:$B,Token!$A:$A,$K337)&gt;0.01),$L337/86400+DATE(1970,1,1)+$G$6,)</f>
        <v/>
      </c>
      <c r="B337" s="27" t="str">
        <f t="shared" si="1"/>
        <v/>
      </c>
      <c r="C337" s="14" t="str">
        <f>IF($A337&lt;&gt;"",MINIFS(Merchant!$A:$A,Merchant!$B:$B,$G$2),)</f>
        <v/>
      </c>
      <c r="D337" s="14" t="str">
        <f t="shared" si="2"/>
        <v/>
      </c>
      <c r="E337" s="14" t="str">
        <f t="shared" si="3"/>
        <v/>
      </c>
      <c r="F337" s="7" t="str">
        <f>IF($A337&lt;&gt;"",MAXIFS(Token!$B:$B,Token!$A:$A,$D337),)</f>
        <v/>
      </c>
    </row>
    <row r="338">
      <c r="A338" s="39" t="str">
        <f>IF(AND($L338*1&gt;=$G$3,$L338*1&lt;=$G$4,$I338*$J338&gt;0,OR($I338&lt;&gt;$I339,$L338-$L339&gt;25),$I338/POW(10,$J338)*MAXIFS(Token!$B:$B,Token!$A:$A,$K338)&gt;0.01),$L338/86400+DATE(1970,1,1)+$G$6,)</f>
        <v/>
      </c>
      <c r="B338" s="27" t="str">
        <f t="shared" si="1"/>
        <v/>
      </c>
      <c r="C338" s="14" t="str">
        <f>IF($A338&lt;&gt;"",MINIFS(Merchant!$A:$A,Merchant!$B:$B,$G$2),)</f>
        <v/>
      </c>
      <c r="D338" s="14" t="str">
        <f t="shared" si="2"/>
        <v/>
      </c>
      <c r="E338" s="14" t="str">
        <f t="shared" si="3"/>
        <v/>
      </c>
      <c r="F338" s="7" t="str">
        <f>IF($A338&lt;&gt;"",MAXIFS(Token!$B:$B,Token!$A:$A,$D338),)</f>
        <v/>
      </c>
    </row>
    <row r="339">
      <c r="A339" s="39" t="str">
        <f>IF(AND($L339*1&gt;=$G$3,$L339*1&lt;=$G$4,$I339*$J339&gt;0,OR($I339&lt;&gt;$I340,$L339-$L340&gt;25),$I339/POW(10,$J339)*MAXIFS(Token!$B:$B,Token!$A:$A,$K339)&gt;0.01),$L339/86400+DATE(1970,1,1)+$G$6,)</f>
        <v/>
      </c>
      <c r="B339" s="27" t="str">
        <f t="shared" si="1"/>
        <v/>
      </c>
      <c r="C339" s="14" t="str">
        <f>IF($A339&lt;&gt;"",MINIFS(Merchant!$A:$A,Merchant!$B:$B,$G$2),)</f>
        <v/>
      </c>
      <c r="D339" s="14" t="str">
        <f t="shared" si="2"/>
        <v/>
      </c>
      <c r="E339" s="14" t="str">
        <f t="shared" si="3"/>
        <v/>
      </c>
      <c r="F339" s="7" t="str">
        <f>IF($A339&lt;&gt;"",MAXIFS(Token!$B:$B,Token!$A:$A,$D339),)</f>
        <v/>
      </c>
    </row>
    <row r="340">
      <c r="A340" s="39" t="str">
        <f>IF(AND($L340*1&gt;=$G$3,$L340*1&lt;=$G$4,$I340*$J340&gt;0,OR($I340&lt;&gt;$I341,$L340-$L341&gt;25),$I340/POW(10,$J340)*MAXIFS(Token!$B:$B,Token!$A:$A,$K340)&gt;0.01),$L340/86400+DATE(1970,1,1)+$G$6,)</f>
        <v/>
      </c>
      <c r="B340" s="27" t="str">
        <f t="shared" si="1"/>
        <v/>
      </c>
      <c r="C340" s="14" t="str">
        <f>IF($A340&lt;&gt;"",MINIFS(Merchant!$A:$A,Merchant!$B:$B,$G$2),)</f>
        <v/>
      </c>
      <c r="D340" s="14" t="str">
        <f t="shared" si="2"/>
        <v/>
      </c>
      <c r="E340" s="14" t="str">
        <f t="shared" si="3"/>
        <v/>
      </c>
      <c r="F340" s="7" t="str">
        <f>IF($A340&lt;&gt;"",MAXIFS(Token!$B:$B,Token!$A:$A,$D340),)</f>
        <v/>
      </c>
    </row>
    <row r="341">
      <c r="A341" s="39" t="str">
        <f>IF(AND($L341*1&gt;=$G$3,$L341*1&lt;=$G$4,$I341*$J341&gt;0,OR($I341&lt;&gt;$I342,$L341-$L342&gt;25),$I341/POW(10,$J341)*MAXIFS(Token!$B:$B,Token!$A:$A,$K341)&gt;0.01),$L341/86400+DATE(1970,1,1)+$G$6,)</f>
        <v/>
      </c>
      <c r="B341" s="27" t="str">
        <f t="shared" si="1"/>
        <v/>
      </c>
      <c r="C341" s="14" t="str">
        <f>IF($A341&lt;&gt;"",MINIFS(Merchant!$A:$A,Merchant!$B:$B,$G$2),)</f>
        <v/>
      </c>
      <c r="D341" s="14" t="str">
        <f t="shared" si="2"/>
        <v/>
      </c>
      <c r="E341" s="14" t="str">
        <f t="shared" si="3"/>
        <v/>
      </c>
      <c r="F341" s="7" t="str">
        <f>IF($A341&lt;&gt;"",MAXIFS(Token!$B:$B,Token!$A:$A,$D341),)</f>
        <v/>
      </c>
    </row>
    <row r="342">
      <c r="A342" s="39" t="str">
        <f>IF(AND($L342*1&gt;=$G$3,$L342*1&lt;=$G$4,$I342*$J342&gt;0,OR($I342&lt;&gt;$I343,$L342-$L343&gt;25),$I342/POW(10,$J342)*MAXIFS(Token!$B:$B,Token!$A:$A,$K342)&gt;0.01),$L342/86400+DATE(1970,1,1)+$G$6,)</f>
        <v/>
      </c>
      <c r="B342" s="27" t="str">
        <f t="shared" si="1"/>
        <v/>
      </c>
      <c r="C342" s="14" t="str">
        <f>IF($A342&lt;&gt;"",MINIFS(Merchant!$A:$A,Merchant!$B:$B,$G$2),)</f>
        <v/>
      </c>
      <c r="D342" s="14" t="str">
        <f t="shared" si="2"/>
        <v/>
      </c>
      <c r="E342" s="14" t="str">
        <f t="shared" si="3"/>
        <v/>
      </c>
      <c r="F342" s="7" t="str">
        <f>IF($A342&lt;&gt;"",MAXIFS(Token!$B:$B,Token!$A:$A,$D342),)</f>
        <v/>
      </c>
    </row>
    <row r="343">
      <c r="A343" s="39" t="str">
        <f>IF(AND($L343*1&gt;=$G$3,$L343*1&lt;=$G$4,$I343*$J343&gt;0,OR($I343&lt;&gt;$I344,$L343-$L344&gt;25),$I343/POW(10,$J343)*MAXIFS(Token!$B:$B,Token!$A:$A,$K343)&gt;0.01),$L343/86400+DATE(1970,1,1)+$G$6,)</f>
        <v/>
      </c>
      <c r="B343" s="27" t="str">
        <f t="shared" si="1"/>
        <v/>
      </c>
      <c r="C343" s="14" t="str">
        <f>IF($A343&lt;&gt;"",MINIFS(Merchant!$A:$A,Merchant!$B:$B,$G$2),)</f>
        <v/>
      </c>
      <c r="D343" s="14" t="str">
        <f t="shared" si="2"/>
        <v/>
      </c>
      <c r="E343" s="14" t="str">
        <f t="shared" si="3"/>
        <v/>
      </c>
      <c r="F343" s="7" t="str">
        <f>IF($A343&lt;&gt;"",MAXIFS(Token!$B:$B,Token!$A:$A,$D343),)</f>
        <v/>
      </c>
    </row>
    <row r="344">
      <c r="A344" s="39" t="str">
        <f>IF(AND($L344*1&gt;=$G$3,$L344*1&lt;=$G$4,$I344*$J344&gt;0,OR($I344&lt;&gt;$I345,$L344-$L345&gt;25),$I344/POW(10,$J344)*MAXIFS(Token!$B:$B,Token!$A:$A,$K344)&gt;0.01),$L344/86400+DATE(1970,1,1)+$G$6,)</f>
        <v/>
      </c>
      <c r="B344" s="27" t="str">
        <f t="shared" si="1"/>
        <v/>
      </c>
      <c r="C344" s="14" t="str">
        <f>IF($A344&lt;&gt;"",MINIFS(Merchant!$A:$A,Merchant!$B:$B,$G$2),)</f>
        <v/>
      </c>
      <c r="D344" s="14" t="str">
        <f t="shared" si="2"/>
        <v/>
      </c>
      <c r="E344" s="14" t="str">
        <f t="shared" si="3"/>
        <v/>
      </c>
      <c r="F344" s="7" t="str">
        <f>IF($A344&lt;&gt;"",MAXIFS(Token!$B:$B,Token!$A:$A,$D344),)</f>
        <v/>
      </c>
    </row>
    <row r="345">
      <c r="A345" s="39" t="str">
        <f>IF(AND($L345*1&gt;=$G$3,$L345*1&lt;=$G$4,$I345*$J345&gt;0,OR($I345&lt;&gt;$I346,$L345-$L346&gt;25),$I345/POW(10,$J345)*MAXIFS(Token!$B:$B,Token!$A:$A,$K345)&gt;0.01),$L345/86400+DATE(1970,1,1)+$G$6,)</f>
        <v/>
      </c>
      <c r="B345" s="27" t="str">
        <f t="shared" si="1"/>
        <v/>
      </c>
      <c r="C345" s="14" t="str">
        <f>IF($A345&lt;&gt;"",MINIFS(Merchant!$A:$A,Merchant!$B:$B,$G$2),)</f>
        <v/>
      </c>
      <c r="D345" s="14" t="str">
        <f t="shared" si="2"/>
        <v/>
      </c>
      <c r="E345" s="14" t="str">
        <f t="shared" si="3"/>
        <v/>
      </c>
      <c r="F345" s="7" t="str">
        <f>IF($A345&lt;&gt;"",MAXIFS(Token!$B:$B,Token!$A:$A,$D345),)</f>
        <v/>
      </c>
    </row>
    <row r="346">
      <c r="A346" s="39" t="str">
        <f>IF(AND($L346*1&gt;=$G$3,$L346*1&lt;=$G$4,$I346*$J346&gt;0,OR($I346&lt;&gt;$I347,$L346-$L347&gt;25),$I346/POW(10,$J346)*MAXIFS(Token!$B:$B,Token!$A:$A,$K346)&gt;0.01),$L346/86400+DATE(1970,1,1)+$G$6,)</f>
        <v/>
      </c>
      <c r="B346" s="27" t="str">
        <f t="shared" si="1"/>
        <v/>
      </c>
      <c r="C346" s="14" t="str">
        <f>IF($A346&lt;&gt;"",MINIFS(Merchant!$A:$A,Merchant!$B:$B,$G$2),)</f>
        <v/>
      </c>
      <c r="D346" s="14" t="str">
        <f t="shared" si="2"/>
        <v/>
      </c>
      <c r="E346" s="14" t="str">
        <f t="shared" si="3"/>
        <v/>
      </c>
      <c r="F346" s="7" t="str">
        <f>IF($A346&lt;&gt;"",MAXIFS(Token!$B:$B,Token!$A:$A,$D346),)</f>
        <v/>
      </c>
    </row>
    <row r="347">
      <c r="A347" s="39" t="str">
        <f>IF(AND($L347*1&gt;=$G$3,$L347*1&lt;=$G$4,$I347*$J347&gt;0,OR($I347&lt;&gt;$I348,$L347-$L348&gt;25),$I347/POW(10,$J347)*MAXIFS(Token!$B:$B,Token!$A:$A,$K347)&gt;0.01),$L347/86400+DATE(1970,1,1)+$G$6,)</f>
        <v/>
      </c>
      <c r="B347" s="27" t="str">
        <f t="shared" si="1"/>
        <v/>
      </c>
      <c r="C347" s="14" t="str">
        <f>IF($A347&lt;&gt;"",MINIFS(Merchant!$A:$A,Merchant!$B:$B,$G$2),)</f>
        <v/>
      </c>
      <c r="D347" s="14" t="str">
        <f t="shared" si="2"/>
        <v/>
      </c>
      <c r="E347" s="14" t="str">
        <f t="shared" si="3"/>
        <v/>
      </c>
      <c r="F347" s="7" t="str">
        <f>IF($A347&lt;&gt;"",MAXIFS(Token!$B:$B,Token!$A:$A,$D347),)</f>
        <v/>
      </c>
    </row>
    <row r="348">
      <c r="A348" s="39" t="str">
        <f>IF(AND($L348*1&gt;=$G$3,$L348*1&lt;=$G$4,$I348*$J348&gt;0,OR($I348&lt;&gt;$I349,$L348-$L349&gt;25),$I348/POW(10,$J348)*MAXIFS(Token!$B:$B,Token!$A:$A,$K348)&gt;0.01),$L348/86400+DATE(1970,1,1)+$G$6,)</f>
        <v/>
      </c>
      <c r="B348" s="27" t="str">
        <f t="shared" si="1"/>
        <v/>
      </c>
      <c r="C348" s="14" t="str">
        <f>IF($A348&lt;&gt;"",MINIFS(Merchant!$A:$A,Merchant!$B:$B,$G$2),)</f>
        <v/>
      </c>
      <c r="D348" s="14" t="str">
        <f t="shared" si="2"/>
        <v/>
      </c>
      <c r="E348" s="14" t="str">
        <f t="shared" si="3"/>
        <v/>
      </c>
      <c r="F348" s="7" t="str">
        <f>IF($A348&lt;&gt;"",MAXIFS(Token!$B:$B,Token!$A:$A,$D348),)</f>
        <v/>
      </c>
    </row>
    <row r="349">
      <c r="A349" s="39" t="str">
        <f>IF(AND($L349*1&gt;=$G$3,$L349*1&lt;=$G$4,$I349*$J349&gt;0,OR($I349&lt;&gt;$I350,$L349-$L350&gt;25),$I349/POW(10,$J349)*MAXIFS(Token!$B:$B,Token!$A:$A,$K349)&gt;0.01),$L349/86400+DATE(1970,1,1)+$G$6,)</f>
        <v/>
      </c>
      <c r="B349" s="27" t="str">
        <f t="shared" si="1"/>
        <v/>
      </c>
      <c r="C349" s="14" t="str">
        <f>IF($A349&lt;&gt;"",MINIFS(Merchant!$A:$A,Merchant!$B:$B,$G$2),)</f>
        <v/>
      </c>
      <c r="D349" s="14" t="str">
        <f t="shared" si="2"/>
        <v/>
      </c>
      <c r="E349" s="14" t="str">
        <f t="shared" si="3"/>
        <v/>
      </c>
      <c r="F349" s="7" t="str">
        <f>IF($A349&lt;&gt;"",MAXIFS(Token!$B:$B,Token!$A:$A,$D349),)</f>
        <v/>
      </c>
    </row>
    <row r="350">
      <c r="A350" s="39" t="str">
        <f>IF(AND($L350*1&gt;=$G$3,$L350*1&lt;=$G$4,$I350*$J350&gt;0,OR($I350&lt;&gt;$I351,$L350-$L351&gt;25),$I350/POW(10,$J350)*MAXIFS(Token!$B:$B,Token!$A:$A,$K350)&gt;0.01),$L350/86400+DATE(1970,1,1)+$G$6,)</f>
        <v/>
      </c>
      <c r="B350" s="27" t="str">
        <f t="shared" si="1"/>
        <v/>
      </c>
      <c r="C350" s="14" t="str">
        <f>IF($A350&lt;&gt;"",MINIFS(Merchant!$A:$A,Merchant!$B:$B,$G$2),)</f>
        <v/>
      </c>
      <c r="D350" s="14" t="str">
        <f t="shared" si="2"/>
        <v/>
      </c>
      <c r="E350" s="14" t="str">
        <f t="shared" si="3"/>
        <v/>
      </c>
      <c r="F350" s="7" t="str">
        <f>IF($A350&lt;&gt;"",MAXIFS(Token!$B:$B,Token!$A:$A,$D350),)</f>
        <v/>
      </c>
    </row>
    <row r="351">
      <c r="A351" s="39" t="str">
        <f>IF(AND($L351*1&gt;=$G$3,$L351*1&lt;=$G$4,$I351*$J351&gt;0,OR($I351&lt;&gt;$I352,$L351-$L352&gt;25),$I351/POW(10,$J351)*MAXIFS(Token!$B:$B,Token!$A:$A,$K351)&gt;0.01),$L351/86400+DATE(1970,1,1)+$G$6,)</f>
        <v/>
      </c>
      <c r="B351" s="27" t="str">
        <f t="shared" si="1"/>
        <v/>
      </c>
      <c r="C351" s="14" t="str">
        <f>IF($A351&lt;&gt;"",MINIFS(Merchant!$A:$A,Merchant!$B:$B,$G$2),)</f>
        <v/>
      </c>
      <c r="D351" s="14" t="str">
        <f t="shared" si="2"/>
        <v/>
      </c>
      <c r="E351" s="14" t="str">
        <f t="shared" si="3"/>
        <v/>
      </c>
      <c r="F351" s="7" t="str">
        <f>IF($A351&lt;&gt;"",MAXIFS(Token!$B:$B,Token!$A:$A,$D351),)</f>
        <v/>
      </c>
    </row>
    <row r="352">
      <c r="A352" s="39" t="str">
        <f>IF(AND($L352*1&gt;=$G$3,$L352*1&lt;=$G$4,$I352*$J352&gt;0,OR($I352&lt;&gt;$I353,$L352-$L353&gt;25),$I352/POW(10,$J352)*MAXIFS(Token!$B:$B,Token!$A:$A,$K352)&gt;0.01),$L352/86400+DATE(1970,1,1)+$G$6,)</f>
        <v/>
      </c>
      <c r="B352" s="27" t="str">
        <f t="shared" si="1"/>
        <v/>
      </c>
      <c r="C352" s="14" t="str">
        <f>IF($A352&lt;&gt;"",MINIFS(Merchant!$A:$A,Merchant!$B:$B,$G$2),)</f>
        <v/>
      </c>
      <c r="D352" s="14" t="str">
        <f t="shared" si="2"/>
        <v/>
      </c>
      <c r="E352" s="14" t="str">
        <f t="shared" si="3"/>
        <v/>
      </c>
      <c r="F352" s="7" t="str">
        <f>IF($A352&lt;&gt;"",MAXIFS(Token!$B:$B,Token!$A:$A,$D352),)</f>
        <v/>
      </c>
    </row>
    <row r="353">
      <c r="A353" s="39" t="str">
        <f>IF(AND($L353*1&gt;=$G$3,$L353*1&lt;=$G$4,$I353*$J353&gt;0,OR($I353&lt;&gt;$I354,$L353-$L354&gt;25),$I353/POW(10,$J353)*MAXIFS(Token!$B:$B,Token!$A:$A,$K353)&gt;0.01),$L353/86400+DATE(1970,1,1)+$G$6,)</f>
        <v/>
      </c>
      <c r="B353" s="27" t="str">
        <f t="shared" si="1"/>
        <v/>
      </c>
      <c r="C353" s="14" t="str">
        <f>IF($A353&lt;&gt;"",MINIFS(Merchant!$A:$A,Merchant!$B:$B,$G$2),)</f>
        <v/>
      </c>
      <c r="D353" s="14" t="str">
        <f t="shared" si="2"/>
        <v/>
      </c>
      <c r="E353" s="14" t="str">
        <f t="shared" si="3"/>
        <v/>
      </c>
      <c r="F353" s="7" t="str">
        <f>IF($A353&lt;&gt;"",MAXIFS(Token!$B:$B,Token!$A:$A,$D353),)</f>
        <v/>
      </c>
    </row>
    <row r="354">
      <c r="A354" s="39" t="str">
        <f>IF(AND($L354*1&gt;=$G$3,$L354*1&lt;=$G$4,$I354*$J354&gt;0,OR($I354&lt;&gt;$I355,$L354-$L355&gt;25),$I354/POW(10,$J354)*MAXIFS(Token!$B:$B,Token!$A:$A,$K354)&gt;0.01),$L354/86400+DATE(1970,1,1)+$G$6,)</f>
        <v/>
      </c>
      <c r="B354" s="27" t="str">
        <f t="shared" si="1"/>
        <v/>
      </c>
      <c r="C354" s="14" t="str">
        <f>IF($A354&lt;&gt;"",MINIFS(Merchant!$A:$A,Merchant!$B:$B,$G$2),)</f>
        <v/>
      </c>
      <c r="D354" s="14" t="str">
        <f t="shared" si="2"/>
        <v/>
      </c>
      <c r="E354" s="14" t="str">
        <f t="shared" si="3"/>
        <v/>
      </c>
      <c r="F354" s="7" t="str">
        <f>IF($A354&lt;&gt;"",MAXIFS(Token!$B:$B,Token!$A:$A,$D354),)</f>
        <v/>
      </c>
    </row>
    <row r="355">
      <c r="A355" s="39" t="str">
        <f>IF(AND($L355*1&gt;=$G$3,$L355*1&lt;=$G$4,$I355*$J355&gt;0,OR($I355&lt;&gt;$I356,$L355-$L356&gt;25),$I355/POW(10,$J355)*MAXIFS(Token!$B:$B,Token!$A:$A,$K355)&gt;0.01),$L355/86400+DATE(1970,1,1)+$G$6,)</f>
        <v/>
      </c>
      <c r="B355" s="27" t="str">
        <f t="shared" si="1"/>
        <v/>
      </c>
      <c r="C355" s="14" t="str">
        <f>IF($A355&lt;&gt;"",MINIFS(Merchant!$A:$A,Merchant!$B:$B,$G$2),)</f>
        <v/>
      </c>
      <c r="D355" s="14" t="str">
        <f t="shared" si="2"/>
        <v/>
      </c>
      <c r="E355" s="14" t="str">
        <f t="shared" si="3"/>
        <v/>
      </c>
      <c r="F355" s="7" t="str">
        <f>IF($A355&lt;&gt;"",MAXIFS(Token!$B:$B,Token!$A:$A,$D355),)</f>
        <v/>
      </c>
    </row>
    <row r="356">
      <c r="A356" s="39" t="str">
        <f>IF(AND($L356*1&gt;=$G$3,$L356*1&lt;=$G$4,$I356*$J356&gt;0,OR($I356&lt;&gt;$I357,$L356-$L357&gt;25),$I356/POW(10,$J356)*MAXIFS(Token!$B:$B,Token!$A:$A,$K356)&gt;0.01),$L356/86400+DATE(1970,1,1)+$G$6,)</f>
        <v/>
      </c>
      <c r="B356" s="27" t="str">
        <f t="shared" si="1"/>
        <v/>
      </c>
      <c r="C356" s="14" t="str">
        <f>IF($A356&lt;&gt;"",MINIFS(Merchant!$A:$A,Merchant!$B:$B,$G$2),)</f>
        <v/>
      </c>
      <c r="D356" s="14" t="str">
        <f t="shared" si="2"/>
        <v/>
      </c>
      <c r="E356" s="14" t="str">
        <f t="shared" si="3"/>
        <v/>
      </c>
      <c r="F356" s="7" t="str">
        <f>IF($A356&lt;&gt;"",MAXIFS(Token!$B:$B,Token!$A:$A,$D356),)</f>
        <v/>
      </c>
    </row>
    <row r="357">
      <c r="A357" s="39" t="str">
        <f>IF(AND($L357*1&gt;=$G$3,$L357*1&lt;=$G$4,$I357*$J357&gt;0,OR($I357&lt;&gt;$I358,$L357-$L358&gt;25),$I357/POW(10,$J357)*MAXIFS(Token!$B:$B,Token!$A:$A,$K357)&gt;0.01),$L357/86400+DATE(1970,1,1)+$G$6,)</f>
        <v/>
      </c>
      <c r="B357" s="27" t="str">
        <f t="shared" si="1"/>
        <v/>
      </c>
      <c r="C357" s="14" t="str">
        <f>IF($A357&lt;&gt;"",MINIFS(Merchant!$A:$A,Merchant!$B:$B,$G$2),)</f>
        <v/>
      </c>
      <c r="D357" s="14" t="str">
        <f t="shared" si="2"/>
        <v/>
      </c>
      <c r="E357" s="14" t="str">
        <f t="shared" si="3"/>
        <v/>
      </c>
      <c r="F357" s="7" t="str">
        <f>IF($A357&lt;&gt;"",MAXIFS(Token!$B:$B,Token!$A:$A,$D357),)</f>
        <v/>
      </c>
    </row>
    <row r="358">
      <c r="A358" s="39" t="str">
        <f>IF(AND($L358*1&gt;=$G$3,$L358*1&lt;=$G$4,$I358*$J358&gt;0,OR($I358&lt;&gt;$I359,$L358-$L359&gt;25),$I358/POW(10,$J358)*MAXIFS(Token!$B:$B,Token!$A:$A,$K358)&gt;0.01),$L358/86400+DATE(1970,1,1)+$G$6,)</f>
        <v/>
      </c>
      <c r="B358" s="27" t="str">
        <f t="shared" si="1"/>
        <v/>
      </c>
      <c r="C358" s="14" t="str">
        <f>IF($A358&lt;&gt;"",MINIFS(Merchant!$A:$A,Merchant!$B:$B,$G$2),)</f>
        <v/>
      </c>
      <c r="D358" s="14" t="str">
        <f t="shared" si="2"/>
        <v/>
      </c>
      <c r="E358" s="14" t="str">
        <f t="shared" si="3"/>
        <v/>
      </c>
      <c r="F358" s="7" t="str">
        <f>IF($A358&lt;&gt;"",MAXIFS(Token!$B:$B,Token!$A:$A,$D358),)</f>
        <v/>
      </c>
    </row>
    <row r="359">
      <c r="A359" s="39" t="str">
        <f>IF(AND($L359*1&gt;=$G$3,$L359*1&lt;=$G$4,$I359*$J359&gt;0,OR($I359&lt;&gt;$I360,$L359-$L360&gt;25),$I359/POW(10,$J359)*MAXIFS(Token!$B:$B,Token!$A:$A,$K359)&gt;0.01),$L359/86400+DATE(1970,1,1)+$G$6,)</f>
        <v/>
      </c>
      <c r="B359" s="27" t="str">
        <f t="shared" si="1"/>
        <v/>
      </c>
      <c r="C359" s="14" t="str">
        <f>IF($A359&lt;&gt;"",MINIFS(Merchant!$A:$A,Merchant!$B:$B,$G$2),)</f>
        <v/>
      </c>
      <c r="D359" s="14" t="str">
        <f t="shared" si="2"/>
        <v/>
      </c>
      <c r="E359" s="14" t="str">
        <f t="shared" si="3"/>
        <v/>
      </c>
      <c r="F359" s="7" t="str">
        <f>IF($A359&lt;&gt;"",MAXIFS(Token!$B:$B,Token!$A:$A,$D359),)</f>
        <v/>
      </c>
    </row>
    <row r="360">
      <c r="A360" s="39" t="str">
        <f>IF(AND($L360*1&gt;=$G$3,$L360*1&lt;=$G$4,$I360*$J360&gt;0,OR($I360&lt;&gt;$I361,$L360-$L361&gt;25),$I360/POW(10,$J360)*MAXIFS(Token!$B:$B,Token!$A:$A,$K360)&gt;0.01),$L360/86400+DATE(1970,1,1)+$G$6,)</f>
        <v/>
      </c>
      <c r="B360" s="27" t="str">
        <f t="shared" si="1"/>
        <v/>
      </c>
      <c r="C360" s="14" t="str">
        <f>IF($A360&lt;&gt;"",MINIFS(Merchant!$A:$A,Merchant!$B:$B,$G$2),)</f>
        <v/>
      </c>
      <c r="D360" s="14" t="str">
        <f t="shared" si="2"/>
        <v/>
      </c>
      <c r="E360" s="14" t="str">
        <f t="shared" si="3"/>
        <v/>
      </c>
      <c r="F360" s="7" t="str">
        <f>IF($A360&lt;&gt;"",MAXIFS(Token!$B:$B,Token!$A:$A,$D360),)</f>
        <v/>
      </c>
    </row>
    <row r="361">
      <c r="A361" s="39" t="str">
        <f>IF(AND($L361*1&gt;=$G$3,$L361*1&lt;=$G$4,$I361*$J361&gt;0,OR($I361&lt;&gt;$I362,$L361-$L362&gt;25),$I361/POW(10,$J361)*MAXIFS(Token!$B:$B,Token!$A:$A,$K361)&gt;0.01),$L361/86400+DATE(1970,1,1)+$G$6,)</f>
        <v/>
      </c>
      <c r="B361" s="27" t="str">
        <f t="shared" si="1"/>
        <v/>
      </c>
      <c r="C361" s="14" t="str">
        <f>IF($A361&lt;&gt;"",MINIFS(Merchant!$A:$A,Merchant!$B:$B,$G$2),)</f>
        <v/>
      </c>
      <c r="D361" s="14" t="str">
        <f t="shared" si="2"/>
        <v/>
      </c>
      <c r="E361" s="14" t="str">
        <f t="shared" si="3"/>
        <v/>
      </c>
      <c r="F361" s="7" t="str">
        <f>IF($A361&lt;&gt;"",MAXIFS(Token!$B:$B,Token!$A:$A,$D361),)</f>
        <v/>
      </c>
    </row>
    <row r="362">
      <c r="A362" s="39" t="str">
        <f>IF(AND($L362*1&gt;=$G$3,$L362*1&lt;=$G$4,$I362*$J362&gt;0,OR($I362&lt;&gt;$I363,$L362-$L363&gt;25),$I362/POW(10,$J362)*MAXIFS(Token!$B:$B,Token!$A:$A,$K362)&gt;0.01),$L362/86400+DATE(1970,1,1)+$G$6,)</f>
        <v/>
      </c>
      <c r="B362" s="27" t="str">
        <f t="shared" si="1"/>
        <v/>
      </c>
      <c r="C362" s="14" t="str">
        <f>IF($A362&lt;&gt;"",MINIFS(Merchant!$A:$A,Merchant!$B:$B,$G$2),)</f>
        <v/>
      </c>
      <c r="D362" s="14" t="str">
        <f t="shared" si="2"/>
        <v/>
      </c>
      <c r="E362" s="14" t="str">
        <f t="shared" si="3"/>
        <v/>
      </c>
      <c r="F362" s="7" t="str">
        <f>IF($A362&lt;&gt;"",MAXIFS(Token!$B:$B,Token!$A:$A,$D362),)</f>
        <v/>
      </c>
    </row>
    <row r="363">
      <c r="A363" s="39" t="str">
        <f>IF(AND($L363*1&gt;=$G$3,$L363*1&lt;=$G$4,$I363*$J363&gt;0,OR($I363&lt;&gt;$I364,$L363-$L364&gt;25),$I363/POW(10,$J363)*MAXIFS(Token!$B:$B,Token!$A:$A,$K363)&gt;0.01),$L363/86400+DATE(1970,1,1)+$G$6,)</f>
        <v/>
      </c>
      <c r="B363" s="27" t="str">
        <f t="shared" si="1"/>
        <v/>
      </c>
      <c r="C363" s="14" t="str">
        <f>IF($A363&lt;&gt;"",MINIFS(Merchant!$A:$A,Merchant!$B:$B,$G$2),)</f>
        <v/>
      </c>
      <c r="D363" s="14" t="str">
        <f t="shared" si="2"/>
        <v/>
      </c>
      <c r="E363" s="14" t="str">
        <f t="shared" si="3"/>
        <v/>
      </c>
      <c r="F363" s="7" t="str">
        <f>IF($A363&lt;&gt;"",MAXIFS(Token!$B:$B,Token!$A:$A,$D363),)</f>
        <v/>
      </c>
    </row>
    <row r="364">
      <c r="A364" s="39" t="str">
        <f>IF(AND($L364*1&gt;=$G$3,$L364*1&lt;=$G$4,$I364*$J364&gt;0,OR($I364&lt;&gt;$I365,$L364-$L365&gt;25),$I364/POW(10,$J364)*MAXIFS(Token!$B:$B,Token!$A:$A,$K364)&gt;0.01),$L364/86400+DATE(1970,1,1)+$G$6,)</f>
        <v/>
      </c>
      <c r="B364" s="27" t="str">
        <f t="shared" si="1"/>
        <v/>
      </c>
      <c r="C364" s="14" t="str">
        <f>IF($A364&lt;&gt;"",MINIFS(Merchant!$A:$A,Merchant!$B:$B,$G$2),)</f>
        <v/>
      </c>
      <c r="D364" s="14" t="str">
        <f t="shared" si="2"/>
        <v/>
      </c>
      <c r="E364" s="14" t="str">
        <f t="shared" si="3"/>
        <v/>
      </c>
      <c r="F364" s="7" t="str">
        <f>IF($A364&lt;&gt;"",MAXIFS(Token!$B:$B,Token!$A:$A,$D364),)</f>
        <v/>
      </c>
    </row>
    <row r="365">
      <c r="A365" s="39" t="str">
        <f>IF(AND($L365*1&gt;=$G$3,$L365*1&lt;=$G$4,$I365*$J365&gt;0,OR($I365&lt;&gt;$I366,$L365-$L366&gt;25),$I365/POW(10,$J365)*MAXIFS(Token!$B:$B,Token!$A:$A,$K365)&gt;0.01),$L365/86400+DATE(1970,1,1)+$G$6,)</f>
        <v/>
      </c>
      <c r="B365" s="27" t="str">
        <f t="shared" si="1"/>
        <v/>
      </c>
      <c r="C365" s="14" t="str">
        <f>IF($A365&lt;&gt;"",MINIFS(Merchant!$A:$A,Merchant!$B:$B,$G$2),)</f>
        <v/>
      </c>
      <c r="D365" s="14" t="str">
        <f t="shared" si="2"/>
        <v/>
      </c>
      <c r="E365" s="14" t="str">
        <f t="shared" si="3"/>
        <v/>
      </c>
      <c r="F365" s="7" t="str">
        <f>IF($A365&lt;&gt;"",MAXIFS(Token!$B:$B,Token!$A:$A,$D365),)</f>
        <v/>
      </c>
    </row>
    <row r="366">
      <c r="A366" s="39" t="str">
        <f>IF(AND($L366*1&gt;=$G$3,$L366*1&lt;=$G$4,$I366*$J366&gt;0,OR($I366&lt;&gt;$I367,$L366-$L367&gt;25),$I366/POW(10,$J366)*MAXIFS(Token!$B:$B,Token!$A:$A,$K366)&gt;0.01),$L366/86400+DATE(1970,1,1)+$G$6,)</f>
        <v/>
      </c>
      <c r="B366" s="27" t="str">
        <f t="shared" si="1"/>
        <v/>
      </c>
      <c r="C366" s="14" t="str">
        <f>IF($A366&lt;&gt;"",MINIFS(Merchant!$A:$A,Merchant!$B:$B,$G$2),)</f>
        <v/>
      </c>
      <c r="D366" s="14" t="str">
        <f t="shared" si="2"/>
        <v/>
      </c>
      <c r="E366" s="14" t="str">
        <f t="shared" si="3"/>
        <v/>
      </c>
      <c r="F366" s="7" t="str">
        <f>IF($A366&lt;&gt;"",MAXIFS(Token!$B:$B,Token!$A:$A,$D366),)</f>
        <v/>
      </c>
    </row>
    <row r="367">
      <c r="A367" s="39" t="str">
        <f>IF(AND($L367*1&gt;=$G$3,$L367*1&lt;=$G$4,$I367*$J367&gt;0,OR($I367&lt;&gt;$I368,$L367-$L368&gt;25),$I367/POW(10,$J367)*MAXIFS(Token!$B:$B,Token!$A:$A,$K367)&gt;0.01),$L367/86400+DATE(1970,1,1)+$G$6,)</f>
        <v/>
      </c>
      <c r="B367" s="27" t="str">
        <f t="shared" si="1"/>
        <v/>
      </c>
      <c r="C367" s="14" t="str">
        <f>IF($A367&lt;&gt;"",MINIFS(Merchant!$A:$A,Merchant!$B:$B,$G$2),)</f>
        <v/>
      </c>
      <c r="D367" s="14" t="str">
        <f t="shared" si="2"/>
        <v/>
      </c>
      <c r="E367" s="14" t="str">
        <f t="shared" si="3"/>
        <v/>
      </c>
      <c r="F367" s="7" t="str">
        <f>IF($A367&lt;&gt;"",MAXIFS(Token!$B:$B,Token!$A:$A,$D367),)</f>
        <v/>
      </c>
    </row>
    <row r="368">
      <c r="A368" s="39" t="str">
        <f>IF(AND($L368*1&gt;=$G$3,$L368*1&lt;=$G$4,$I368*$J368&gt;0,OR($I368&lt;&gt;$I369,$L368-$L369&gt;25),$I368/POW(10,$J368)*MAXIFS(Token!$B:$B,Token!$A:$A,$K368)&gt;0.01),$L368/86400+DATE(1970,1,1)+$G$6,)</f>
        <v/>
      </c>
      <c r="B368" s="27" t="str">
        <f t="shared" si="1"/>
        <v/>
      </c>
      <c r="C368" s="14" t="str">
        <f>IF($A368&lt;&gt;"",MINIFS(Merchant!$A:$A,Merchant!$B:$B,$G$2),)</f>
        <v/>
      </c>
      <c r="D368" s="14" t="str">
        <f t="shared" si="2"/>
        <v/>
      </c>
      <c r="E368" s="14" t="str">
        <f t="shared" si="3"/>
        <v/>
      </c>
      <c r="F368" s="7" t="str">
        <f>IF($A368&lt;&gt;"",MAXIFS(Token!$B:$B,Token!$A:$A,$D368),)</f>
        <v/>
      </c>
    </row>
    <row r="369">
      <c r="A369" s="39" t="str">
        <f>IF(AND($L369*1&gt;=$G$3,$L369*1&lt;=$G$4,$I369*$J369&gt;0,OR($I369&lt;&gt;$I370,$L369-$L370&gt;25),$I369/POW(10,$J369)*MAXIFS(Token!$B:$B,Token!$A:$A,$K369)&gt;0.01),$L369/86400+DATE(1970,1,1)+$G$6,)</f>
        <v/>
      </c>
      <c r="B369" s="27" t="str">
        <f t="shared" si="1"/>
        <v/>
      </c>
      <c r="C369" s="14" t="str">
        <f>IF($A369&lt;&gt;"",MINIFS(Merchant!$A:$A,Merchant!$B:$B,$G$2),)</f>
        <v/>
      </c>
      <c r="D369" s="14" t="str">
        <f t="shared" si="2"/>
        <v/>
      </c>
      <c r="E369" s="14" t="str">
        <f t="shared" si="3"/>
        <v/>
      </c>
      <c r="F369" s="7" t="str">
        <f>IF($A369&lt;&gt;"",MAXIFS(Token!$B:$B,Token!$A:$A,$D369),)</f>
        <v/>
      </c>
    </row>
    <row r="370">
      <c r="A370" s="39" t="str">
        <f>IF(AND($L370*1&gt;=$G$3,$L370*1&lt;=$G$4,$I370*$J370&gt;0,OR($I370&lt;&gt;$I371,$L370-$L371&gt;25),$I370/POW(10,$J370)*MAXIFS(Token!$B:$B,Token!$A:$A,$K370)&gt;0.01),$L370/86400+DATE(1970,1,1)+$G$6,)</f>
        <v/>
      </c>
      <c r="B370" s="27" t="str">
        <f t="shared" si="1"/>
        <v/>
      </c>
      <c r="C370" s="14" t="str">
        <f>IF($A370&lt;&gt;"",MINIFS(Merchant!$A:$A,Merchant!$B:$B,$G$2),)</f>
        <v/>
      </c>
      <c r="D370" s="14" t="str">
        <f t="shared" si="2"/>
        <v/>
      </c>
      <c r="E370" s="14" t="str">
        <f t="shared" si="3"/>
        <v/>
      </c>
      <c r="F370" s="7" t="str">
        <f>IF($A370&lt;&gt;"",MAXIFS(Token!$B:$B,Token!$A:$A,$D370),)</f>
        <v/>
      </c>
    </row>
    <row r="371">
      <c r="A371" s="39" t="str">
        <f>IF(AND($L371*1&gt;=$G$3,$L371*1&lt;=$G$4,$I371*$J371&gt;0,OR($I371&lt;&gt;$I372,$L371-$L372&gt;25),$I371/POW(10,$J371)*MAXIFS(Token!$B:$B,Token!$A:$A,$K371)&gt;0.01),$L371/86400+DATE(1970,1,1)+$G$6,)</f>
        <v/>
      </c>
      <c r="B371" s="27" t="str">
        <f t="shared" si="1"/>
        <v/>
      </c>
      <c r="C371" s="14" t="str">
        <f>IF($A371&lt;&gt;"",MINIFS(Merchant!$A:$A,Merchant!$B:$B,$G$2),)</f>
        <v/>
      </c>
      <c r="D371" s="14" t="str">
        <f t="shared" si="2"/>
        <v/>
      </c>
      <c r="E371" s="14" t="str">
        <f t="shared" si="3"/>
        <v/>
      </c>
      <c r="F371" s="7" t="str">
        <f>IF($A371&lt;&gt;"",MAXIFS(Token!$B:$B,Token!$A:$A,$D371),)</f>
        <v/>
      </c>
    </row>
    <row r="372">
      <c r="A372" s="39" t="str">
        <f>IF(AND($L372*1&gt;=$G$3,$L372*1&lt;=$G$4,$I372*$J372&gt;0,OR($I372&lt;&gt;$I373,$L372-$L373&gt;25),$I372/POW(10,$J372)*MAXIFS(Token!$B:$B,Token!$A:$A,$K372)&gt;0.01),$L372/86400+DATE(1970,1,1)+$G$6,)</f>
        <v/>
      </c>
      <c r="B372" s="27" t="str">
        <f t="shared" si="1"/>
        <v/>
      </c>
      <c r="C372" s="14" t="str">
        <f>IF($A372&lt;&gt;"",MINIFS(Merchant!$A:$A,Merchant!$B:$B,$G$2),)</f>
        <v/>
      </c>
      <c r="D372" s="14" t="str">
        <f t="shared" si="2"/>
        <v/>
      </c>
      <c r="E372" s="14" t="str">
        <f t="shared" si="3"/>
        <v/>
      </c>
      <c r="F372" s="7" t="str">
        <f>IF($A372&lt;&gt;"",MAXIFS(Token!$B:$B,Token!$A:$A,$D372),)</f>
        <v/>
      </c>
    </row>
    <row r="373">
      <c r="A373" s="39" t="str">
        <f>IF(AND($L373*1&gt;=$G$3,$L373*1&lt;=$G$4,$I373*$J373&gt;0,OR($I373&lt;&gt;$I374,$L373-$L374&gt;25),$I373/POW(10,$J373)*MAXIFS(Token!$B:$B,Token!$A:$A,$K373)&gt;0.01),$L373/86400+DATE(1970,1,1)+$G$6,)</f>
        <v/>
      </c>
      <c r="B373" s="27" t="str">
        <f t="shared" si="1"/>
        <v/>
      </c>
      <c r="C373" s="14" t="str">
        <f>IF($A373&lt;&gt;"",MINIFS(Merchant!$A:$A,Merchant!$B:$B,$G$2),)</f>
        <v/>
      </c>
      <c r="D373" s="14" t="str">
        <f t="shared" si="2"/>
        <v/>
      </c>
      <c r="E373" s="14" t="str">
        <f t="shared" si="3"/>
        <v/>
      </c>
      <c r="F373" s="7" t="str">
        <f>IF($A373&lt;&gt;"",MAXIFS(Token!$B:$B,Token!$A:$A,$D373),)</f>
        <v/>
      </c>
    </row>
    <row r="374">
      <c r="A374" s="39" t="str">
        <f>IF(AND($L374*1&gt;=$G$3,$L374*1&lt;=$G$4,$I374*$J374&gt;0,OR($I374&lt;&gt;$I375,$L374-$L375&gt;25),$I374/POW(10,$J374)*MAXIFS(Token!$B:$B,Token!$A:$A,$K374)&gt;0.01),$L374/86400+DATE(1970,1,1)+$G$6,)</f>
        <v/>
      </c>
      <c r="B374" s="27" t="str">
        <f t="shared" si="1"/>
        <v/>
      </c>
      <c r="C374" s="14" t="str">
        <f>IF($A374&lt;&gt;"",MINIFS(Merchant!$A:$A,Merchant!$B:$B,$G$2),)</f>
        <v/>
      </c>
      <c r="D374" s="14" t="str">
        <f t="shared" si="2"/>
        <v/>
      </c>
      <c r="E374" s="14" t="str">
        <f t="shared" si="3"/>
        <v/>
      </c>
      <c r="F374" s="7" t="str">
        <f>IF($A374&lt;&gt;"",MAXIFS(Token!$B:$B,Token!$A:$A,$D374),)</f>
        <v/>
      </c>
    </row>
    <row r="375">
      <c r="A375" s="39" t="str">
        <f>IF(AND($L375*1&gt;=$G$3,$L375*1&lt;=$G$4,$I375*$J375&gt;0,OR($I375&lt;&gt;$I376,$L375-$L376&gt;25),$I375/POW(10,$J375)*MAXIFS(Token!$B:$B,Token!$A:$A,$K375)&gt;0.01),$L375/86400+DATE(1970,1,1)+$G$6,)</f>
        <v/>
      </c>
      <c r="B375" s="27" t="str">
        <f t="shared" si="1"/>
        <v/>
      </c>
      <c r="C375" s="14" t="str">
        <f>IF($A375&lt;&gt;"",MINIFS(Merchant!$A:$A,Merchant!$B:$B,$G$2),)</f>
        <v/>
      </c>
      <c r="D375" s="14" t="str">
        <f t="shared" si="2"/>
        <v/>
      </c>
      <c r="E375" s="14" t="str">
        <f t="shared" si="3"/>
        <v/>
      </c>
      <c r="F375" s="7" t="str">
        <f>IF($A375&lt;&gt;"",MAXIFS(Token!$B:$B,Token!$A:$A,$D375),)</f>
        <v/>
      </c>
    </row>
    <row r="376">
      <c r="A376" s="39" t="str">
        <f>IF(AND($L376*1&gt;=$G$3,$L376*1&lt;=$G$4,$I376*$J376&gt;0,OR($I376&lt;&gt;$I377,$L376-$L377&gt;25),$I376/POW(10,$J376)*MAXIFS(Token!$B:$B,Token!$A:$A,$K376)&gt;0.01),$L376/86400+DATE(1970,1,1)+$G$6,)</f>
        <v/>
      </c>
      <c r="B376" s="27" t="str">
        <f t="shared" si="1"/>
        <v/>
      </c>
      <c r="C376" s="14" t="str">
        <f>IF($A376&lt;&gt;"",MINIFS(Merchant!$A:$A,Merchant!$B:$B,$G$2),)</f>
        <v/>
      </c>
      <c r="D376" s="14" t="str">
        <f t="shared" si="2"/>
        <v/>
      </c>
      <c r="E376" s="14" t="str">
        <f t="shared" si="3"/>
        <v/>
      </c>
      <c r="F376" s="7" t="str">
        <f>IF($A376&lt;&gt;"",MAXIFS(Token!$B:$B,Token!$A:$A,$D376),)</f>
        <v/>
      </c>
    </row>
    <row r="377">
      <c r="A377" s="39" t="str">
        <f>IF(AND($L377*1&gt;=$G$3,$L377*1&lt;=$G$4,$I377*$J377&gt;0,OR($I377&lt;&gt;$I378,$L377-$L378&gt;25),$I377/POW(10,$J377)*MAXIFS(Token!$B:$B,Token!$A:$A,$K377)&gt;0.01),$L377/86400+DATE(1970,1,1)+$G$6,)</f>
        <v/>
      </c>
      <c r="B377" s="27" t="str">
        <f t="shared" si="1"/>
        <v/>
      </c>
      <c r="C377" s="14" t="str">
        <f>IF($A377&lt;&gt;"",MINIFS(Merchant!$A:$A,Merchant!$B:$B,$G$2),)</f>
        <v/>
      </c>
      <c r="D377" s="14" t="str">
        <f t="shared" si="2"/>
        <v/>
      </c>
      <c r="E377" s="14" t="str">
        <f t="shared" si="3"/>
        <v/>
      </c>
      <c r="F377" s="7" t="str">
        <f>IF($A377&lt;&gt;"",MAXIFS(Token!$B:$B,Token!$A:$A,$D377),)</f>
        <v/>
      </c>
    </row>
    <row r="378">
      <c r="A378" s="39" t="str">
        <f>IF(AND($L378*1&gt;=$G$3,$L378*1&lt;=$G$4,$I378*$J378&gt;0,OR($I378&lt;&gt;$I379,$L378-$L379&gt;25),$I378/POW(10,$J378)*MAXIFS(Token!$B:$B,Token!$A:$A,$K378)&gt;0.01),$L378/86400+DATE(1970,1,1)+$G$6,)</f>
        <v/>
      </c>
      <c r="B378" s="27" t="str">
        <f t="shared" si="1"/>
        <v/>
      </c>
      <c r="C378" s="14" t="str">
        <f>IF($A378&lt;&gt;"",MINIFS(Merchant!$A:$A,Merchant!$B:$B,$G$2),)</f>
        <v/>
      </c>
      <c r="D378" s="14" t="str">
        <f t="shared" si="2"/>
        <v/>
      </c>
      <c r="E378" s="14" t="str">
        <f t="shared" si="3"/>
        <v/>
      </c>
      <c r="F378" s="7" t="str">
        <f>IF($A378&lt;&gt;"",MAXIFS(Token!$B:$B,Token!$A:$A,$D378),)</f>
        <v/>
      </c>
    </row>
    <row r="379">
      <c r="A379" s="39" t="str">
        <f>IF(AND($L379*1&gt;=$G$3,$L379*1&lt;=$G$4,$I379*$J379&gt;0,OR($I379&lt;&gt;$I380,$L379-$L380&gt;25),$I379/POW(10,$J379)*MAXIFS(Token!$B:$B,Token!$A:$A,$K379)&gt;0.01),$L379/86400+DATE(1970,1,1)+$G$6,)</f>
        <v/>
      </c>
      <c r="B379" s="27" t="str">
        <f t="shared" si="1"/>
        <v/>
      </c>
      <c r="C379" s="14" t="str">
        <f>IF($A379&lt;&gt;"",MINIFS(Merchant!$A:$A,Merchant!$B:$B,$G$2),)</f>
        <v/>
      </c>
      <c r="D379" s="14" t="str">
        <f t="shared" si="2"/>
        <v/>
      </c>
      <c r="E379" s="14" t="str">
        <f t="shared" si="3"/>
        <v/>
      </c>
      <c r="F379" s="7" t="str">
        <f>IF($A379&lt;&gt;"",MAXIFS(Token!$B:$B,Token!$A:$A,$D379),)</f>
        <v/>
      </c>
    </row>
    <row r="380">
      <c r="A380" s="39" t="str">
        <f>IF(AND($L380*1&gt;=$G$3,$L380*1&lt;=$G$4,$I380*$J380&gt;0,OR($I380&lt;&gt;$I381,$L380-$L381&gt;25),$I380/POW(10,$J380)*MAXIFS(Token!$B:$B,Token!$A:$A,$K380)&gt;0.01),$L380/86400+DATE(1970,1,1)+$G$6,)</f>
        <v/>
      </c>
      <c r="B380" s="27" t="str">
        <f t="shared" si="1"/>
        <v/>
      </c>
      <c r="C380" s="14" t="str">
        <f>IF($A380&lt;&gt;"",MINIFS(Merchant!$A:$A,Merchant!$B:$B,$G$2),)</f>
        <v/>
      </c>
      <c r="D380" s="14" t="str">
        <f t="shared" si="2"/>
        <v/>
      </c>
      <c r="E380" s="14" t="str">
        <f t="shared" si="3"/>
        <v/>
      </c>
      <c r="F380" s="7" t="str">
        <f>IF($A380&lt;&gt;"",MAXIFS(Token!$B:$B,Token!$A:$A,$D380),)</f>
        <v/>
      </c>
    </row>
    <row r="381">
      <c r="A381" s="39" t="str">
        <f>IF(AND($L381*1&gt;=$G$3,$L381*1&lt;=$G$4,$I381*$J381&gt;0,OR($I381&lt;&gt;$I382,$L381-$L382&gt;25),$I381/POW(10,$J381)*MAXIFS(Token!$B:$B,Token!$A:$A,$K381)&gt;0.01),$L381/86400+DATE(1970,1,1)+$G$6,)</f>
        <v/>
      </c>
      <c r="B381" s="27" t="str">
        <f t="shared" si="1"/>
        <v/>
      </c>
      <c r="C381" s="14" t="str">
        <f>IF($A381&lt;&gt;"",MINIFS(Merchant!$A:$A,Merchant!$B:$B,$G$2),)</f>
        <v/>
      </c>
      <c r="D381" s="14" t="str">
        <f t="shared" si="2"/>
        <v/>
      </c>
      <c r="E381" s="14" t="str">
        <f t="shared" si="3"/>
        <v/>
      </c>
      <c r="F381" s="7" t="str">
        <f>IF($A381&lt;&gt;"",MAXIFS(Token!$B:$B,Token!$A:$A,$D381),)</f>
        <v/>
      </c>
    </row>
    <row r="382">
      <c r="A382" s="39" t="str">
        <f>IF(AND($L382*1&gt;=$G$3,$L382*1&lt;=$G$4,$I382*$J382&gt;0,OR($I382&lt;&gt;$I383,$L382-$L383&gt;25),$I382/POW(10,$J382)*MAXIFS(Token!$B:$B,Token!$A:$A,$K382)&gt;0.01),$L382/86400+DATE(1970,1,1)+$G$6,)</f>
        <v/>
      </c>
      <c r="B382" s="27" t="str">
        <f t="shared" si="1"/>
        <v/>
      </c>
      <c r="C382" s="14" t="str">
        <f>IF($A382&lt;&gt;"",MINIFS(Merchant!$A:$A,Merchant!$B:$B,$G$2),)</f>
        <v/>
      </c>
      <c r="D382" s="14" t="str">
        <f t="shared" si="2"/>
        <v/>
      </c>
      <c r="E382" s="14" t="str">
        <f t="shared" si="3"/>
        <v/>
      </c>
      <c r="F382" s="7" t="str">
        <f>IF($A382&lt;&gt;"",MAXIFS(Token!$B:$B,Token!$A:$A,$D382),)</f>
        <v/>
      </c>
    </row>
    <row r="383">
      <c r="A383" s="39" t="str">
        <f>IF(AND($L383*1&gt;=$G$3,$L383*1&lt;=$G$4,$I383*$J383&gt;0,OR($I383&lt;&gt;$I384,$L383-$L384&gt;25),$I383/POW(10,$J383)*MAXIFS(Token!$B:$B,Token!$A:$A,$K383)&gt;0.01),$L383/86400+DATE(1970,1,1)+$G$6,)</f>
        <v/>
      </c>
      <c r="B383" s="27" t="str">
        <f t="shared" si="1"/>
        <v/>
      </c>
      <c r="C383" s="14" t="str">
        <f>IF($A383&lt;&gt;"",MINIFS(Merchant!$A:$A,Merchant!$B:$B,$G$2),)</f>
        <v/>
      </c>
      <c r="D383" s="14" t="str">
        <f t="shared" si="2"/>
        <v/>
      </c>
      <c r="E383" s="14" t="str">
        <f t="shared" si="3"/>
        <v/>
      </c>
      <c r="F383" s="7" t="str">
        <f>IF($A383&lt;&gt;"",MAXIFS(Token!$B:$B,Token!$A:$A,$D383),)</f>
        <v/>
      </c>
    </row>
    <row r="384">
      <c r="A384" s="39" t="str">
        <f>IF(AND($L384*1&gt;=$G$3,$L384*1&lt;=$G$4,$I384*$J384&gt;0,OR($I384&lt;&gt;$I385,$L384-$L385&gt;25),$I384/POW(10,$J384)*MAXIFS(Token!$B:$B,Token!$A:$A,$K384)&gt;0.01),$L384/86400+DATE(1970,1,1)+$G$6,)</f>
        <v/>
      </c>
      <c r="B384" s="27" t="str">
        <f t="shared" si="1"/>
        <v/>
      </c>
      <c r="C384" s="14" t="str">
        <f>IF($A384&lt;&gt;"",MINIFS(Merchant!$A:$A,Merchant!$B:$B,$G$2),)</f>
        <v/>
      </c>
      <c r="D384" s="14" t="str">
        <f t="shared" si="2"/>
        <v/>
      </c>
      <c r="E384" s="14" t="str">
        <f t="shared" si="3"/>
        <v/>
      </c>
      <c r="F384" s="7" t="str">
        <f>IF($A384&lt;&gt;"",MAXIFS(Token!$B:$B,Token!$A:$A,$D384),)</f>
        <v/>
      </c>
    </row>
    <row r="385">
      <c r="A385" s="39" t="str">
        <f>IF(AND($L385*1&gt;=$G$3,$L385*1&lt;=$G$4,$I385*$J385&gt;0,OR($I385&lt;&gt;$I386,$L385-$L386&gt;25),$I385/POW(10,$J385)*MAXIFS(Token!$B:$B,Token!$A:$A,$K385)&gt;0.01),$L385/86400+DATE(1970,1,1)+$G$6,)</f>
        <v/>
      </c>
      <c r="B385" s="27" t="str">
        <f t="shared" si="1"/>
        <v/>
      </c>
      <c r="C385" s="14" t="str">
        <f>IF($A385&lt;&gt;"",MINIFS(Merchant!$A:$A,Merchant!$B:$B,$G$2),)</f>
        <v/>
      </c>
      <c r="D385" s="14" t="str">
        <f t="shared" si="2"/>
        <v/>
      </c>
      <c r="E385" s="14" t="str">
        <f t="shared" si="3"/>
        <v/>
      </c>
      <c r="F385" s="7" t="str">
        <f>IF($A385&lt;&gt;"",MAXIFS(Token!$B:$B,Token!$A:$A,$D385),)</f>
        <v/>
      </c>
    </row>
    <row r="386">
      <c r="A386" s="39" t="str">
        <f>IF(AND($L386*1&gt;=$G$3,$L386*1&lt;=$G$4,$I386*$J386&gt;0,OR($I386&lt;&gt;$I387,$L386-$L387&gt;25),$I386/POW(10,$J386)*MAXIFS(Token!$B:$B,Token!$A:$A,$K386)&gt;0.01),$L386/86400+DATE(1970,1,1)+$G$6,)</f>
        <v/>
      </c>
      <c r="B386" s="27" t="str">
        <f t="shared" si="1"/>
        <v/>
      </c>
      <c r="C386" s="14" t="str">
        <f>IF($A386&lt;&gt;"",MINIFS(Merchant!$A:$A,Merchant!$B:$B,$G$2),)</f>
        <v/>
      </c>
      <c r="D386" s="14" t="str">
        <f t="shared" si="2"/>
        <v/>
      </c>
      <c r="E386" s="14" t="str">
        <f t="shared" si="3"/>
        <v/>
      </c>
      <c r="F386" s="7" t="str">
        <f>IF($A386&lt;&gt;"",MAXIFS(Token!$B:$B,Token!$A:$A,$D386),)</f>
        <v/>
      </c>
    </row>
    <row r="387">
      <c r="A387" s="39" t="str">
        <f>IF(AND($L387*1&gt;=$G$3,$L387*1&lt;=$G$4,$I387*$J387&gt;0,OR($I387&lt;&gt;$I388,$L387-$L388&gt;25),$I387/POW(10,$J387)*MAXIFS(Token!$B:$B,Token!$A:$A,$K387)&gt;0.01),$L387/86400+DATE(1970,1,1)+$G$6,)</f>
        <v/>
      </c>
      <c r="B387" s="27" t="str">
        <f t="shared" si="1"/>
        <v/>
      </c>
      <c r="C387" s="14" t="str">
        <f>IF($A387&lt;&gt;"",MINIFS(Merchant!$A:$A,Merchant!$B:$B,$G$2),)</f>
        <v/>
      </c>
      <c r="D387" s="14" t="str">
        <f t="shared" si="2"/>
        <v/>
      </c>
      <c r="E387" s="14" t="str">
        <f t="shared" si="3"/>
        <v/>
      </c>
      <c r="F387" s="7" t="str">
        <f>IF($A387&lt;&gt;"",MAXIFS(Token!$B:$B,Token!$A:$A,$D387),)</f>
        <v/>
      </c>
    </row>
    <row r="388">
      <c r="A388" s="39" t="str">
        <f>IF(AND($L388*1&gt;=$G$3,$L388*1&lt;=$G$4,$I388*$J388&gt;0,OR($I388&lt;&gt;$I389,$L388-$L389&gt;25),$I388/POW(10,$J388)*MAXIFS(Token!$B:$B,Token!$A:$A,$K388)&gt;0.01),$L388/86400+DATE(1970,1,1)+$G$6,)</f>
        <v/>
      </c>
      <c r="B388" s="27" t="str">
        <f t="shared" si="1"/>
        <v/>
      </c>
      <c r="C388" s="14" t="str">
        <f>IF($A388&lt;&gt;"",MINIFS(Merchant!$A:$A,Merchant!$B:$B,$G$2),)</f>
        <v/>
      </c>
      <c r="D388" s="14" t="str">
        <f t="shared" si="2"/>
        <v/>
      </c>
      <c r="E388" s="14" t="str">
        <f t="shared" si="3"/>
        <v/>
      </c>
      <c r="F388" s="7" t="str">
        <f>IF($A388&lt;&gt;"",MAXIFS(Token!$B:$B,Token!$A:$A,$D388),)</f>
        <v/>
      </c>
    </row>
    <row r="389">
      <c r="A389" s="39" t="str">
        <f>IF(AND($L389*1&gt;=$G$3,$L389*1&lt;=$G$4,$I389*$J389&gt;0,OR($I389&lt;&gt;$I390,$L389-$L390&gt;25),$I389/POW(10,$J389)*MAXIFS(Token!$B:$B,Token!$A:$A,$K389)&gt;0.01),$L389/86400+DATE(1970,1,1)+$G$6,)</f>
        <v/>
      </c>
      <c r="B389" s="27" t="str">
        <f t="shared" si="1"/>
        <v/>
      </c>
      <c r="C389" s="14" t="str">
        <f>IF($A389&lt;&gt;"",MINIFS(Merchant!$A:$A,Merchant!$B:$B,$G$2),)</f>
        <v/>
      </c>
      <c r="D389" s="14" t="str">
        <f t="shared" si="2"/>
        <v/>
      </c>
      <c r="E389" s="14" t="str">
        <f t="shared" si="3"/>
        <v/>
      </c>
      <c r="F389" s="7" t="str">
        <f>IF($A389&lt;&gt;"",MAXIFS(Token!$B:$B,Token!$A:$A,$D389),)</f>
        <v/>
      </c>
    </row>
    <row r="390">
      <c r="A390" s="39" t="str">
        <f>IF(AND($L390*1&gt;=$G$3,$L390*1&lt;=$G$4,$I390*$J390&gt;0,OR($I390&lt;&gt;$I391,$L390-$L391&gt;25),$I390/POW(10,$J390)*MAXIFS(Token!$B:$B,Token!$A:$A,$K390)&gt;0.01),$L390/86400+DATE(1970,1,1)+$G$6,)</f>
        <v/>
      </c>
      <c r="B390" s="27" t="str">
        <f t="shared" si="1"/>
        <v/>
      </c>
      <c r="C390" s="14" t="str">
        <f>IF($A390&lt;&gt;"",MINIFS(Merchant!$A:$A,Merchant!$B:$B,$G$2),)</f>
        <v/>
      </c>
      <c r="D390" s="14" t="str">
        <f t="shared" si="2"/>
        <v/>
      </c>
      <c r="E390" s="14" t="str">
        <f t="shared" si="3"/>
        <v/>
      </c>
      <c r="F390" s="7" t="str">
        <f>IF($A390&lt;&gt;"",MAXIFS(Token!$B:$B,Token!$A:$A,$D390),)</f>
        <v/>
      </c>
    </row>
    <row r="391">
      <c r="A391" s="39" t="str">
        <f>IF(AND($L391*1&gt;=$G$3,$L391*1&lt;=$G$4,$I391*$J391&gt;0,OR($I391&lt;&gt;$I392,$L391-$L392&gt;25),$I391/POW(10,$J391)*MAXIFS(Token!$B:$B,Token!$A:$A,$K391)&gt;0.01),$L391/86400+DATE(1970,1,1)+$G$6,)</f>
        <v/>
      </c>
      <c r="B391" s="27" t="str">
        <f t="shared" si="1"/>
        <v/>
      </c>
      <c r="C391" s="14" t="str">
        <f>IF($A391&lt;&gt;"",MINIFS(Merchant!$A:$A,Merchant!$B:$B,$G$2),)</f>
        <v/>
      </c>
      <c r="D391" s="14" t="str">
        <f t="shared" si="2"/>
        <v/>
      </c>
      <c r="E391" s="14" t="str">
        <f t="shared" si="3"/>
        <v/>
      </c>
      <c r="F391" s="7" t="str">
        <f>IF($A391&lt;&gt;"",MAXIFS(Token!$B:$B,Token!$A:$A,$D391),)</f>
        <v/>
      </c>
    </row>
    <row r="392">
      <c r="A392" s="39" t="str">
        <f>IF(AND($L392*1&gt;=$G$3,$L392*1&lt;=$G$4,$I392*$J392&gt;0,OR($I392&lt;&gt;$I393,$L392-$L393&gt;25),$I392/POW(10,$J392)*MAXIFS(Token!$B:$B,Token!$A:$A,$K392)&gt;0.01),$L392/86400+DATE(1970,1,1)+$G$6,)</f>
        <v/>
      </c>
      <c r="B392" s="27" t="str">
        <f t="shared" si="1"/>
        <v/>
      </c>
      <c r="C392" s="14" t="str">
        <f>IF($A392&lt;&gt;"",MINIFS(Merchant!$A:$A,Merchant!$B:$B,$G$2),)</f>
        <v/>
      </c>
      <c r="D392" s="14" t="str">
        <f t="shared" si="2"/>
        <v/>
      </c>
      <c r="E392" s="14" t="str">
        <f t="shared" si="3"/>
        <v/>
      </c>
      <c r="F392" s="7" t="str">
        <f>IF($A392&lt;&gt;"",MAXIFS(Token!$B:$B,Token!$A:$A,$D392),)</f>
        <v/>
      </c>
    </row>
    <row r="393">
      <c r="A393" s="39" t="str">
        <f>IF(AND($L393*1&gt;=$G$3,$L393*1&lt;=$G$4,$I393*$J393&gt;0,OR($I393&lt;&gt;$I394,$L393-$L394&gt;25),$I393/POW(10,$J393)*MAXIFS(Token!$B:$B,Token!$A:$A,$K393)&gt;0.01),$L393/86400+DATE(1970,1,1)+$G$6,)</f>
        <v/>
      </c>
      <c r="B393" s="27" t="str">
        <f t="shared" si="1"/>
        <v/>
      </c>
      <c r="C393" s="14" t="str">
        <f>IF($A393&lt;&gt;"",MINIFS(Merchant!$A:$A,Merchant!$B:$B,$G$2),)</f>
        <v/>
      </c>
      <c r="D393" s="14" t="str">
        <f t="shared" si="2"/>
        <v/>
      </c>
      <c r="E393" s="14" t="str">
        <f t="shared" si="3"/>
        <v/>
      </c>
      <c r="F393" s="7" t="str">
        <f>IF($A393&lt;&gt;"",MAXIFS(Token!$B:$B,Token!$A:$A,$D393),)</f>
        <v/>
      </c>
    </row>
    <row r="394">
      <c r="A394" s="39" t="str">
        <f>IF(AND($L394*1&gt;=$G$3,$L394*1&lt;=$G$4,$I394*$J394&gt;0,OR($I394&lt;&gt;$I395,$L394-$L395&gt;25),$I394/POW(10,$J394)*MAXIFS(Token!$B:$B,Token!$A:$A,$K394)&gt;0.01),$L394/86400+DATE(1970,1,1)+$G$6,)</f>
        <v/>
      </c>
      <c r="B394" s="27" t="str">
        <f t="shared" si="1"/>
        <v/>
      </c>
      <c r="C394" s="14" t="str">
        <f>IF($A394&lt;&gt;"",MINIFS(Merchant!$A:$A,Merchant!$B:$B,$G$2),)</f>
        <v/>
      </c>
      <c r="D394" s="14" t="str">
        <f t="shared" si="2"/>
        <v/>
      </c>
      <c r="E394" s="14" t="str">
        <f t="shared" si="3"/>
        <v/>
      </c>
      <c r="F394" s="7" t="str">
        <f>IF($A394&lt;&gt;"",MAXIFS(Token!$B:$B,Token!$A:$A,$D394),)</f>
        <v/>
      </c>
    </row>
    <row r="395">
      <c r="A395" s="39" t="str">
        <f>IF(AND($L395*1&gt;=$G$3,$L395*1&lt;=$G$4,$I395*$J395&gt;0,OR($I395&lt;&gt;$I396,$L395-$L396&gt;25),$I395/POW(10,$J395)*MAXIFS(Token!$B:$B,Token!$A:$A,$K395)&gt;0.01),$L395/86400+DATE(1970,1,1)+$G$6,)</f>
        <v/>
      </c>
      <c r="B395" s="27" t="str">
        <f t="shared" si="1"/>
        <v/>
      </c>
      <c r="C395" s="14" t="str">
        <f>IF($A395&lt;&gt;"",MINIFS(Merchant!$A:$A,Merchant!$B:$B,$G$2),)</f>
        <v/>
      </c>
      <c r="D395" s="14" t="str">
        <f t="shared" si="2"/>
        <v/>
      </c>
      <c r="E395" s="14" t="str">
        <f t="shared" si="3"/>
        <v/>
      </c>
      <c r="F395" s="7" t="str">
        <f>IF($A395&lt;&gt;"",MAXIFS(Token!$B:$B,Token!$A:$A,$D395),)</f>
        <v/>
      </c>
    </row>
    <row r="396">
      <c r="A396" s="39" t="str">
        <f>IF(AND($L396*1&gt;=$G$3,$L396*1&lt;=$G$4,$I396*$J396&gt;0,OR($I396&lt;&gt;$I397,$L396-$L397&gt;25),$I396/POW(10,$J396)*MAXIFS(Token!$B:$B,Token!$A:$A,$K396)&gt;0.01),$L396/86400+DATE(1970,1,1)+$G$6,)</f>
        <v/>
      </c>
      <c r="B396" s="27" t="str">
        <f t="shared" si="1"/>
        <v/>
      </c>
      <c r="C396" s="14" t="str">
        <f>IF($A396&lt;&gt;"",MINIFS(Merchant!$A:$A,Merchant!$B:$B,$G$2),)</f>
        <v/>
      </c>
      <c r="D396" s="14" t="str">
        <f t="shared" si="2"/>
        <v/>
      </c>
      <c r="E396" s="14" t="str">
        <f t="shared" si="3"/>
        <v/>
      </c>
      <c r="F396" s="7" t="str">
        <f>IF($A396&lt;&gt;"",MAXIFS(Token!$B:$B,Token!$A:$A,$D396),)</f>
        <v/>
      </c>
    </row>
    <row r="397">
      <c r="A397" s="39" t="str">
        <f>IF(AND($L397*1&gt;=$G$3,$L397*1&lt;=$G$4,$I397*$J397&gt;0,OR($I397&lt;&gt;$I398,$L397-$L398&gt;25),$I397/POW(10,$J397)*MAXIFS(Token!$B:$B,Token!$A:$A,$K397)&gt;0.01),$L397/86400+DATE(1970,1,1)+$G$6,)</f>
        <v/>
      </c>
      <c r="B397" s="27" t="str">
        <f t="shared" si="1"/>
        <v/>
      </c>
      <c r="C397" s="14" t="str">
        <f>IF($A397&lt;&gt;"",MINIFS(Merchant!$A:$A,Merchant!$B:$B,$G$2),)</f>
        <v/>
      </c>
      <c r="D397" s="14" t="str">
        <f t="shared" si="2"/>
        <v/>
      </c>
      <c r="E397" s="14" t="str">
        <f t="shared" si="3"/>
        <v/>
      </c>
      <c r="F397" s="7" t="str">
        <f>IF($A397&lt;&gt;"",MAXIFS(Token!$B:$B,Token!$A:$A,$D397),)</f>
        <v/>
      </c>
    </row>
    <row r="398">
      <c r="A398" s="39" t="str">
        <f>IF(AND($L398*1&gt;=$G$3,$L398*1&lt;=$G$4,$I398*$J398&gt;0,OR($I398&lt;&gt;$I399,$L398-$L399&gt;25),$I398/POW(10,$J398)*MAXIFS(Token!$B:$B,Token!$A:$A,$K398)&gt;0.01),$L398/86400+DATE(1970,1,1)+$G$6,)</f>
        <v/>
      </c>
      <c r="B398" s="27" t="str">
        <f t="shared" si="1"/>
        <v/>
      </c>
      <c r="C398" s="14" t="str">
        <f>IF($A398&lt;&gt;"",MINIFS(Merchant!$A:$A,Merchant!$B:$B,$G$2),)</f>
        <v/>
      </c>
      <c r="D398" s="14" t="str">
        <f t="shared" si="2"/>
        <v/>
      </c>
      <c r="E398" s="14" t="str">
        <f t="shared" si="3"/>
        <v/>
      </c>
      <c r="F398" s="7" t="str">
        <f>IF($A398&lt;&gt;"",MAXIFS(Token!$B:$B,Token!$A:$A,$D398),)</f>
        <v/>
      </c>
    </row>
    <row r="399">
      <c r="A399" s="39" t="str">
        <f>IF(AND($L399*1&gt;=$G$3,$L399*1&lt;=$G$4,$I399*$J399&gt;0,OR($I399&lt;&gt;$I400,$L399-$L400&gt;25),$I399/POW(10,$J399)*MAXIFS(Token!$B:$B,Token!$A:$A,$K399)&gt;0.01),$L399/86400+DATE(1970,1,1)+$G$6,)</f>
        <v/>
      </c>
      <c r="B399" s="27" t="str">
        <f t="shared" si="1"/>
        <v/>
      </c>
      <c r="C399" s="14" t="str">
        <f>IF($A399&lt;&gt;"",MINIFS(Merchant!$A:$A,Merchant!$B:$B,$G$2),)</f>
        <v/>
      </c>
      <c r="D399" s="14" t="str">
        <f t="shared" si="2"/>
        <v/>
      </c>
      <c r="E399" s="14" t="str">
        <f t="shared" si="3"/>
        <v/>
      </c>
      <c r="F399" s="7" t="str">
        <f>IF($A399&lt;&gt;"",MAXIFS(Token!$B:$B,Token!$A:$A,$D399),)</f>
        <v/>
      </c>
    </row>
    <row r="400">
      <c r="A400" s="39" t="str">
        <f>IF(AND($L400*1&gt;=$G$3,$L400*1&lt;=$G$4,$I400*$J400&gt;0,OR($I400&lt;&gt;$I401,$L400-$L401&gt;25),$I400/POW(10,$J400)*MAXIFS(Token!$B:$B,Token!$A:$A,$K400)&gt;0.01),$L400/86400+DATE(1970,1,1)+$G$6,)</f>
        <v/>
      </c>
      <c r="B400" s="27" t="str">
        <f t="shared" si="1"/>
        <v/>
      </c>
      <c r="C400" s="14" t="str">
        <f>IF($A400&lt;&gt;"",MINIFS(Merchant!$A:$A,Merchant!$B:$B,$G$2),)</f>
        <v/>
      </c>
      <c r="D400" s="14" t="str">
        <f t="shared" si="2"/>
        <v/>
      </c>
      <c r="E400" s="14" t="str">
        <f t="shared" si="3"/>
        <v/>
      </c>
      <c r="F400" s="7" t="str">
        <f>IF($A400&lt;&gt;"",MAXIFS(Token!$B:$B,Token!$A:$A,$D400),)</f>
        <v/>
      </c>
    </row>
    <row r="401">
      <c r="A401" s="39" t="str">
        <f>IF(AND($L401*1&gt;=$G$3,$L401*1&lt;=$G$4,$I401*$J401&gt;0,OR($I401&lt;&gt;$I402,$L401-$L402&gt;25),$I401/POW(10,$J401)*MAXIFS(Token!$B:$B,Token!$A:$A,$K401)&gt;0.01),$L401/86400+DATE(1970,1,1)+$G$6,)</f>
        <v/>
      </c>
      <c r="B401" s="27" t="str">
        <f t="shared" si="1"/>
        <v/>
      </c>
      <c r="C401" s="14" t="str">
        <f>IF($A401&lt;&gt;"",MINIFS(Merchant!$A:$A,Merchant!$B:$B,$G$2),)</f>
        <v/>
      </c>
      <c r="D401" s="14" t="str">
        <f t="shared" si="2"/>
        <v/>
      </c>
      <c r="E401" s="14" t="str">
        <f t="shared" si="3"/>
        <v/>
      </c>
      <c r="F401" s="7" t="str">
        <f>IF($A401&lt;&gt;"",MAXIFS(Token!$B:$B,Token!$A:$A,$D401),)</f>
        <v/>
      </c>
    </row>
    <row r="402">
      <c r="A402" s="39" t="str">
        <f>IF(AND($L402*1&gt;=$G$3,$L402*1&lt;=$G$4,$I402*$J402&gt;0,OR($I402&lt;&gt;$I403,$L402-$L403&gt;25),$I402/POW(10,$J402)*MAXIFS(Token!$B:$B,Token!$A:$A,$K402)&gt;0.01),$L402/86400+DATE(1970,1,1)+$G$6,)</f>
        <v/>
      </c>
      <c r="B402" s="27" t="str">
        <f t="shared" si="1"/>
        <v/>
      </c>
      <c r="C402" s="14" t="str">
        <f>IF($A402&lt;&gt;"",MINIFS(Merchant!$A:$A,Merchant!$B:$B,$G$2),)</f>
        <v/>
      </c>
      <c r="D402" s="14" t="str">
        <f t="shared" si="2"/>
        <v/>
      </c>
      <c r="E402" s="14" t="str">
        <f t="shared" si="3"/>
        <v/>
      </c>
      <c r="F402" s="7" t="str">
        <f>IF($A402&lt;&gt;"",MAXIFS(Token!$B:$B,Token!$A:$A,$D402),)</f>
        <v/>
      </c>
    </row>
    <row r="403">
      <c r="A403" s="39" t="str">
        <f>IF(AND($L403*1&gt;=$G$3,$L403*1&lt;=$G$4,$I403*$J403&gt;0,OR($I403&lt;&gt;$I404,$L403-$L404&gt;25),$I403/POW(10,$J403)*MAXIFS(Token!$B:$B,Token!$A:$A,$K403)&gt;0.01),$L403/86400+DATE(1970,1,1)+$G$6,)</f>
        <v/>
      </c>
      <c r="B403" s="27" t="str">
        <f t="shared" si="1"/>
        <v/>
      </c>
      <c r="C403" s="14" t="str">
        <f>IF($A403&lt;&gt;"",MINIFS(Merchant!$A:$A,Merchant!$B:$B,$G$2),)</f>
        <v/>
      </c>
      <c r="D403" s="14" t="str">
        <f t="shared" si="2"/>
        <v/>
      </c>
      <c r="E403" s="14" t="str">
        <f t="shared" si="3"/>
        <v/>
      </c>
      <c r="F403" s="7" t="str">
        <f>IF($A403&lt;&gt;"",MAXIFS(Token!$B:$B,Token!$A:$A,$D403),)</f>
        <v/>
      </c>
    </row>
    <row r="404">
      <c r="A404" s="39" t="str">
        <f>IF(AND($L404*1&gt;=$G$3,$L404*1&lt;=$G$4,$I404*$J404&gt;0,OR($I404&lt;&gt;$I405,$L404-$L405&gt;25),$I404/POW(10,$J404)*MAXIFS(Token!$B:$B,Token!$A:$A,$K404)&gt;0.01),$L404/86400+DATE(1970,1,1)+$G$6,)</f>
        <v/>
      </c>
      <c r="B404" s="27" t="str">
        <f t="shared" si="1"/>
        <v/>
      </c>
      <c r="C404" s="14" t="str">
        <f>IF($A404&lt;&gt;"",MINIFS(Merchant!$A:$A,Merchant!$B:$B,$G$2),)</f>
        <v/>
      </c>
      <c r="D404" s="14" t="str">
        <f t="shared" si="2"/>
        <v/>
      </c>
      <c r="E404" s="14" t="str">
        <f t="shared" si="3"/>
        <v/>
      </c>
      <c r="F404" s="7" t="str">
        <f>IF($A404&lt;&gt;"",MAXIFS(Token!$B:$B,Token!$A:$A,$D404),)</f>
        <v/>
      </c>
    </row>
    <row r="405">
      <c r="A405" s="39" t="str">
        <f>IF(AND($L405*1&gt;=$G$3,$L405*1&lt;=$G$4,$I405*$J405&gt;0,OR($I405&lt;&gt;$I406,$L405-$L406&gt;25),$I405/POW(10,$J405)*MAXIFS(Token!$B:$B,Token!$A:$A,$K405)&gt;0.01),$L405/86400+DATE(1970,1,1)+$G$6,)</f>
        <v/>
      </c>
      <c r="B405" s="27" t="str">
        <f t="shared" si="1"/>
        <v/>
      </c>
      <c r="C405" s="14" t="str">
        <f>IF($A405&lt;&gt;"",MINIFS(Merchant!$A:$A,Merchant!$B:$B,$G$2),)</f>
        <v/>
      </c>
      <c r="D405" s="14" t="str">
        <f t="shared" si="2"/>
        <v/>
      </c>
      <c r="E405" s="14" t="str">
        <f t="shared" si="3"/>
        <v/>
      </c>
      <c r="F405" s="7" t="str">
        <f>IF($A405&lt;&gt;"",MAXIFS(Token!$B:$B,Token!$A:$A,$D405),)</f>
        <v/>
      </c>
    </row>
    <row r="406">
      <c r="A406" s="39" t="str">
        <f>IF(AND($L406*1&gt;=$G$3,$L406*1&lt;=$G$4,$I406*$J406&gt;0,OR($I406&lt;&gt;$I407,$L406-$L407&gt;25),$I406/POW(10,$J406)*MAXIFS(Token!$B:$B,Token!$A:$A,$K406)&gt;0.01),$L406/86400+DATE(1970,1,1)+$G$6,)</f>
        <v/>
      </c>
      <c r="B406" s="27" t="str">
        <f t="shared" si="1"/>
        <v/>
      </c>
      <c r="C406" s="14" t="str">
        <f>IF($A406&lt;&gt;"",MINIFS(Merchant!$A:$A,Merchant!$B:$B,$G$2),)</f>
        <v/>
      </c>
      <c r="D406" s="14" t="str">
        <f t="shared" si="2"/>
        <v/>
      </c>
      <c r="E406" s="14" t="str">
        <f t="shared" si="3"/>
        <v/>
      </c>
      <c r="F406" s="7" t="str">
        <f>IF($A406&lt;&gt;"",MAXIFS(Token!$B:$B,Token!$A:$A,$D406),)</f>
        <v/>
      </c>
    </row>
    <row r="407">
      <c r="A407" s="39" t="str">
        <f>IF(AND($L407*1&gt;=$G$3,$L407*1&lt;=$G$4,$I407*$J407&gt;0,OR($I407&lt;&gt;$I408,$L407-$L408&gt;25),$I407/POW(10,$J407)*MAXIFS(Token!$B:$B,Token!$A:$A,$K407)&gt;0.01),$L407/86400+DATE(1970,1,1)+$G$6,)</f>
        <v/>
      </c>
      <c r="B407" s="27" t="str">
        <f t="shared" si="1"/>
        <v/>
      </c>
      <c r="C407" s="14" t="str">
        <f>IF($A407&lt;&gt;"",MINIFS(Merchant!$A:$A,Merchant!$B:$B,$G$2),)</f>
        <v/>
      </c>
      <c r="D407" s="14" t="str">
        <f t="shared" si="2"/>
        <v/>
      </c>
      <c r="E407" s="14" t="str">
        <f t="shared" si="3"/>
        <v/>
      </c>
      <c r="F407" s="7" t="str">
        <f>IF($A407&lt;&gt;"",MAXIFS(Token!$B:$B,Token!$A:$A,$D407),)</f>
        <v/>
      </c>
    </row>
    <row r="408">
      <c r="A408" s="39" t="str">
        <f>IF(AND($L408*1&gt;=$G$3,$L408*1&lt;=$G$4,$I408*$J408&gt;0,OR($I408&lt;&gt;$I409,$L408-$L409&gt;25),$I408/POW(10,$J408)*MAXIFS(Token!$B:$B,Token!$A:$A,$K408)&gt;0.01),$L408/86400+DATE(1970,1,1)+$G$6,)</f>
        <v/>
      </c>
      <c r="B408" s="27" t="str">
        <f t="shared" si="1"/>
        <v/>
      </c>
      <c r="C408" s="14" t="str">
        <f>IF($A408&lt;&gt;"",MINIFS(Merchant!$A:$A,Merchant!$B:$B,$G$2),)</f>
        <v/>
      </c>
      <c r="D408" s="14" t="str">
        <f t="shared" si="2"/>
        <v/>
      </c>
      <c r="E408" s="14" t="str">
        <f t="shared" si="3"/>
        <v/>
      </c>
      <c r="F408" s="7" t="str">
        <f>IF($A408&lt;&gt;"",MAXIFS(Token!$B:$B,Token!$A:$A,$D408),)</f>
        <v/>
      </c>
    </row>
    <row r="409">
      <c r="A409" s="39" t="str">
        <f>IF(AND($L409*1&gt;=$G$3,$L409*1&lt;=$G$4,$I409*$J409&gt;0,OR($I409&lt;&gt;$I410,$L409-$L410&gt;25),$I409/POW(10,$J409)*MAXIFS(Token!$B:$B,Token!$A:$A,$K409)&gt;0.01),$L409/86400+DATE(1970,1,1)+$G$6,)</f>
        <v/>
      </c>
      <c r="B409" s="27" t="str">
        <f t="shared" si="1"/>
        <v/>
      </c>
      <c r="C409" s="14" t="str">
        <f>IF($A409&lt;&gt;"",MINIFS(Merchant!$A:$A,Merchant!$B:$B,$G$2),)</f>
        <v/>
      </c>
      <c r="D409" s="14" t="str">
        <f t="shared" si="2"/>
        <v/>
      </c>
      <c r="E409" s="14" t="str">
        <f t="shared" si="3"/>
        <v/>
      </c>
      <c r="F409" s="7" t="str">
        <f>IF($A409&lt;&gt;"",MAXIFS(Token!$B:$B,Token!$A:$A,$D409),)</f>
        <v/>
      </c>
    </row>
    <row r="410">
      <c r="A410" s="39" t="str">
        <f>IF(AND($L410*1&gt;=$G$3,$L410*1&lt;=$G$4,$I410*$J410&gt;0,OR($I410&lt;&gt;$I411,$L410-$L411&gt;25),$I410/POW(10,$J410)*MAXIFS(Token!$B:$B,Token!$A:$A,$K410)&gt;0.01),$L410/86400+DATE(1970,1,1)+$G$6,)</f>
        <v/>
      </c>
      <c r="B410" s="27" t="str">
        <f t="shared" si="1"/>
        <v/>
      </c>
      <c r="C410" s="14" t="str">
        <f>IF($A410&lt;&gt;"",MINIFS(Merchant!$A:$A,Merchant!$B:$B,$G$2),)</f>
        <v/>
      </c>
      <c r="D410" s="14" t="str">
        <f t="shared" si="2"/>
        <v/>
      </c>
      <c r="E410" s="14" t="str">
        <f t="shared" si="3"/>
        <v/>
      </c>
      <c r="F410" s="7" t="str">
        <f>IF($A410&lt;&gt;"",MAXIFS(Token!$B:$B,Token!$A:$A,$D410),)</f>
        <v/>
      </c>
    </row>
    <row r="411">
      <c r="A411" s="39" t="str">
        <f>IF(AND($L411*1&gt;=$G$3,$L411*1&lt;=$G$4,$I411*$J411&gt;0,OR($I411&lt;&gt;$I412,$L411-$L412&gt;25),$I411/POW(10,$J411)*MAXIFS(Token!$B:$B,Token!$A:$A,$K411)&gt;0.01),$L411/86400+DATE(1970,1,1)+$G$6,)</f>
        <v/>
      </c>
      <c r="B411" s="27" t="str">
        <f t="shared" si="1"/>
        <v/>
      </c>
      <c r="C411" s="14" t="str">
        <f>IF($A411&lt;&gt;"",MINIFS(Merchant!$A:$A,Merchant!$B:$B,$G$2),)</f>
        <v/>
      </c>
      <c r="D411" s="14" t="str">
        <f t="shared" si="2"/>
        <v/>
      </c>
      <c r="E411" s="14" t="str">
        <f t="shared" si="3"/>
        <v/>
      </c>
      <c r="F411" s="7" t="str">
        <f>IF($A411&lt;&gt;"",MAXIFS(Token!$B:$B,Token!$A:$A,$D411),)</f>
        <v/>
      </c>
    </row>
    <row r="412">
      <c r="A412" s="39" t="str">
        <f>IF(AND($L412*1&gt;=$G$3,$L412*1&lt;=$G$4,$I412*$J412&gt;0,OR($I412&lt;&gt;$I413,$L412-$L413&gt;25),$I412/POW(10,$J412)*MAXIFS(Token!$B:$B,Token!$A:$A,$K412)&gt;0.01),$L412/86400+DATE(1970,1,1)+$G$6,)</f>
        <v/>
      </c>
      <c r="B412" s="27" t="str">
        <f t="shared" si="1"/>
        <v/>
      </c>
      <c r="C412" s="14" t="str">
        <f>IF($A412&lt;&gt;"",MINIFS(Merchant!$A:$A,Merchant!$B:$B,$G$2),)</f>
        <v/>
      </c>
      <c r="D412" s="14" t="str">
        <f t="shared" si="2"/>
        <v/>
      </c>
      <c r="E412" s="14" t="str">
        <f t="shared" si="3"/>
        <v/>
      </c>
      <c r="F412" s="7" t="str">
        <f>IF($A412&lt;&gt;"",MAXIFS(Token!$B:$B,Token!$A:$A,$D412),)</f>
        <v/>
      </c>
    </row>
    <row r="413">
      <c r="A413" s="39" t="str">
        <f>IF(AND($L413*1&gt;=$G$3,$L413*1&lt;=$G$4,$I413*$J413&gt;0,OR($I413&lt;&gt;$I414,$L413-$L414&gt;25),$I413/POW(10,$J413)*MAXIFS(Token!$B:$B,Token!$A:$A,$K413)&gt;0.01),$L413/86400+DATE(1970,1,1)+$G$6,)</f>
        <v/>
      </c>
      <c r="B413" s="27" t="str">
        <f t="shared" si="1"/>
        <v/>
      </c>
      <c r="C413" s="14" t="str">
        <f>IF($A413&lt;&gt;"",MINIFS(Merchant!$A:$A,Merchant!$B:$B,$G$2),)</f>
        <v/>
      </c>
      <c r="D413" s="14" t="str">
        <f t="shared" si="2"/>
        <v/>
      </c>
      <c r="E413" s="14" t="str">
        <f t="shared" si="3"/>
        <v/>
      </c>
      <c r="F413" s="7" t="str">
        <f>IF($A413&lt;&gt;"",MAXIFS(Token!$B:$B,Token!$A:$A,$D413),)</f>
        <v/>
      </c>
    </row>
    <row r="414">
      <c r="A414" s="39" t="str">
        <f>IF(AND($L414*1&gt;=$G$3,$L414*1&lt;=$G$4,$I414*$J414&gt;0,OR($I414&lt;&gt;$I415,$L414-$L415&gt;25),$I414/POW(10,$J414)*MAXIFS(Token!$B:$B,Token!$A:$A,$K414)&gt;0.01),$L414/86400+DATE(1970,1,1)+$G$6,)</f>
        <v/>
      </c>
      <c r="B414" s="27" t="str">
        <f t="shared" si="1"/>
        <v/>
      </c>
      <c r="C414" s="14" t="str">
        <f>IF($A414&lt;&gt;"",MINIFS(Merchant!$A:$A,Merchant!$B:$B,$G$2),)</f>
        <v/>
      </c>
      <c r="D414" s="14" t="str">
        <f t="shared" si="2"/>
        <v/>
      </c>
      <c r="E414" s="14" t="str">
        <f t="shared" si="3"/>
        <v/>
      </c>
      <c r="F414" s="7" t="str">
        <f>IF($A414&lt;&gt;"",MAXIFS(Token!$B:$B,Token!$A:$A,$D414),)</f>
        <v/>
      </c>
    </row>
    <row r="415">
      <c r="A415" s="39" t="str">
        <f>IF(AND($L415*1&gt;=$G$3,$L415*1&lt;=$G$4,$I415*$J415&gt;0,OR($I415&lt;&gt;$I416,$L415-$L416&gt;25),$I415/POW(10,$J415)*MAXIFS(Token!$B:$B,Token!$A:$A,$K415)&gt;0.01),$L415/86400+DATE(1970,1,1)+$G$6,)</f>
        <v/>
      </c>
      <c r="B415" s="27" t="str">
        <f t="shared" si="1"/>
        <v/>
      </c>
      <c r="C415" s="14" t="str">
        <f>IF($A415&lt;&gt;"",MINIFS(Merchant!$A:$A,Merchant!$B:$B,$G$2),)</f>
        <v/>
      </c>
      <c r="D415" s="14" t="str">
        <f t="shared" si="2"/>
        <v/>
      </c>
      <c r="E415" s="14" t="str">
        <f t="shared" si="3"/>
        <v/>
      </c>
      <c r="F415" s="7" t="str">
        <f>IF($A415&lt;&gt;"",MAXIFS(Token!$B:$B,Token!$A:$A,$D415),)</f>
        <v/>
      </c>
    </row>
    <row r="416">
      <c r="A416" s="39" t="str">
        <f>IF(AND($L416*1&gt;=$G$3,$L416*1&lt;=$G$4,$I416*$J416&gt;0,OR($I416&lt;&gt;$I417,$L416-$L417&gt;25),$I416/POW(10,$J416)*MAXIFS(Token!$B:$B,Token!$A:$A,$K416)&gt;0.01),$L416/86400+DATE(1970,1,1)+$G$6,)</f>
        <v/>
      </c>
      <c r="B416" s="27" t="str">
        <f t="shared" si="1"/>
        <v/>
      </c>
      <c r="C416" s="14" t="str">
        <f>IF($A416&lt;&gt;"",MINIFS(Merchant!$A:$A,Merchant!$B:$B,$G$2),)</f>
        <v/>
      </c>
      <c r="D416" s="14" t="str">
        <f t="shared" si="2"/>
        <v/>
      </c>
      <c r="E416" s="14" t="str">
        <f t="shared" si="3"/>
        <v/>
      </c>
      <c r="F416" s="7" t="str">
        <f>IF($A416&lt;&gt;"",MAXIFS(Token!$B:$B,Token!$A:$A,$D416),)</f>
        <v/>
      </c>
    </row>
    <row r="417">
      <c r="A417" s="39" t="str">
        <f>IF(AND($L417*1&gt;=$G$3,$L417*1&lt;=$G$4,$I417*$J417&gt;0,OR($I417&lt;&gt;$I418,$L417-$L418&gt;25),$I417/POW(10,$J417)*MAXIFS(Token!$B:$B,Token!$A:$A,$K417)&gt;0.01),$L417/86400+DATE(1970,1,1)+$G$6,)</f>
        <v/>
      </c>
      <c r="B417" s="27" t="str">
        <f t="shared" si="1"/>
        <v/>
      </c>
      <c r="C417" s="14" t="str">
        <f>IF($A417&lt;&gt;"",MINIFS(Merchant!$A:$A,Merchant!$B:$B,$G$2),)</f>
        <v/>
      </c>
      <c r="D417" s="14" t="str">
        <f t="shared" si="2"/>
        <v/>
      </c>
      <c r="E417" s="14" t="str">
        <f t="shared" si="3"/>
        <v/>
      </c>
      <c r="F417" s="7" t="str">
        <f>IF($A417&lt;&gt;"",MAXIFS(Token!$B:$B,Token!$A:$A,$D417),)</f>
        <v/>
      </c>
    </row>
    <row r="418">
      <c r="A418" s="39" t="str">
        <f>IF(AND($L418*1&gt;=$G$3,$L418*1&lt;=$G$4,$I418*$J418&gt;0,OR($I418&lt;&gt;$I419,$L418-$L419&gt;25),$I418/POW(10,$J418)*MAXIFS(Token!$B:$B,Token!$A:$A,$K418)&gt;0.01),$L418/86400+DATE(1970,1,1)+$G$6,)</f>
        <v/>
      </c>
      <c r="B418" s="27" t="str">
        <f t="shared" si="1"/>
        <v/>
      </c>
      <c r="C418" s="14" t="str">
        <f>IF($A418&lt;&gt;"",MINIFS(Merchant!$A:$A,Merchant!$B:$B,$G$2),)</f>
        <v/>
      </c>
      <c r="D418" s="14" t="str">
        <f t="shared" si="2"/>
        <v/>
      </c>
      <c r="E418" s="14" t="str">
        <f t="shared" si="3"/>
        <v/>
      </c>
      <c r="F418" s="7" t="str">
        <f>IF($A418&lt;&gt;"",MAXIFS(Token!$B:$B,Token!$A:$A,$D418),)</f>
        <v/>
      </c>
    </row>
    <row r="419">
      <c r="A419" s="39" t="str">
        <f>IF(AND($L419*1&gt;=$G$3,$L419*1&lt;=$G$4,$I419*$J419&gt;0,OR($I419&lt;&gt;$I420,$L419-$L420&gt;25),$I419/POW(10,$J419)*MAXIFS(Token!$B:$B,Token!$A:$A,$K419)&gt;0.01),$L419/86400+DATE(1970,1,1)+$G$6,)</f>
        <v/>
      </c>
      <c r="B419" s="27" t="str">
        <f t="shared" si="1"/>
        <v/>
      </c>
      <c r="C419" s="14" t="str">
        <f>IF($A419&lt;&gt;"",MINIFS(Merchant!$A:$A,Merchant!$B:$B,$G$2),)</f>
        <v/>
      </c>
      <c r="D419" s="14" t="str">
        <f t="shared" si="2"/>
        <v/>
      </c>
      <c r="E419" s="14" t="str">
        <f t="shared" si="3"/>
        <v/>
      </c>
      <c r="F419" s="7" t="str">
        <f>IF($A419&lt;&gt;"",MAXIFS(Token!$B:$B,Token!$A:$A,$D419),)</f>
        <v/>
      </c>
    </row>
    <row r="420">
      <c r="A420" s="39" t="str">
        <f>IF(AND($L420*1&gt;=$G$3,$L420*1&lt;=$G$4,$I420*$J420&gt;0,OR($I420&lt;&gt;$I421,$L420-$L421&gt;25),$I420/POW(10,$J420)*MAXIFS(Token!$B:$B,Token!$A:$A,$K420)&gt;0.01),$L420/86400+DATE(1970,1,1)+$G$6,)</f>
        <v/>
      </c>
      <c r="B420" s="27" t="str">
        <f t="shared" si="1"/>
        <v/>
      </c>
      <c r="C420" s="14" t="str">
        <f>IF($A420&lt;&gt;"",MINIFS(Merchant!$A:$A,Merchant!$B:$B,$G$2),)</f>
        <v/>
      </c>
      <c r="D420" s="14" t="str">
        <f t="shared" si="2"/>
        <v/>
      </c>
      <c r="E420" s="14" t="str">
        <f t="shared" si="3"/>
        <v/>
      </c>
      <c r="F420" s="7" t="str">
        <f>IF($A420&lt;&gt;"",MAXIFS(Token!$B:$B,Token!$A:$A,$D420),)</f>
        <v/>
      </c>
    </row>
    <row r="421">
      <c r="A421" s="39" t="str">
        <f>IF(AND($L421*1&gt;=$G$3,$L421*1&lt;=$G$4,$I421*$J421&gt;0,OR($I421&lt;&gt;$I422,$L421-$L422&gt;25),$I421/POW(10,$J421)*MAXIFS(Token!$B:$B,Token!$A:$A,$K421)&gt;0.01),$L421/86400+DATE(1970,1,1)+$G$6,)</f>
        <v/>
      </c>
      <c r="B421" s="27" t="str">
        <f t="shared" si="1"/>
        <v/>
      </c>
      <c r="C421" s="14" t="str">
        <f>IF($A421&lt;&gt;"",MINIFS(Merchant!$A:$A,Merchant!$B:$B,$G$2),)</f>
        <v/>
      </c>
      <c r="D421" s="14" t="str">
        <f t="shared" si="2"/>
        <v/>
      </c>
      <c r="E421" s="14" t="str">
        <f t="shared" si="3"/>
        <v/>
      </c>
      <c r="F421" s="7" t="str">
        <f>IF($A421&lt;&gt;"",MAXIFS(Token!$B:$B,Token!$A:$A,$D421),)</f>
        <v/>
      </c>
    </row>
    <row r="422">
      <c r="A422" s="39" t="str">
        <f>IF(AND($L422*1&gt;=$G$3,$L422*1&lt;=$G$4,$I422*$J422&gt;0,OR($I422&lt;&gt;$I423,$L422-$L423&gt;25),$I422/POW(10,$J422)*MAXIFS(Token!$B:$B,Token!$A:$A,$K422)&gt;0.01),$L422/86400+DATE(1970,1,1)+$G$6,)</f>
        <v/>
      </c>
      <c r="B422" s="27" t="str">
        <f t="shared" si="1"/>
        <v/>
      </c>
      <c r="C422" s="14" t="str">
        <f>IF($A422&lt;&gt;"",MINIFS(Merchant!$A:$A,Merchant!$B:$B,$G$2),)</f>
        <v/>
      </c>
      <c r="D422" s="14" t="str">
        <f t="shared" si="2"/>
        <v/>
      </c>
      <c r="E422" s="14" t="str">
        <f t="shared" si="3"/>
        <v/>
      </c>
      <c r="F422" s="7" t="str">
        <f>IF($A422&lt;&gt;"",MAXIFS(Token!$B:$B,Token!$A:$A,$D422),)</f>
        <v/>
      </c>
    </row>
    <row r="423">
      <c r="A423" s="39" t="str">
        <f>IF(AND($L423*1&gt;=$G$3,$L423*1&lt;=$G$4,$I423*$J423&gt;0,OR($I423&lt;&gt;$I424,$L423-$L424&gt;25),$I423/POW(10,$J423)*MAXIFS(Token!$B:$B,Token!$A:$A,$K423)&gt;0.01),$L423/86400+DATE(1970,1,1)+$G$6,)</f>
        <v/>
      </c>
      <c r="B423" s="27" t="str">
        <f t="shared" si="1"/>
        <v/>
      </c>
      <c r="C423" s="14" t="str">
        <f>IF($A423&lt;&gt;"",MINIFS(Merchant!$A:$A,Merchant!$B:$B,$G$2),)</f>
        <v/>
      </c>
      <c r="D423" s="14" t="str">
        <f t="shared" si="2"/>
        <v/>
      </c>
      <c r="E423" s="14" t="str">
        <f t="shared" si="3"/>
        <v/>
      </c>
      <c r="F423" s="7" t="str">
        <f>IF($A423&lt;&gt;"",MAXIFS(Token!$B:$B,Token!$A:$A,$D423),)</f>
        <v/>
      </c>
    </row>
    <row r="424">
      <c r="A424" s="39" t="str">
        <f>IF(AND($L424*1&gt;=$G$3,$L424*1&lt;=$G$4,$I424*$J424&gt;0,OR($I424&lt;&gt;$I425,$L424-$L425&gt;25),$I424/POW(10,$J424)*MAXIFS(Token!$B:$B,Token!$A:$A,$K424)&gt;0.01),$L424/86400+DATE(1970,1,1)+$G$6,)</f>
        <v/>
      </c>
      <c r="B424" s="27" t="str">
        <f t="shared" si="1"/>
        <v/>
      </c>
      <c r="C424" s="14" t="str">
        <f>IF($A424&lt;&gt;"",MINIFS(Merchant!$A:$A,Merchant!$B:$B,$G$2),)</f>
        <v/>
      </c>
      <c r="D424" s="14" t="str">
        <f t="shared" si="2"/>
        <v/>
      </c>
      <c r="E424" s="14" t="str">
        <f t="shared" si="3"/>
        <v/>
      </c>
      <c r="F424" s="7" t="str">
        <f>IF($A424&lt;&gt;"",MAXIFS(Token!$B:$B,Token!$A:$A,$D424),)</f>
        <v/>
      </c>
    </row>
    <row r="425">
      <c r="A425" s="39" t="str">
        <f>IF(AND($L425*1&gt;=$G$3,$L425*1&lt;=$G$4,$I425*$J425&gt;0,OR($I425&lt;&gt;$I426,$L425-$L426&gt;25),$I425/POW(10,$J425)*MAXIFS(Token!$B:$B,Token!$A:$A,$K425)&gt;0.01),$L425/86400+DATE(1970,1,1)+$G$6,)</f>
        <v/>
      </c>
      <c r="B425" s="27" t="str">
        <f t="shared" si="1"/>
        <v/>
      </c>
      <c r="C425" s="14" t="str">
        <f>IF($A425&lt;&gt;"",MINIFS(Merchant!$A:$A,Merchant!$B:$B,$G$2),)</f>
        <v/>
      </c>
      <c r="D425" s="14" t="str">
        <f t="shared" si="2"/>
        <v/>
      </c>
      <c r="E425" s="14" t="str">
        <f t="shared" si="3"/>
        <v/>
      </c>
      <c r="F425" s="7" t="str">
        <f>IF($A425&lt;&gt;"",MAXIFS(Token!$B:$B,Token!$A:$A,$D425),)</f>
        <v/>
      </c>
    </row>
    <row r="426">
      <c r="A426" s="39" t="str">
        <f>IF(AND($L426*1&gt;=$G$3,$L426*1&lt;=$G$4,$I426*$J426&gt;0,OR($I426&lt;&gt;$I427,$L426-$L427&gt;25),$I426/POW(10,$J426)*MAXIFS(Token!$B:$B,Token!$A:$A,$K426)&gt;0.01),$L426/86400+DATE(1970,1,1)+$G$6,)</f>
        <v/>
      </c>
      <c r="B426" s="27" t="str">
        <f t="shared" si="1"/>
        <v/>
      </c>
      <c r="C426" s="14" t="str">
        <f>IF($A426&lt;&gt;"",MINIFS(Merchant!$A:$A,Merchant!$B:$B,$G$2),)</f>
        <v/>
      </c>
      <c r="D426" s="14" t="str">
        <f t="shared" si="2"/>
        <v/>
      </c>
      <c r="E426" s="14" t="str">
        <f t="shared" si="3"/>
        <v/>
      </c>
      <c r="F426" s="7" t="str">
        <f>IF($A426&lt;&gt;"",MAXIFS(Token!$B:$B,Token!$A:$A,$D426),)</f>
        <v/>
      </c>
    </row>
    <row r="427">
      <c r="A427" s="39" t="str">
        <f>IF(AND($L427*1&gt;=$G$3,$L427*1&lt;=$G$4,$I427*$J427&gt;0,OR($I427&lt;&gt;$I428,$L427-$L428&gt;25),$I427/POW(10,$J427)*MAXIFS(Token!$B:$B,Token!$A:$A,$K427)&gt;0.01),$L427/86400+DATE(1970,1,1)+$G$6,)</f>
        <v/>
      </c>
      <c r="B427" s="27" t="str">
        <f t="shared" si="1"/>
        <v/>
      </c>
      <c r="C427" s="14" t="str">
        <f>IF($A427&lt;&gt;"",MINIFS(Merchant!$A:$A,Merchant!$B:$B,$G$2),)</f>
        <v/>
      </c>
      <c r="D427" s="14" t="str">
        <f t="shared" si="2"/>
        <v/>
      </c>
      <c r="E427" s="14" t="str">
        <f t="shared" si="3"/>
        <v/>
      </c>
      <c r="F427" s="7" t="str">
        <f>IF($A427&lt;&gt;"",MAXIFS(Token!$B:$B,Token!$A:$A,$D427),)</f>
        <v/>
      </c>
    </row>
    <row r="428">
      <c r="A428" s="39" t="str">
        <f>IF(AND($L428*1&gt;=$G$3,$L428*1&lt;=$G$4,$I428*$J428&gt;0,OR($I428&lt;&gt;$I429,$L428-$L429&gt;25),$I428/POW(10,$J428)*MAXIFS(Token!$B:$B,Token!$A:$A,$K428)&gt;0.01),$L428/86400+DATE(1970,1,1)+$G$6,)</f>
        <v/>
      </c>
      <c r="B428" s="27" t="str">
        <f t="shared" si="1"/>
        <v/>
      </c>
      <c r="C428" s="14" t="str">
        <f>IF($A428&lt;&gt;"",MINIFS(Merchant!$A:$A,Merchant!$B:$B,$G$2),)</f>
        <v/>
      </c>
      <c r="D428" s="14" t="str">
        <f t="shared" si="2"/>
        <v/>
      </c>
      <c r="E428" s="14" t="str">
        <f t="shared" si="3"/>
        <v/>
      </c>
      <c r="F428" s="7" t="str">
        <f>IF($A428&lt;&gt;"",MAXIFS(Token!$B:$B,Token!$A:$A,$D428),)</f>
        <v/>
      </c>
    </row>
    <row r="429">
      <c r="A429" s="39" t="str">
        <f>IF(AND($L429*1&gt;=$G$3,$L429*1&lt;=$G$4,$I429*$J429&gt;0,OR($I429&lt;&gt;$I430,$L429-$L430&gt;25),$I429/POW(10,$J429)*MAXIFS(Token!$B:$B,Token!$A:$A,$K429)&gt;0.01),$L429/86400+DATE(1970,1,1)+$G$6,)</f>
        <v/>
      </c>
      <c r="B429" s="27" t="str">
        <f t="shared" si="1"/>
        <v/>
      </c>
      <c r="C429" s="14" t="str">
        <f>IF($A429&lt;&gt;"",MINIFS(Merchant!$A:$A,Merchant!$B:$B,$G$2),)</f>
        <v/>
      </c>
      <c r="D429" s="14" t="str">
        <f t="shared" si="2"/>
        <v/>
      </c>
      <c r="E429" s="14" t="str">
        <f t="shared" si="3"/>
        <v/>
      </c>
      <c r="F429" s="7" t="str">
        <f>IF($A429&lt;&gt;"",MAXIFS(Token!$B:$B,Token!$A:$A,$D429),)</f>
        <v/>
      </c>
    </row>
    <row r="430">
      <c r="A430" s="39" t="str">
        <f>IF(AND($L430*1&gt;=$G$3,$L430*1&lt;=$G$4,$I430*$J430&gt;0,OR($I430&lt;&gt;$I431,$L430-$L431&gt;25),$I430/POW(10,$J430)*MAXIFS(Token!$B:$B,Token!$A:$A,$K430)&gt;0.01),$L430/86400+DATE(1970,1,1)+$G$6,)</f>
        <v/>
      </c>
      <c r="B430" s="27" t="str">
        <f t="shared" si="1"/>
        <v/>
      </c>
      <c r="C430" s="14" t="str">
        <f>IF($A430&lt;&gt;"",MINIFS(Merchant!$A:$A,Merchant!$B:$B,$G$2),)</f>
        <v/>
      </c>
      <c r="D430" s="14" t="str">
        <f t="shared" si="2"/>
        <v/>
      </c>
      <c r="E430" s="14" t="str">
        <f t="shared" si="3"/>
        <v/>
      </c>
      <c r="F430" s="7" t="str">
        <f>IF($A430&lt;&gt;"",MAXIFS(Token!$B:$B,Token!$A:$A,$D430),)</f>
        <v/>
      </c>
    </row>
    <row r="431">
      <c r="A431" s="39" t="str">
        <f>IF(AND($L431*1&gt;=$G$3,$L431*1&lt;=$G$4,$I431*$J431&gt;0,OR($I431&lt;&gt;$I432,$L431-$L432&gt;25),$I431/POW(10,$J431)*MAXIFS(Token!$B:$B,Token!$A:$A,$K431)&gt;0.01),$L431/86400+DATE(1970,1,1)+$G$6,)</f>
        <v/>
      </c>
      <c r="B431" s="27" t="str">
        <f t="shared" si="1"/>
        <v/>
      </c>
      <c r="C431" s="14" t="str">
        <f>IF($A431&lt;&gt;"",MINIFS(Merchant!$A:$A,Merchant!$B:$B,$G$2),)</f>
        <v/>
      </c>
      <c r="D431" s="14" t="str">
        <f t="shared" si="2"/>
        <v/>
      </c>
      <c r="E431" s="14" t="str">
        <f t="shared" si="3"/>
        <v/>
      </c>
      <c r="F431" s="7" t="str">
        <f>IF($A431&lt;&gt;"",MAXIFS(Token!$B:$B,Token!$A:$A,$D431),)</f>
        <v/>
      </c>
    </row>
    <row r="432">
      <c r="A432" s="39" t="str">
        <f>IF(AND($L432*1&gt;=$G$3,$L432*1&lt;=$G$4,$I432*$J432&gt;0,OR($I432&lt;&gt;$I433,$L432-$L433&gt;25),$I432/POW(10,$J432)*MAXIFS(Token!$B:$B,Token!$A:$A,$K432)&gt;0.01),$L432/86400+DATE(1970,1,1)+$G$6,)</f>
        <v/>
      </c>
      <c r="B432" s="27" t="str">
        <f t="shared" si="1"/>
        <v/>
      </c>
      <c r="C432" s="14" t="str">
        <f>IF($A432&lt;&gt;"",MINIFS(Merchant!$A:$A,Merchant!$B:$B,$G$2),)</f>
        <v/>
      </c>
      <c r="D432" s="14" t="str">
        <f t="shared" si="2"/>
        <v/>
      </c>
      <c r="E432" s="14" t="str">
        <f t="shared" si="3"/>
        <v/>
      </c>
      <c r="F432" s="7" t="str">
        <f>IF($A432&lt;&gt;"",MAXIFS(Token!$B:$B,Token!$A:$A,$D432),)</f>
        <v/>
      </c>
    </row>
    <row r="433">
      <c r="A433" s="39" t="str">
        <f>IF(AND($L433*1&gt;=$G$3,$L433*1&lt;=$G$4,$I433*$J433&gt;0,OR($I433&lt;&gt;$I434,$L433-$L434&gt;25),$I433/POW(10,$J433)*MAXIFS(Token!$B:$B,Token!$A:$A,$K433)&gt;0.01),$L433/86400+DATE(1970,1,1)+$G$6,)</f>
        <v/>
      </c>
      <c r="B433" s="27" t="str">
        <f t="shared" si="1"/>
        <v/>
      </c>
      <c r="C433" s="14" t="str">
        <f>IF($A433&lt;&gt;"",MINIFS(Merchant!$A:$A,Merchant!$B:$B,$G$2),)</f>
        <v/>
      </c>
      <c r="D433" s="14" t="str">
        <f t="shared" si="2"/>
        <v/>
      </c>
      <c r="E433" s="14" t="str">
        <f t="shared" si="3"/>
        <v/>
      </c>
      <c r="F433" s="7" t="str">
        <f>IF($A433&lt;&gt;"",MAXIFS(Token!$B:$B,Token!$A:$A,$D433),)</f>
        <v/>
      </c>
    </row>
    <row r="434">
      <c r="A434" s="39" t="str">
        <f>IF(AND($L434*1&gt;=$G$3,$L434*1&lt;=$G$4,$I434*$J434&gt;0,OR($I434&lt;&gt;$I435,$L434-$L435&gt;25),$I434/POW(10,$J434)*MAXIFS(Token!$B:$B,Token!$A:$A,$K434)&gt;0.01),$L434/86400+DATE(1970,1,1)+$G$6,)</f>
        <v/>
      </c>
      <c r="B434" s="27" t="str">
        <f t="shared" si="1"/>
        <v/>
      </c>
      <c r="C434" s="14" t="str">
        <f>IF($A434&lt;&gt;"",MINIFS(Merchant!$A:$A,Merchant!$B:$B,$G$2),)</f>
        <v/>
      </c>
      <c r="D434" s="14" t="str">
        <f t="shared" si="2"/>
        <v/>
      </c>
      <c r="E434" s="14" t="str">
        <f t="shared" si="3"/>
        <v/>
      </c>
      <c r="F434" s="7" t="str">
        <f>IF($A434&lt;&gt;"",MAXIFS(Token!$B:$B,Token!$A:$A,$D434),)</f>
        <v/>
      </c>
    </row>
    <row r="435">
      <c r="A435" s="39" t="str">
        <f>IF(AND($L435*1&gt;=$G$3,$L435*1&lt;=$G$4,$I435*$J435&gt;0,OR($I435&lt;&gt;$I436,$L435-$L436&gt;25),$I435/POW(10,$J435)*MAXIFS(Token!$B:$B,Token!$A:$A,$K435)&gt;0.01),$L435/86400+DATE(1970,1,1)+$G$6,)</f>
        <v/>
      </c>
      <c r="B435" s="27" t="str">
        <f t="shared" si="1"/>
        <v/>
      </c>
      <c r="C435" s="14" t="str">
        <f>IF($A435&lt;&gt;"",MINIFS(Merchant!$A:$A,Merchant!$B:$B,$G$2),)</f>
        <v/>
      </c>
      <c r="D435" s="14" t="str">
        <f t="shared" si="2"/>
        <v/>
      </c>
      <c r="E435" s="14" t="str">
        <f t="shared" si="3"/>
        <v/>
      </c>
      <c r="F435" s="7" t="str">
        <f>IF($A435&lt;&gt;"",MAXIFS(Token!$B:$B,Token!$A:$A,$D435),)</f>
        <v/>
      </c>
    </row>
    <row r="436">
      <c r="A436" s="39" t="str">
        <f>IF(AND($L436*1&gt;=$G$3,$L436*1&lt;=$G$4,$I436*$J436&gt;0,OR($I436&lt;&gt;$I437,$L436-$L437&gt;25),$I436/POW(10,$J436)*MAXIFS(Token!$B:$B,Token!$A:$A,$K436)&gt;0.01),$L436/86400+DATE(1970,1,1)+$G$6,)</f>
        <v/>
      </c>
      <c r="B436" s="27" t="str">
        <f t="shared" si="1"/>
        <v/>
      </c>
      <c r="C436" s="14" t="str">
        <f>IF($A436&lt;&gt;"",MINIFS(Merchant!$A:$A,Merchant!$B:$B,$G$2),)</f>
        <v/>
      </c>
      <c r="D436" s="14" t="str">
        <f t="shared" si="2"/>
        <v/>
      </c>
      <c r="E436" s="14" t="str">
        <f t="shared" si="3"/>
        <v/>
      </c>
      <c r="F436" s="7" t="str">
        <f>IF($A436&lt;&gt;"",MAXIFS(Token!$B:$B,Token!$A:$A,$D436),)</f>
        <v/>
      </c>
    </row>
    <row r="437">
      <c r="A437" s="39" t="str">
        <f>IF(AND($L437*1&gt;=$G$3,$L437*1&lt;=$G$4,$I437*$J437&gt;0,OR($I437&lt;&gt;$I438,$L437-$L438&gt;25),$I437/POW(10,$J437)*MAXIFS(Token!$B:$B,Token!$A:$A,$K437)&gt;0.01),$L437/86400+DATE(1970,1,1)+$G$6,)</f>
        <v/>
      </c>
      <c r="B437" s="27" t="str">
        <f t="shared" si="1"/>
        <v/>
      </c>
      <c r="C437" s="14" t="str">
        <f>IF($A437&lt;&gt;"",MINIFS(Merchant!$A:$A,Merchant!$B:$B,$G$2),)</f>
        <v/>
      </c>
      <c r="D437" s="14" t="str">
        <f t="shared" si="2"/>
        <v/>
      </c>
      <c r="E437" s="14" t="str">
        <f t="shared" si="3"/>
        <v/>
      </c>
      <c r="F437" s="7" t="str">
        <f>IF($A437&lt;&gt;"",MAXIFS(Token!$B:$B,Token!$A:$A,$D437),)</f>
        <v/>
      </c>
    </row>
    <row r="438">
      <c r="A438" s="39" t="str">
        <f>IF(AND($L438*1&gt;=$G$3,$L438*1&lt;=$G$4,$I438*$J438&gt;0,OR($I438&lt;&gt;$I439,$L438-$L439&gt;25),$I438/POW(10,$J438)*MAXIFS(Token!$B:$B,Token!$A:$A,$K438)&gt;0.01),$L438/86400+DATE(1970,1,1)+$G$6,)</f>
        <v/>
      </c>
      <c r="B438" s="27" t="str">
        <f t="shared" si="1"/>
        <v/>
      </c>
      <c r="C438" s="14" t="str">
        <f>IF($A438&lt;&gt;"",MINIFS(Merchant!$A:$A,Merchant!$B:$B,$G$2),)</f>
        <v/>
      </c>
      <c r="D438" s="14" t="str">
        <f t="shared" si="2"/>
        <v/>
      </c>
      <c r="E438" s="14" t="str">
        <f t="shared" si="3"/>
        <v/>
      </c>
      <c r="F438" s="7" t="str">
        <f>IF($A438&lt;&gt;"",MAXIFS(Token!$B:$B,Token!$A:$A,$D438),)</f>
        <v/>
      </c>
    </row>
    <row r="439">
      <c r="A439" s="39" t="str">
        <f>IF(AND($L439*1&gt;=$G$3,$L439*1&lt;=$G$4,$I439*$J439&gt;0,OR($I439&lt;&gt;$I440,$L439-$L440&gt;25),$I439/POW(10,$J439)*MAXIFS(Token!$B:$B,Token!$A:$A,$K439)&gt;0.01),$L439/86400+DATE(1970,1,1)+$G$6,)</f>
        <v/>
      </c>
      <c r="B439" s="27" t="str">
        <f t="shared" si="1"/>
        <v/>
      </c>
      <c r="C439" s="14" t="str">
        <f>IF($A439&lt;&gt;"",MINIFS(Merchant!$A:$A,Merchant!$B:$B,$G$2),)</f>
        <v/>
      </c>
      <c r="D439" s="14" t="str">
        <f t="shared" si="2"/>
        <v/>
      </c>
      <c r="E439" s="14" t="str">
        <f t="shared" si="3"/>
        <v/>
      </c>
      <c r="F439" s="7" t="str">
        <f>IF($A439&lt;&gt;"",MAXIFS(Token!$B:$B,Token!$A:$A,$D439),)</f>
        <v/>
      </c>
    </row>
    <row r="440">
      <c r="A440" s="39" t="str">
        <f>IF(AND($L440*1&gt;=$G$3,$L440*1&lt;=$G$4,$I440*$J440&gt;0,OR($I440&lt;&gt;$I441,$L440-$L441&gt;25),$I440/POW(10,$J440)*MAXIFS(Token!$B:$B,Token!$A:$A,$K440)&gt;0.01),$L440/86400+DATE(1970,1,1)+$G$6,)</f>
        <v/>
      </c>
      <c r="B440" s="27" t="str">
        <f t="shared" si="1"/>
        <v/>
      </c>
      <c r="C440" s="14" t="str">
        <f>IF($A440&lt;&gt;"",MINIFS(Merchant!$A:$A,Merchant!$B:$B,$G$2),)</f>
        <v/>
      </c>
      <c r="D440" s="14" t="str">
        <f t="shared" si="2"/>
        <v/>
      </c>
      <c r="E440" s="14" t="str">
        <f t="shared" si="3"/>
        <v/>
      </c>
      <c r="F440" s="7" t="str">
        <f>IF($A440&lt;&gt;"",MAXIFS(Token!$B:$B,Token!$A:$A,$D440),)</f>
        <v/>
      </c>
    </row>
    <row r="441">
      <c r="A441" s="39" t="str">
        <f>IF(AND($L441*1&gt;=$G$3,$L441*1&lt;=$G$4,$I441*$J441&gt;0,OR($I441&lt;&gt;$I442,$L441-$L442&gt;25),$I441/POW(10,$J441)*MAXIFS(Token!$B:$B,Token!$A:$A,$K441)&gt;0.01),$L441/86400+DATE(1970,1,1)+$G$6,)</f>
        <v/>
      </c>
      <c r="B441" s="27" t="str">
        <f t="shared" si="1"/>
        <v/>
      </c>
      <c r="C441" s="14" t="str">
        <f>IF($A441&lt;&gt;"",MINIFS(Merchant!$A:$A,Merchant!$B:$B,$G$2),)</f>
        <v/>
      </c>
      <c r="D441" s="14" t="str">
        <f t="shared" si="2"/>
        <v/>
      </c>
      <c r="E441" s="14" t="str">
        <f t="shared" si="3"/>
        <v/>
      </c>
      <c r="F441" s="7" t="str">
        <f>IF($A441&lt;&gt;"",MAXIFS(Token!$B:$B,Token!$A:$A,$D441),)</f>
        <v/>
      </c>
    </row>
    <row r="442">
      <c r="A442" s="39" t="str">
        <f>IF(AND($L442*1&gt;=$G$3,$L442*1&lt;=$G$4,$I442*$J442&gt;0,OR($I442&lt;&gt;$I443,$L442-$L443&gt;25),$I442/POW(10,$J442)*MAXIFS(Token!$B:$B,Token!$A:$A,$K442)&gt;0.01),$L442/86400+DATE(1970,1,1)+$G$6,)</f>
        <v/>
      </c>
      <c r="B442" s="27" t="str">
        <f t="shared" si="1"/>
        <v/>
      </c>
      <c r="C442" s="14" t="str">
        <f>IF($A442&lt;&gt;"",MINIFS(Merchant!$A:$A,Merchant!$B:$B,$G$2),)</f>
        <v/>
      </c>
      <c r="D442" s="14" t="str">
        <f t="shared" si="2"/>
        <v/>
      </c>
      <c r="E442" s="14" t="str">
        <f t="shared" si="3"/>
        <v/>
      </c>
      <c r="F442" s="7" t="str">
        <f>IF($A442&lt;&gt;"",MAXIFS(Token!$B:$B,Token!$A:$A,$D442),)</f>
        <v/>
      </c>
    </row>
    <row r="443">
      <c r="A443" s="39" t="str">
        <f>IF(AND($L443*1&gt;=$G$3,$L443*1&lt;=$G$4,$I443*$J443&gt;0,OR($I443&lt;&gt;$I444,$L443-$L444&gt;25),$I443/POW(10,$J443)*MAXIFS(Token!$B:$B,Token!$A:$A,$K443)&gt;0.01),$L443/86400+DATE(1970,1,1)+$G$6,)</f>
        <v/>
      </c>
      <c r="B443" s="27" t="str">
        <f t="shared" si="1"/>
        <v/>
      </c>
      <c r="C443" s="14" t="str">
        <f>IF($A443&lt;&gt;"",MINIFS(Merchant!$A:$A,Merchant!$B:$B,$G$2),)</f>
        <v/>
      </c>
      <c r="D443" s="14" t="str">
        <f t="shared" si="2"/>
        <v/>
      </c>
      <c r="E443" s="14" t="str">
        <f t="shared" si="3"/>
        <v/>
      </c>
      <c r="F443" s="7" t="str">
        <f>IF($A443&lt;&gt;"",MAXIFS(Token!$B:$B,Token!$A:$A,$D443),)</f>
        <v/>
      </c>
    </row>
    <row r="444">
      <c r="A444" s="39" t="str">
        <f>IF(AND($L444*1&gt;=$G$3,$L444*1&lt;=$G$4,$I444*$J444&gt;0,OR($I444&lt;&gt;$I445,$L444-$L445&gt;25),$I444/POW(10,$J444)*MAXIFS(Token!$B:$B,Token!$A:$A,$K444)&gt;0.01),$L444/86400+DATE(1970,1,1)+$G$6,)</f>
        <v/>
      </c>
      <c r="B444" s="27" t="str">
        <f t="shared" si="1"/>
        <v/>
      </c>
      <c r="C444" s="14" t="str">
        <f>IF($A444&lt;&gt;"",MINIFS(Merchant!$A:$A,Merchant!$B:$B,$G$2),)</f>
        <v/>
      </c>
      <c r="D444" s="14" t="str">
        <f t="shared" si="2"/>
        <v/>
      </c>
      <c r="E444" s="14" t="str">
        <f t="shared" si="3"/>
        <v/>
      </c>
      <c r="F444" s="7" t="str">
        <f>IF($A444&lt;&gt;"",MAXIFS(Token!$B:$B,Token!$A:$A,$D444),)</f>
        <v/>
      </c>
    </row>
    <row r="445">
      <c r="A445" s="39" t="str">
        <f>IF(AND($L445*1&gt;=$G$3,$L445*1&lt;=$G$4,$I445*$J445&gt;0,OR($I445&lt;&gt;$I446,$L445-$L446&gt;25),$I445/POW(10,$J445)*MAXIFS(Token!$B:$B,Token!$A:$A,$K445)&gt;0.01),$L445/86400+DATE(1970,1,1)+$G$6,)</f>
        <v/>
      </c>
      <c r="B445" s="27" t="str">
        <f t="shared" si="1"/>
        <v/>
      </c>
      <c r="C445" s="14" t="str">
        <f>IF($A445&lt;&gt;"",MINIFS(Merchant!$A:$A,Merchant!$B:$B,$G$2),)</f>
        <v/>
      </c>
      <c r="D445" s="14" t="str">
        <f t="shared" si="2"/>
        <v/>
      </c>
      <c r="E445" s="14" t="str">
        <f t="shared" si="3"/>
        <v/>
      </c>
      <c r="F445" s="7" t="str">
        <f>IF($A445&lt;&gt;"",MAXIFS(Token!$B:$B,Token!$A:$A,$D445),)</f>
        <v/>
      </c>
    </row>
    <row r="446">
      <c r="A446" s="39" t="str">
        <f>IF(AND($L446*1&gt;=$G$3,$L446*1&lt;=$G$4,$I446*$J446&gt;0,OR($I446&lt;&gt;$I447,$L446-$L447&gt;25),$I446/POW(10,$J446)*MAXIFS(Token!$B:$B,Token!$A:$A,$K446)&gt;0.01),$L446/86400+DATE(1970,1,1)+$G$6,)</f>
        <v/>
      </c>
      <c r="B446" s="27" t="str">
        <f t="shared" si="1"/>
        <v/>
      </c>
      <c r="C446" s="14" t="str">
        <f>IF($A446&lt;&gt;"",MINIFS(Merchant!$A:$A,Merchant!$B:$B,$G$2),)</f>
        <v/>
      </c>
      <c r="D446" s="14" t="str">
        <f t="shared" si="2"/>
        <v/>
      </c>
      <c r="E446" s="14" t="str">
        <f t="shared" si="3"/>
        <v/>
      </c>
      <c r="F446" s="7" t="str">
        <f>IF($A446&lt;&gt;"",MAXIFS(Token!$B:$B,Token!$A:$A,$D446),)</f>
        <v/>
      </c>
    </row>
    <row r="447">
      <c r="A447" s="39" t="str">
        <f>IF(AND($L447*1&gt;=$G$3,$L447*1&lt;=$G$4,$I447*$J447&gt;0,OR($I447&lt;&gt;$I448,$L447-$L448&gt;25),$I447/POW(10,$J447)*MAXIFS(Token!$B:$B,Token!$A:$A,$K447)&gt;0.01),$L447/86400+DATE(1970,1,1)+$G$6,)</f>
        <v/>
      </c>
      <c r="B447" s="27" t="str">
        <f t="shared" si="1"/>
        <v/>
      </c>
      <c r="C447" s="14" t="str">
        <f>IF($A447&lt;&gt;"",MINIFS(Merchant!$A:$A,Merchant!$B:$B,$G$2),)</f>
        <v/>
      </c>
      <c r="D447" s="14" t="str">
        <f t="shared" si="2"/>
        <v/>
      </c>
      <c r="E447" s="14" t="str">
        <f t="shared" si="3"/>
        <v/>
      </c>
      <c r="F447" s="7" t="str">
        <f>IF($A447&lt;&gt;"",MAXIFS(Token!$B:$B,Token!$A:$A,$D447),)</f>
        <v/>
      </c>
    </row>
    <row r="448">
      <c r="A448" s="39" t="str">
        <f>IF(AND($L448*1&gt;=$G$3,$L448*1&lt;=$G$4,$I448*$J448&gt;0,OR($I448&lt;&gt;$I449,$L448-$L449&gt;25),$I448/POW(10,$J448)*MAXIFS(Token!$B:$B,Token!$A:$A,$K448)&gt;0.01),$L448/86400+DATE(1970,1,1)+$G$6,)</f>
        <v/>
      </c>
      <c r="B448" s="27" t="str">
        <f t="shared" si="1"/>
        <v/>
      </c>
      <c r="C448" s="14" t="str">
        <f>IF($A448&lt;&gt;"",MINIFS(Merchant!$A:$A,Merchant!$B:$B,$G$2),)</f>
        <v/>
      </c>
      <c r="D448" s="14" t="str">
        <f t="shared" si="2"/>
        <v/>
      </c>
      <c r="E448" s="14" t="str">
        <f t="shared" si="3"/>
        <v/>
      </c>
      <c r="F448" s="7" t="str">
        <f>IF($A448&lt;&gt;"",MAXIFS(Token!$B:$B,Token!$A:$A,$D448),)</f>
        <v/>
      </c>
    </row>
    <row r="449">
      <c r="A449" s="39" t="str">
        <f>IF(AND($L449*1&gt;=$G$3,$L449*1&lt;=$G$4,$I449*$J449&gt;0,OR($I449&lt;&gt;$I450,$L449-$L450&gt;25),$I449/POW(10,$J449)*MAXIFS(Token!$B:$B,Token!$A:$A,$K449)&gt;0.01),$L449/86400+DATE(1970,1,1)+$G$6,)</f>
        <v/>
      </c>
      <c r="B449" s="27" t="str">
        <f t="shared" si="1"/>
        <v/>
      </c>
      <c r="C449" s="14" t="str">
        <f>IF($A449&lt;&gt;"",MINIFS(Merchant!$A:$A,Merchant!$B:$B,$G$2),)</f>
        <v/>
      </c>
      <c r="D449" s="14" t="str">
        <f t="shared" si="2"/>
        <v/>
      </c>
      <c r="E449" s="14" t="str">
        <f t="shared" si="3"/>
        <v/>
      </c>
      <c r="F449" s="7" t="str">
        <f>IF($A449&lt;&gt;"",MAXIFS(Token!$B:$B,Token!$A:$A,$D449),)</f>
        <v/>
      </c>
    </row>
    <row r="450">
      <c r="A450" s="39" t="str">
        <f>IF(AND($L450*1&gt;=$G$3,$L450*1&lt;=$G$4,$I450*$J450&gt;0,OR($I450&lt;&gt;$I451,$L450-$L451&gt;25),$I450/POW(10,$J450)*MAXIFS(Token!$B:$B,Token!$A:$A,$K450)&gt;0.01),$L450/86400+DATE(1970,1,1)+$G$6,)</f>
        <v/>
      </c>
      <c r="B450" s="27" t="str">
        <f t="shared" si="1"/>
        <v/>
      </c>
      <c r="C450" s="14" t="str">
        <f>IF($A450&lt;&gt;"",MINIFS(Merchant!$A:$A,Merchant!$B:$B,$G$2),)</f>
        <v/>
      </c>
      <c r="D450" s="14" t="str">
        <f t="shared" si="2"/>
        <v/>
      </c>
      <c r="E450" s="14" t="str">
        <f t="shared" si="3"/>
        <v/>
      </c>
      <c r="F450" s="7" t="str">
        <f>IF($A450&lt;&gt;"",MAXIFS(Token!$B:$B,Token!$A:$A,$D450),)</f>
        <v/>
      </c>
    </row>
    <row r="451">
      <c r="A451" s="39" t="str">
        <f>IF(AND($L451*1&gt;=$G$3,$L451*1&lt;=$G$4,$I451*$J451&gt;0,OR($I451&lt;&gt;$I452,$L451-$L452&gt;25),$I451/POW(10,$J451)*MAXIFS(Token!$B:$B,Token!$A:$A,$K451)&gt;0.01),$L451/86400+DATE(1970,1,1)+$G$6,)</f>
        <v/>
      </c>
      <c r="B451" s="27" t="str">
        <f t="shared" si="1"/>
        <v/>
      </c>
      <c r="C451" s="14" t="str">
        <f>IF($A451&lt;&gt;"",MINIFS(Merchant!$A:$A,Merchant!$B:$B,$G$2),)</f>
        <v/>
      </c>
      <c r="D451" s="14" t="str">
        <f t="shared" si="2"/>
        <v/>
      </c>
      <c r="E451" s="14" t="str">
        <f t="shared" si="3"/>
        <v/>
      </c>
      <c r="F451" s="7" t="str">
        <f>IF($A451&lt;&gt;"",MAXIFS(Token!$B:$B,Token!$A:$A,$D451),)</f>
        <v/>
      </c>
    </row>
    <row r="452">
      <c r="A452" s="39" t="str">
        <f>IF(AND($L452*1&gt;=$G$3,$L452*1&lt;=$G$4,$I452*$J452&gt;0,OR($I452&lt;&gt;$I453,$L452-$L453&gt;25),$I452/POW(10,$J452)*MAXIFS(Token!$B:$B,Token!$A:$A,$K452)&gt;0.01),$L452/86400+DATE(1970,1,1)+$G$6,)</f>
        <v/>
      </c>
      <c r="B452" s="27" t="str">
        <f t="shared" si="1"/>
        <v/>
      </c>
      <c r="C452" s="14" t="str">
        <f>IF($A452&lt;&gt;"",MINIFS(Merchant!$A:$A,Merchant!$B:$B,$G$2),)</f>
        <v/>
      </c>
      <c r="D452" s="14" t="str">
        <f t="shared" si="2"/>
        <v/>
      </c>
      <c r="E452" s="14" t="str">
        <f t="shared" si="3"/>
        <v/>
      </c>
      <c r="F452" s="7" t="str">
        <f>IF($A452&lt;&gt;"",MAXIFS(Token!$B:$B,Token!$A:$A,$D452),)</f>
        <v/>
      </c>
    </row>
    <row r="453">
      <c r="A453" s="39" t="str">
        <f>IF(AND($L453*1&gt;=$G$3,$L453*1&lt;=$G$4,$I453*$J453&gt;0,OR($I453&lt;&gt;$I454,$L453-$L454&gt;25),$I453/POW(10,$J453)*MAXIFS(Token!$B:$B,Token!$A:$A,$K453)&gt;0.01),$L453/86400+DATE(1970,1,1)+$G$6,)</f>
        <v/>
      </c>
      <c r="B453" s="27" t="str">
        <f t="shared" si="1"/>
        <v/>
      </c>
      <c r="C453" s="14" t="str">
        <f>IF($A453&lt;&gt;"",MINIFS(Merchant!$A:$A,Merchant!$B:$B,$G$2),)</f>
        <v/>
      </c>
      <c r="D453" s="14" t="str">
        <f t="shared" si="2"/>
        <v/>
      </c>
      <c r="E453" s="14" t="str">
        <f t="shared" si="3"/>
        <v/>
      </c>
      <c r="F453" s="7" t="str">
        <f>IF($A453&lt;&gt;"",MAXIFS(Token!$B:$B,Token!$A:$A,$D453),)</f>
        <v/>
      </c>
    </row>
    <row r="454">
      <c r="A454" s="39" t="str">
        <f>IF(AND($L454*1&gt;=$G$3,$L454*1&lt;=$G$4,$I454*$J454&gt;0,OR($I454&lt;&gt;$I455,$L454-$L455&gt;25),$I454/POW(10,$J454)*MAXIFS(Token!$B:$B,Token!$A:$A,$K454)&gt;0.01),$L454/86400+DATE(1970,1,1)+$G$6,)</f>
        <v/>
      </c>
      <c r="B454" s="27" t="str">
        <f t="shared" si="1"/>
        <v/>
      </c>
      <c r="C454" s="14" t="str">
        <f>IF($A454&lt;&gt;"",MINIFS(Merchant!$A:$A,Merchant!$B:$B,$G$2),)</f>
        <v/>
      </c>
      <c r="D454" s="14" t="str">
        <f t="shared" si="2"/>
        <v/>
      </c>
      <c r="E454" s="14" t="str">
        <f t="shared" si="3"/>
        <v/>
      </c>
      <c r="F454" s="7" t="str">
        <f>IF($A454&lt;&gt;"",MAXIFS(Token!$B:$B,Token!$A:$A,$D454),)</f>
        <v/>
      </c>
    </row>
    <row r="455">
      <c r="A455" s="39" t="str">
        <f>IF(AND($L455*1&gt;=$G$3,$L455*1&lt;=$G$4,$I455*$J455&gt;0,OR($I455&lt;&gt;$I456,$L455-$L456&gt;25),$I455/POW(10,$J455)*MAXIFS(Token!$B:$B,Token!$A:$A,$K455)&gt;0.01),$L455/86400+DATE(1970,1,1)+$G$6,)</f>
        <v/>
      </c>
      <c r="B455" s="27" t="str">
        <f t="shared" si="1"/>
        <v/>
      </c>
      <c r="C455" s="14" t="str">
        <f>IF($A455&lt;&gt;"",MINIFS(Merchant!$A:$A,Merchant!$B:$B,$G$2),)</f>
        <v/>
      </c>
      <c r="D455" s="14" t="str">
        <f t="shared" si="2"/>
        <v/>
      </c>
      <c r="E455" s="14" t="str">
        <f t="shared" si="3"/>
        <v/>
      </c>
      <c r="F455" s="7" t="str">
        <f>IF($A455&lt;&gt;"",MAXIFS(Token!$B:$B,Token!$A:$A,$D455),)</f>
        <v/>
      </c>
    </row>
    <row r="456">
      <c r="A456" s="39" t="str">
        <f>IF(AND($L456*1&gt;=$G$3,$L456*1&lt;=$G$4,$I456*$J456&gt;0,OR($I456&lt;&gt;$I457,$L456-$L457&gt;25),$I456/POW(10,$J456)*MAXIFS(Token!$B:$B,Token!$A:$A,$K456)&gt;0.01),$L456/86400+DATE(1970,1,1)+$G$6,)</f>
        <v/>
      </c>
      <c r="B456" s="27" t="str">
        <f t="shared" si="1"/>
        <v/>
      </c>
      <c r="C456" s="14" t="str">
        <f>IF($A456&lt;&gt;"",MINIFS(Merchant!$A:$A,Merchant!$B:$B,$G$2),)</f>
        <v/>
      </c>
      <c r="D456" s="14" t="str">
        <f t="shared" si="2"/>
        <v/>
      </c>
      <c r="E456" s="14" t="str">
        <f t="shared" si="3"/>
        <v/>
      </c>
      <c r="F456" s="7" t="str">
        <f>IF($A456&lt;&gt;"",MAXIFS(Token!$B:$B,Token!$A:$A,$D456),)</f>
        <v/>
      </c>
    </row>
    <row r="457">
      <c r="A457" s="39" t="str">
        <f>IF(AND($L457*1&gt;=$G$3,$L457*1&lt;=$G$4,$I457*$J457&gt;0,OR($I457&lt;&gt;$I458,$L457-$L458&gt;25),$I457/POW(10,$J457)*MAXIFS(Token!$B:$B,Token!$A:$A,$K457)&gt;0.01),$L457/86400+DATE(1970,1,1)+$G$6,)</f>
        <v/>
      </c>
      <c r="B457" s="27" t="str">
        <f t="shared" si="1"/>
        <v/>
      </c>
      <c r="C457" s="14" t="str">
        <f>IF($A457&lt;&gt;"",MINIFS(Merchant!$A:$A,Merchant!$B:$B,$G$2),)</f>
        <v/>
      </c>
      <c r="D457" s="14" t="str">
        <f t="shared" si="2"/>
        <v/>
      </c>
      <c r="E457" s="14" t="str">
        <f t="shared" si="3"/>
        <v/>
      </c>
      <c r="F457" s="7" t="str">
        <f>IF($A457&lt;&gt;"",MAXIFS(Token!$B:$B,Token!$A:$A,$D457),)</f>
        <v/>
      </c>
    </row>
    <row r="458">
      <c r="A458" s="39" t="str">
        <f>IF(AND($L458*1&gt;=$G$3,$L458*1&lt;=$G$4,$I458*$J458&gt;0,OR($I458&lt;&gt;$I459,$L458-$L459&gt;25),$I458/POW(10,$J458)*MAXIFS(Token!$B:$B,Token!$A:$A,$K458)&gt;0.01),$L458/86400+DATE(1970,1,1)+$G$6,)</f>
        <v/>
      </c>
      <c r="B458" s="27" t="str">
        <f t="shared" si="1"/>
        <v/>
      </c>
      <c r="C458" s="14" t="str">
        <f>IF($A458&lt;&gt;"",MINIFS(Merchant!$A:$A,Merchant!$B:$B,$G$2),)</f>
        <v/>
      </c>
      <c r="D458" s="14" t="str">
        <f t="shared" si="2"/>
        <v/>
      </c>
      <c r="E458" s="14" t="str">
        <f t="shared" si="3"/>
        <v/>
      </c>
      <c r="F458" s="7" t="str">
        <f>IF($A458&lt;&gt;"",MAXIFS(Token!$B:$B,Token!$A:$A,$D458),)</f>
        <v/>
      </c>
    </row>
    <row r="459">
      <c r="A459" s="39" t="str">
        <f>IF(AND($L459*1&gt;=$G$3,$L459*1&lt;=$G$4,$I459*$J459&gt;0,OR($I459&lt;&gt;$I460,$L459-$L460&gt;25),$I459/POW(10,$J459)*MAXIFS(Token!$B:$B,Token!$A:$A,$K459)&gt;0.01),$L459/86400+DATE(1970,1,1)+$G$6,)</f>
        <v/>
      </c>
      <c r="B459" s="27" t="str">
        <f t="shared" si="1"/>
        <v/>
      </c>
      <c r="C459" s="14" t="str">
        <f>IF($A459&lt;&gt;"",MINIFS(Merchant!$A:$A,Merchant!$B:$B,$G$2),)</f>
        <v/>
      </c>
      <c r="D459" s="14" t="str">
        <f t="shared" si="2"/>
        <v/>
      </c>
      <c r="E459" s="14" t="str">
        <f t="shared" si="3"/>
        <v/>
      </c>
      <c r="F459" s="7" t="str">
        <f>IF($A459&lt;&gt;"",MAXIFS(Token!$B:$B,Token!$A:$A,$D459),)</f>
        <v/>
      </c>
    </row>
    <row r="460">
      <c r="A460" s="39" t="str">
        <f>IF(AND($L460*1&gt;=$G$3,$L460*1&lt;=$G$4,$I460*$J460&gt;0,OR($I460&lt;&gt;$I461,$L460-$L461&gt;25),$I460/POW(10,$J460)*MAXIFS(Token!$B:$B,Token!$A:$A,$K460)&gt;0.01),$L460/86400+DATE(1970,1,1)+$G$6,)</f>
        <v/>
      </c>
      <c r="B460" s="27" t="str">
        <f t="shared" si="1"/>
        <v/>
      </c>
      <c r="C460" s="14" t="str">
        <f>IF($A460&lt;&gt;"",MINIFS(Merchant!$A:$A,Merchant!$B:$B,$G$2),)</f>
        <v/>
      </c>
      <c r="D460" s="14" t="str">
        <f t="shared" si="2"/>
        <v/>
      </c>
      <c r="E460" s="14" t="str">
        <f t="shared" si="3"/>
        <v/>
      </c>
      <c r="F460" s="7" t="str">
        <f>IF($A460&lt;&gt;"",MAXIFS(Token!$B:$B,Token!$A:$A,$D460),)</f>
        <v/>
      </c>
    </row>
    <row r="461">
      <c r="A461" s="39" t="str">
        <f>IF(AND($L461*1&gt;=$G$3,$L461*1&lt;=$G$4,$I461*$J461&gt;0,OR($I461&lt;&gt;$I462,$L461-$L462&gt;25),$I461/POW(10,$J461)*MAXIFS(Token!$B:$B,Token!$A:$A,$K461)&gt;0.01),$L461/86400+DATE(1970,1,1)+$G$6,)</f>
        <v/>
      </c>
      <c r="B461" s="27" t="str">
        <f t="shared" si="1"/>
        <v/>
      </c>
      <c r="C461" s="14" t="str">
        <f>IF($A461&lt;&gt;"",MINIFS(Merchant!$A:$A,Merchant!$B:$B,$G$2),)</f>
        <v/>
      </c>
      <c r="D461" s="14" t="str">
        <f t="shared" si="2"/>
        <v/>
      </c>
      <c r="E461" s="14" t="str">
        <f t="shared" si="3"/>
        <v/>
      </c>
      <c r="F461" s="7" t="str">
        <f>IF($A461&lt;&gt;"",MAXIFS(Token!$B:$B,Token!$A:$A,$D461),)</f>
        <v/>
      </c>
    </row>
    <row r="462">
      <c r="A462" s="39" t="str">
        <f>IF(AND($L462*1&gt;=$G$3,$L462*1&lt;=$G$4,$I462*$J462&gt;0,OR($I462&lt;&gt;$I463,$L462-$L463&gt;25),$I462/POW(10,$J462)*MAXIFS(Token!$B:$B,Token!$A:$A,$K462)&gt;0.01),$L462/86400+DATE(1970,1,1)+$G$6,)</f>
        <v/>
      </c>
      <c r="B462" s="27" t="str">
        <f t="shared" si="1"/>
        <v/>
      </c>
      <c r="C462" s="14" t="str">
        <f>IF($A462&lt;&gt;"",MINIFS(Merchant!$A:$A,Merchant!$B:$B,$G$2),)</f>
        <v/>
      </c>
      <c r="D462" s="14" t="str">
        <f t="shared" si="2"/>
        <v/>
      </c>
      <c r="E462" s="14" t="str">
        <f t="shared" si="3"/>
        <v/>
      </c>
      <c r="F462" s="7" t="str">
        <f>IF($A462&lt;&gt;"",MAXIFS(Token!$B:$B,Token!$A:$A,$D462),)</f>
        <v/>
      </c>
    </row>
    <row r="463">
      <c r="A463" s="39" t="str">
        <f>IF(AND($L463*1&gt;=$G$3,$L463*1&lt;=$G$4,$I463*$J463&gt;0,OR($I463&lt;&gt;$I464,$L463-$L464&gt;25),$I463/POW(10,$J463)*MAXIFS(Token!$B:$B,Token!$A:$A,$K463)&gt;0.01),$L463/86400+DATE(1970,1,1)+$G$6,)</f>
        <v/>
      </c>
      <c r="B463" s="27" t="str">
        <f t="shared" si="1"/>
        <v/>
      </c>
      <c r="C463" s="14" t="str">
        <f>IF($A463&lt;&gt;"",MINIFS(Merchant!$A:$A,Merchant!$B:$B,$G$2),)</f>
        <v/>
      </c>
      <c r="D463" s="14" t="str">
        <f t="shared" si="2"/>
        <v/>
      </c>
      <c r="E463" s="14" t="str">
        <f t="shared" si="3"/>
        <v/>
      </c>
      <c r="F463" s="7" t="str">
        <f>IF($A463&lt;&gt;"",MAXIFS(Token!$B:$B,Token!$A:$A,$D463),)</f>
        <v/>
      </c>
    </row>
    <row r="464">
      <c r="A464" s="39" t="str">
        <f>IF(AND($L464*1&gt;=$G$3,$L464*1&lt;=$G$4,$I464*$J464&gt;0,OR($I464&lt;&gt;$I465,$L464-$L465&gt;25),$I464/POW(10,$J464)*MAXIFS(Token!$B:$B,Token!$A:$A,$K464)&gt;0.01),$L464/86400+DATE(1970,1,1)+$G$6,)</f>
        <v/>
      </c>
      <c r="B464" s="27" t="str">
        <f t="shared" si="1"/>
        <v/>
      </c>
      <c r="C464" s="14" t="str">
        <f>IF($A464&lt;&gt;"",MINIFS(Merchant!$A:$A,Merchant!$B:$B,$G$2),)</f>
        <v/>
      </c>
      <c r="D464" s="14" t="str">
        <f t="shared" si="2"/>
        <v/>
      </c>
      <c r="E464" s="14" t="str">
        <f t="shared" si="3"/>
        <v/>
      </c>
      <c r="F464" s="7" t="str">
        <f>IF($A464&lt;&gt;"",MAXIFS(Token!$B:$B,Token!$A:$A,$D464),)</f>
        <v/>
      </c>
    </row>
    <row r="465">
      <c r="A465" s="39" t="str">
        <f>IF(AND($L465*1&gt;=$G$3,$L465*1&lt;=$G$4,$I465*$J465&gt;0,OR($I465&lt;&gt;$I466,$L465-$L466&gt;25),$I465/POW(10,$J465)*MAXIFS(Token!$B:$B,Token!$A:$A,$K465)&gt;0.01),$L465/86400+DATE(1970,1,1)+$G$6,)</f>
        <v/>
      </c>
      <c r="B465" s="27" t="str">
        <f t="shared" si="1"/>
        <v/>
      </c>
      <c r="C465" s="14" t="str">
        <f>IF($A465&lt;&gt;"",MINIFS(Merchant!$A:$A,Merchant!$B:$B,$G$2),)</f>
        <v/>
      </c>
      <c r="D465" s="14" t="str">
        <f t="shared" si="2"/>
        <v/>
      </c>
      <c r="E465" s="14" t="str">
        <f t="shared" si="3"/>
        <v/>
      </c>
      <c r="F465" s="7" t="str">
        <f>IF($A465&lt;&gt;"",MAXIFS(Token!$B:$B,Token!$A:$A,$D465),)</f>
        <v/>
      </c>
    </row>
    <row r="466">
      <c r="A466" s="39" t="str">
        <f>IF(AND($L466*1&gt;=$G$3,$L466*1&lt;=$G$4,$I466*$J466&gt;0,OR($I466&lt;&gt;$I467,$L466-$L467&gt;25),$I466/POW(10,$J466)*MAXIFS(Token!$B:$B,Token!$A:$A,$K466)&gt;0.01),$L466/86400+DATE(1970,1,1)+$G$6,)</f>
        <v/>
      </c>
      <c r="B466" s="27" t="str">
        <f t="shared" si="1"/>
        <v/>
      </c>
      <c r="C466" s="14" t="str">
        <f>IF($A466&lt;&gt;"",MINIFS(Merchant!$A:$A,Merchant!$B:$B,$G$2),)</f>
        <v/>
      </c>
      <c r="D466" s="14" t="str">
        <f t="shared" si="2"/>
        <v/>
      </c>
      <c r="E466" s="14" t="str">
        <f t="shared" si="3"/>
        <v/>
      </c>
      <c r="F466" s="7" t="str">
        <f>IF($A466&lt;&gt;"",MAXIFS(Token!$B:$B,Token!$A:$A,$D466),)</f>
        <v/>
      </c>
    </row>
    <row r="467">
      <c r="A467" s="39" t="str">
        <f>IF(AND($L467*1&gt;=$G$3,$L467*1&lt;=$G$4,$I467*$J467&gt;0,OR($I467&lt;&gt;$I468,$L467-$L468&gt;25),$I467/POW(10,$J467)*MAXIFS(Token!$B:$B,Token!$A:$A,$K467)&gt;0.01),$L467/86400+DATE(1970,1,1)+$G$6,)</f>
        <v/>
      </c>
      <c r="B467" s="27" t="str">
        <f t="shared" si="1"/>
        <v/>
      </c>
      <c r="C467" s="14" t="str">
        <f>IF($A467&lt;&gt;"",MINIFS(Merchant!$A:$A,Merchant!$B:$B,$G$2),)</f>
        <v/>
      </c>
      <c r="D467" s="14" t="str">
        <f t="shared" si="2"/>
        <v/>
      </c>
      <c r="E467" s="14" t="str">
        <f t="shared" si="3"/>
        <v/>
      </c>
      <c r="F467" s="7" t="str">
        <f>IF($A467&lt;&gt;"",MAXIFS(Token!$B:$B,Token!$A:$A,$D467),)</f>
        <v/>
      </c>
    </row>
    <row r="468">
      <c r="A468" s="39" t="str">
        <f>IF(AND($L468*1&gt;=$G$3,$L468*1&lt;=$G$4,$I468*$J468&gt;0,OR($I468&lt;&gt;$I469,$L468-$L469&gt;25),$I468/POW(10,$J468)*MAXIFS(Token!$B:$B,Token!$A:$A,$K468)&gt;0.01),$L468/86400+DATE(1970,1,1)+$G$6,)</f>
        <v/>
      </c>
      <c r="B468" s="27" t="str">
        <f t="shared" si="1"/>
        <v/>
      </c>
      <c r="C468" s="14" t="str">
        <f>IF($A468&lt;&gt;"",MINIFS(Merchant!$A:$A,Merchant!$B:$B,$G$2),)</f>
        <v/>
      </c>
      <c r="D468" s="14" t="str">
        <f t="shared" si="2"/>
        <v/>
      </c>
      <c r="E468" s="14" t="str">
        <f t="shared" si="3"/>
        <v/>
      </c>
      <c r="F468" s="7" t="str">
        <f>IF($A468&lt;&gt;"",MAXIFS(Token!$B:$B,Token!$A:$A,$D468),)</f>
        <v/>
      </c>
    </row>
    <row r="469">
      <c r="A469" s="39" t="str">
        <f>IF(AND($L469*1&gt;=$G$3,$L469*1&lt;=$G$4,$I469*$J469&gt;0,OR($I469&lt;&gt;$I470,$L469-$L470&gt;25),$I469/POW(10,$J469)*MAXIFS(Token!$B:$B,Token!$A:$A,$K469)&gt;0.01),$L469/86400+DATE(1970,1,1)+$G$6,)</f>
        <v/>
      </c>
      <c r="B469" s="27" t="str">
        <f t="shared" si="1"/>
        <v/>
      </c>
      <c r="C469" s="14" t="str">
        <f>IF($A469&lt;&gt;"",MINIFS(Merchant!$A:$A,Merchant!$B:$B,$G$2),)</f>
        <v/>
      </c>
      <c r="D469" s="14" t="str">
        <f t="shared" si="2"/>
        <v/>
      </c>
      <c r="E469" s="14" t="str">
        <f t="shared" si="3"/>
        <v/>
      </c>
      <c r="F469" s="7" t="str">
        <f>IF($A469&lt;&gt;"",MAXIFS(Token!$B:$B,Token!$A:$A,$D469),)</f>
        <v/>
      </c>
    </row>
    <row r="470">
      <c r="A470" s="39" t="str">
        <f>IF(AND($L470*1&gt;=$G$3,$L470*1&lt;=$G$4,$I470*$J470&gt;0,OR($I470&lt;&gt;$I471,$L470-$L471&gt;25),$I470/POW(10,$J470)*MAXIFS(Token!$B:$B,Token!$A:$A,$K470)&gt;0.01),$L470/86400+DATE(1970,1,1)+$G$6,)</f>
        <v/>
      </c>
      <c r="B470" s="27" t="str">
        <f t="shared" si="1"/>
        <v/>
      </c>
      <c r="C470" s="14" t="str">
        <f>IF($A470&lt;&gt;"",MINIFS(Merchant!$A:$A,Merchant!$B:$B,$G$2),)</f>
        <v/>
      </c>
      <c r="D470" s="14" t="str">
        <f t="shared" si="2"/>
        <v/>
      </c>
      <c r="E470" s="14" t="str">
        <f t="shared" si="3"/>
        <v/>
      </c>
      <c r="F470" s="7" t="str">
        <f>IF($A470&lt;&gt;"",MAXIFS(Token!$B:$B,Token!$A:$A,$D470),)</f>
        <v/>
      </c>
    </row>
    <row r="471">
      <c r="A471" s="39" t="str">
        <f>IF(AND($L471*1&gt;=$G$3,$L471*1&lt;=$G$4,$I471*$J471&gt;0,OR($I471&lt;&gt;$I472,$L471-$L472&gt;25),$I471/POW(10,$J471)*MAXIFS(Token!$B:$B,Token!$A:$A,$K471)&gt;0.01),$L471/86400+DATE(1970,1,1)+$G$6,)</f>
        <v/>
      </c>
      <c r="B471" s="27" t="str">
        <f t="shared" si="1"/>
        <v/>
      </c>
      <c r="C471" s="14" t="str">
        <f>IF($A471&lt;&gt;"",MINIFS(Merchant!$A:$A,Merchant!$B:$B,$G$2),)</f>
        <v/>
      </c>
      <c r="D471" s="14" t="str">
        <f t="shared" si="2"/>
        <v/>
      </c>
      <c r="E471" s="14" t="str">
        <f t="shared" si="3"/>
        <v/>
      </c>
      <c r="F471" s="7" t="str">
        <f>IF($A471&lt;&gt;"",MAXIFS(Token!$B:$B,Token!$A:$A,$D471),)</f>
        <v/>
      </c>
    </row>
    <row r="472">
      <c r="A472" s="39" t="str">
        <f>IF(AND($L472*1&gt;=$G$3,$L472*1&lt;=$G$4,$I472*$J472&gt;0,OR($I472&lt;&gt;$I473,$L472-$L473&gt;25),$I472/POW(10,$J472)*MAXIFS(Token!$B:$B,Token!$A:$A,$K472)&gt;0.01),$L472/86400+DATE(1970,1,1)+$G$6,)</f>
        <v/>
      </c>
      <c r="B472" s="27" t="str">
        <f t="shared" si="1"/>
        <v/>
      </c>
      <c r="C472" s="14" t="str">
        <f>IF($A472&lt;&gt;"",MINIFS(Merchant!$A:$A,Merchant!$B:$B,$G$2),)</f>
        <v/>
      </c>
      <c r="D472" s="14" t="str">
        <f t="shared" si="2"/>
        <v/>
      </c>
      <c r="E472" s="14" t="str">
        <f t="shared" si="3"/>
        <v/>
      </c>
      <c r="F472" s="7" t="str">
        <f>IF($A472&lt;&gt;"",MAXIFS(Token!$B:$B,Token!$A:$A,$D472),)</f>
        <v/>
      </c>
    </row>
    <row r="473">
      <c r="A473" s="39" t="str">
        <f>IF(AND($L473*1&gt;=$G$3,$L473*1&lt;=$G$4,$I473*$J473&gt;0,OR($I473&lt;&gt;$I474,$L473-$L474&gt;25),$I473/POW(10,$J473)*MAXIFS(Token!$B:$B,Token!$A:$A,$K473)&gt;0.01),$L473/86400+DATE(1970,1,1)+$G$6,)</f>
        <v/>
      </c>
      <c r="B473" s="27" t="str">
        <f t="shared" si="1"/>
        <v/>
      </c>
      <c r="C473" s="14" t="str">
        <f>IF($A473&lt;&gt;"",MINIFS(Merchant!$A:$A,Merchant!$B:$B,$G$2),)</f>
        <v/>
      </c>
      <c r="D473" s="14" t="str">
        <f t="shared" si="2"/>
        <v/>
      </c>
      <c r="E473" s="14" t="str">
        <f t="shared" si="3"/>
        <v/>
      </c>
      <c r="F473" s="7" t="str">
        <f>IF($A473&lt;&gt;"",MAXIFS(Token!$B:$B,Token!$A:$A,$D473),)</f>
        <v/>
      </c>
    </row>
    <row r="474">
      <c r="A474" s="39" t="str">
        <f>IF(AND($L474*1&gt;=$G$3,$L474*1&lt;=$G$4,$I474*$J474&gt;0,OR($I474&lt;&gt;$I475,$L474-$L475&gt;25),$I474/POW(10,$J474)*MAXIFS(Token!$B:$B,Token!$A:$A,$K474)&gt;0.01),$L474/86400+DATE(1970,1,1)+$G$6,)</f>
        <v/>
      </c>
      <c r="B474" s="27" t="str">
        <f t="shared" si="1"/>
        <v/>
      </c>
      <c r="C474" s="14" t="str">
        <f>IF($A474&lt;&gt;"",MINIFS(Merchant!$A:$A,Merchant!$B:$B,$G$2),)</f>
        <v/>
      </c>
      <c r="D474" s="14" t="str">
        <f t="shared" si="2"/>
        <v/>
      </c>
      <c r="E474" s="14" t="str">
        <f t="shared" si="3"/>
        <v/>
      </c>
      <c r="F474" s="7" t="str">
        <f>IF($A474&lt;&gt;"",MAXIFS(Token!$B:$B,Token!$A:$A,$D474),)</f>
        <v/>
      </c>
    </row>
    <row r="475">
      <c r="A475" s="39" t="str">
        <f>IF(AND($L475*1&gt;=$G$3,$L475*1&lt;=$G$4,$I475*$J475&gt;0,OR($I475&lt;&gt;$I476,$L475-$L476&gt;25),$I475/POW(10,$J475)*MAXIFS(Token!$B:$B,Token!$A:$A,$K475)&gt;0.01),$L475/86400+DATE(1970,1,1)+$G$6,)</f>
        <v/>
      </c>
      <c r="B475" s="27" t="str">
        <f t="shared" si="1"/>
        <v/>
      </c>
      <c r="C475" s="14" t="str">
        <f>IF($A475&lt;&gt;"",MINIFS(Merchant!$A:$A,Merchant!$B:$B,$G$2),)</f>
        <v/>
      </c>
      <c r="D475" s="14" t="str">
        <f t="shared" si="2"/>
        <v/>
      </c>
      <c r="E475" s="14" t="str">
        <f t="shared" si="3"/>
        <v/>
      </c>
      <c r="F475" s="7" t="str">
        <f>IF($A475&lt;&gt;"",MAXIFS(Token!$B:$B,Token!$A:$A,$D475),)</f>
        <v/>
      </c>
    </row>
    <row r="476">
      <c r="A476" s="39" t="str">
        <f>IF(AND($L476*1&gt;=$G$3,$L476*1&lt;=$G$4,$I476*$J476&gt;0,OR($I476&lt;&gt;$I477,$L476-$L477&gt;25),$I476/POW(10,$J476)*MAXIFS(Token!$B:$B,Token!$A:$A,$K476)&gt;0.01),$L476/86400+DATE(1970,1,1)+$G$6,)</f>
        <v/>
      </c>
      <c r="B476" s="27" t="str">
        <f t="shared" si="1"/>
        <v/>
      </c>
      <c r="C476" s="14" t="str">
        <f>IF($A476&lt;&gt;"",MINIFS(Merchant!$A:$A,Merchant!$B:$B,$G$2),)</f>
        <v/>
      </c>
      <c r="D476" s="14" t="str">
        <f t="shared" si="2"/>
        <v/>
      </c>
      <c r="E476" s="14" t="str">
        <f t="shared" si="3"/>
        <v/>
      </c>
      <c r="F476" s="7" t="str">
        <f>IF($A476&lt;&gt;"",MAXIFS(Token!$B:$B,Token!$A:$A,$D476),)</f>
        <v/>
      </c>
    </row>
    <row r="477">
      <c r="A477" s="39" t="str">
        <f>IF(AND($L477*1&gt;=$G$3,$L477*1&lt;=$G$4,$I477*$J477&gt;0,OR($I477&lt;&gt;$I478,$L477-$L478&gt;25),$I477/POW(10,$J477)*MAXIFS(Token!$B:$B,Token!$A:$A,$K477)&gt;0.01),$L477/86400+DATE(1970,1,1)+$G$6,)</f>
        <v/>
      </c>
      <c r="B477" s="27" t="str">
        <f t="shared" si="1"/>
        <v/>
      </c>
      <c r="C477" s="14" t="str">
        <f>IF($A477&lt;&gt;"",MINIFS(Merchant!$A:$A,Merchant!$B:$B,$G$2),)</f>
        <v/>
      </c>
      <c r="D477" s="14" t="str">
        <f t="shared" si="2"/>
        <v/>
      </c>
      <c r="E477" s="14" t="str">
        <f t="shared" si="3"/>
        <v/>
      </c>
      <c r="F477" s="7" t="str">
        <f>IF($A477&lt;&gt;"",MAXIFS(Token!$B:$B,Token!$A:$A,$D477),)</f>
        <v/>
      </c>
    </row>
    <row r="478">
      <c r="A478" s="39" t="str">
        <f>IF(AND($L478*1&gt;=$G$3,$L478*1&lt;=$G$4,$I478*$J478&gt;0,OR($I478&lt;&gt;$I479,$L478-$L479&gt;25),$I478/POW(10,$J478)*MAXIFS(Token!$B:$B,Token!$A:$A,$K478)&gt;0.01),$L478/86400+DATE(1970,1,1)+$G$6,)</f>
        <v/>
      </c>
      <c r="B478" s="27" t="str">
        <f t="shared" si="1"/>
        <v/>
      </c>
      <c r="C478" s="14" t="str">
        <f>IF($A478&lt;&gt;"",MINIFS(Merchant!$A:$A,Merchant!$B:$B,$G$2),)</f>
        <v/>
      </c>
      <c r="D478" s="14" t="str">
        <f t="shared" si="2"/>
        <v/>
      </c>
      <c r="E478" s="14" t="str">
        <f t="shared" si="3"/>
        <v/>
      </c>
      <c r="F478" s="7" t="str">
        <f>IF($A478&lt;&gt;"",MAXIFS(Token!$B:$B,Token!$A:$A,$D478),)</f>
        <v/>
      </c>
    </row>
    <row r="479">
      <c r="A479" s="39" t="str">
        <f>IF(AND($L479*1&gt;=$G$3,$L479*1&lt;=$G$4,$I479*$J479&gt;0,OR($I479&lt;&gt;$I480,$L479-$L480&gt;25),$I479/POW(10,$J479)*MAXIFS(Token!$B:$B,Token!$A:$A,$K479)&gt;0.01),$L479/86400+DATE(1970,1,1)+$G$6,)</f>
        <v/>
      </c>
      <c r="B479" s="27" t="str">
        <f t="shared" si="1"/>
        <v/>
      </c>
      <c r="C479" s="14" t="str">
        <f>IF($A479&lt;&gt;"",MINIFS(Merchant!$A:$A,Merchant!$B:$B,$G$2),)</f>
        <v/>
      </c>
      <c r="D479" s="14" t="str">
        <f t="shared" si="2"/>
        <v/>
      </c>
      <c r="E479" s="14" t="str">
        <f t="shared" si="3"/>
        <v/>
      </c>
      <c r="F479" s="7" t="str">
        <f>IF($A479&lt;&gt;"",MAXIFS(Token!$B:$B,Token!$A:$A,$D479),)</f>
        <v/>
      </c>
    </row>
    <row r="480">
      <c r="A480" s="39" t="str">
        <f>IF(AND($L480*1&gt;=$G$3,$L480*1&lt;=$G$4,$I480*$J480&gt;0,OR($I480&lt;&gt;$I481,$L480-$L481&gt;25),$I480/POW(10,$J480)*MAXIFS(Token!$B:$B,Token!$A:$A,$K480)&gt;0.01),$L480/86400+DATE(1970,1,1)+$G$6,)</f>
        <v/>
      </c>
      <c r="B480" s="27" t="str">
        <f t="shared" si="1"/>
        <v/>
      </c>
      <c r="C480" s="14" t="str">
        <f>IF($A480&lt;&gt;"",MINIFS(Merchant!$A:$A,Merchant!$B:$B,$G$2),)</f>
        <v/>
      </c>
      <c r="D480" s="14" t="str">
        <f t="shared" si="2"/>
        <v/>
      </c>
      <c r="E480" s="14" t="str">
        <f t="shared" si="3"/>
        <v/>
      </c>
      <c r="F480" s="7" t="str">
        <f>IF($A480&lt;&gt;"",MAXIFS(Token!$B:$B,Token!$A:$A,$D480),)</f>
        <v/>
      </c>
    </row>
    <row r="481">
      <c r="A481" s="39" t="str">
        <f>IF(AND($L481*1&gt;=$G$3,$L481*1&lt;=$G$4,$I481*$J481&gt;0,OR($I481&lt;&gt;$I482,$L481-$L482&gt;25),$I481/POW(10,$J481)*MAXIFS(Token!$B:$B,Token!$A:$A,$K481)&gt;0.01),$L481/86400+DATE(1970,1,1)+$G$6,)</f>
        <v/>
      </c>
      <c r="B481" s="27" t="str">
        <f t="shared" si="1"/>
        <v/>
      </c>
      <c r="C481" s="14" t="str">
        <f>IF($A481&lt;&gt;"",MINIFS(Merchant!$A:$A,Merchant!$B:$B,$G$2),)</f>
        <v/>
      </c>
      <c r="D481" s="14" t="str">
        <f t="shared" si="2"/>
        <v/>
      </c>
      <c r="E481" s="14" t="str">
        <f t="shared" si="3"/>
        <v/>
      </c>
      <c r="F481" s="7" t="str">
        <f>IF($A481&lt;&gt;"",MAXIFS(Token!$B:$B,Token!$A:$A,$D481),)</f>
        <v/>
      </c>
    </row>
    <row r="482">
      <c r="A482" s="39" t="str">
        <f>IF(AND($L482*1&gt;=$G$3,$L482*1&lt;=$G$4,$I482*$J482&gt;0,OR($I482&lt;&gt;$I483,$L482-$L483&gt;25),$I482/POW(10,$J482)*MAXIFS(Token!$B:$B,Token!$A:$A,$K482)&gt;0.01),$L482/86400+DATE(1970,1,1)+$G$6,)</f>
        <v/>
      </c>
      <c r="B482" s="27" t="str">
        <f t="shared" si="1"/>
        <v/>
      </c>
      <c r="C482" s="14" t="str">
        <f>IF($A482&lt;&gt;"",MINIFS(Merchant!$A:$A,Merchant!$B:$B,$G$2),)</f>
        <v/>
      </c>
      <c r="D482" s="14" t="str">
        <f t="shared" si="2"/>
        <v/>
      </c>
      <c r="E482" s="14" t="str">
        <f t="shared" si="3"/>
        <v/>
      </c>
      <c r="F482" s="7" t="str">
        <f>IF($A482&lt;&gt;"",MAXIFS(Token!$B:$B,Token!$A:$A,$D482),)</f>
        <v/>
      </c>
    </row>
    <row r="483">
      <c r="A483" s="39" t="str">
        <f>IF(AND($L483*1&gt;=$G$3,$L483*1&lt;=$G$4,$I483*$J483&gt;0,OR($I483&lt;&gt;$I484,$L483-$L484&gt;25),$I483/POW(10,$J483)*MAXIFS(Token!$B:$B,Token!$A:$A,$K483)&gt;0.01),$L483/86400+DATE(1970,1,1)+$G$6,)</f>
        <v/>
      </c>
      <c r="B483" s="27" t="str">
        <f t="shared" si="1"/>
        <v/>
      </c>
      <c r="C483" s="14" t="str">
        <f>IF($A483&lt;&gt;"",MINIFS(Merchant!$A:$A,Merchant!$B:$B,$G$2),)</f>
        <v/>
      </c>
      <c r="D483" s="14" t="str">
        <f t="shared" si="2"/>
        <v/>
      </c>
      <c r="E483" s="14" t="str">
        <f t="shared" si="3"/>
        <v/>
      </c>
      <c r="F483" s="7" t="str">
        <f>IF($A483&lt;&gt;"",MAXIFS(Token!$B:$B,Token!$A:$A,$D483),)</f>
        <v/>
      </c>
    </row>
    <row r="484">
      <c r="A484" s="39" t="str">
        <f>IF(AND($L484*1&gt;=$G$3,$L484*1&lt;=$G$4,$I484*$J484&gt;0,OR($I484&lt;&gt;$I485,$L484-$L485&gt;25),$I484/POW(10,$J484)*MAXIFS(Token!$B:$B,Token!$A:$A,$K484)&gt;0.01),$L484/86400+DATE(1970,1,1)+$G$6,)</f>
        <v/>
      </c>
      <c r="B484" s="27" t="str">
        <f t="shared" si="1"/>
        <v/>
      </c>
      <c r="C484" s="14" t="str">
        <f>IF($A484&lt;&gt;"",MINIFS(Merchant!$A:$A,Merchant!$B:$B,$G$2),)</f>
        <v/>
      </c>
      <c r="D484" s="14" t="str">
        <f t="shared" si="2"/>
        <v/>
      </c>
      <c r="E484" s="14" t="str">
        <f t="shared" si="3"/>
        <v/>
      </c>
      <c r="F484" s="7" t="str">
        <f>IF($A484&lt;&gt;"",MAXIFS(Token!$B:$B,Token!$A:$A,$D484),)</f>
        <v/>
      </c>
    </row>
    <row r="485">
      <c r="A485" s="39" t="str">
        <f>IF(AND($L485*1&gt;=$G$3,$L485*1&lt;=$G$4,$I485*$J485&gt;0,OR($I485&lt;&gt;$I486,$L485-$L486&gt;25),$I485/POW(10,$J485)*MAXIFS(Token!$B:$B,Token!$A:$A,$K485)&gt;0.01),$L485/86400+DATE(1970,1,1)+$G$6,)</f>
        <v/>
      </c>
      <c r="B485" s="27" t="str">
        <f t="shared" si="1"/>
        <v/>
      </c>
      <c r="C485" s="14" t="str">
        <f>IF($A485&lt;&gt;"",MINIFS(Merchant!$A:$A,Merchant!$B:$B,$G$2),)</f>
        <v/>
      </c>
      <c r="D485" s="14" t="str">
        <f t="shared" si="2"/>
        <v/>
      </c>
      <c r="E485" s="14" t="str">
        <f t="shared" si="3"/>
        <v/>
      </c>
      <c r="F485" s="7" t="str">
        <f>IF($A485&lt;&gt;"",MAXIFS(Token!$B:$B,Token!$A:$A,$D485),)</f>
        <v/>
      </c>
    </row>
    <row r="486">
      <c r="A486" s="39" t="str">
        <f>IF(AND($L486*1&gt;=$G$3,$L486*1&lt;=$G$4,$I486*$J486&gt;0,OR($I486&lt;&gt;$I487,$L486-$L487&gt;25),$I486/POW(10,$J486)*MAXIFS(Token!$B:$B,Token!$A:$A,$K486)&gt;0.01),$L486/86400+DATE(1970,1,1)+$G$6,)</f>
        <v/>
      </c>
      <c r="B486" s="27" t="str">
        <f t="shared" si="1"/>
        <v/>
      </c>
      <c r="C486" s="14" t="str">
        <f>IF($A486&lt;&gt;"",MINIFS(Merchant!$A:$A,Merchant!$B:$B,$G$2),)</f>
        <v/>
      </c>
      <c r="D486" s="14" t="str">
        <f t="shared" si="2"/>
        <v/>
      </c>
      <c r="E486" s="14" t="str">
        <f t="shared" si="3"/>
        <v/>
      </c>
      <c r="F486" s="7" t="str">
        <f>IF($A486&lt;&gt;"",MAXIFS(Token!$B:$B,Token!$A:$A,$D486),)</f>
        <v/>
      </c>
    </row>
    <row r="487">
      <c r="A487" s="39" t="str">
        <f>IF(AND($L487*1&gt;=$G$3,$L487*1&lt;=$G$4,$I487*$J487&gt;0,OR($I487&lt;&gt;$I488,$L487-$L488&gt;25),$I487/POW(10,$J487)*MAXIFS(Token!$B:$B,Token!$A:$A,$K487)&gt;0.01),$L487/86400+DATE(1970,1,1)+$G$6,)</f>
        <v/>
      </c>
      <c r="B487" s="27" t="str">
        <f t="shared" si="1"/>
        <v/>
      </c>
      <c r="C487" s="14" t="str">
        <f>IF($A487&lt;&gt;"",MINIFS(Merchant!$A:$A,Merchant!$B:$B,$G$2),)</f>
        <v/>
      </c>
      <c r="D487" s="14" t="str">
        <f t="shared" si="2"/>
        <v/>
      </c>
      <c r="E487" s="14" t="str">
        <f t="shared" si="3"/>
        <v/>
      </c>
      <c r="F487" s="7" t="str">
        <f>IF($A487&lt;&gt;"",MAXIFS(Token!$B:$B,Token!$A:$A,$D487),)</f>
        <v/>
      </c>
    </row>
    <row r="488">
      <c r="A488" s="39" t="str">
        <f>IF(AND($L488*1&gt;=$G$3,$L488*1&lt;=$G$4,$I488*$J488&gt;0,OR($I488&lt;&gt;$I489,$L488-$L489&gt;25),$I488/POW(10,$J488)*MAXIFS(Token!$B:$B,Token!$A:$A,$K488)&gt;0.01),$L488/86400+DATE(1970,1,1)+$G$6,)</f>
        <v/>
      </c>
      <c r="B488" s="27" t="str">
        <f t="shared" si="1"/>
        <v/>
      </c>
      <c r="C488" s="14" t="str">
        <f>IF($A488&lt;&gt;"",MINIFS(Merchant!$A:$A,Merchant!$B:$B,$G$2),)</f>
        <v/>
      </c>
      <c r="D488" s="14" t="str">
        <f t="shared" si="2"/>
        <v/>
      </c>
      <c r="E488" s="14" t="str">
        <f t="shared" si="3"/>
        <v/>
      </c>
      <c r="F488" s="7" t="str">
        <f>IF($A488&lt;&gt;"",MAXIFS(Token!$B:$B,Token!$A:$A,$D488),)</f>
        <v/>
      </c>
    </row>
    <row r="489">
      <c r="A489" s="39" t="str">
        <f>IF(AND($L489*1&gt;=$G$3,$L489*1&lt;=$G$4,$I489*$J489&gt;0,OR($I489&lt;&gt;$I490,$L489-$L490&gt;25),$I489/POW(10,$J489)*MAXIFS(Token!$B:$B,Token!$A:$A,$K489)&gt;0.01),$L489/86400+DATE(1970,1,1)+$G$6,)</f>
        <v/>
      </c>
      <c r="B489" s="27" t="str">
        <f t="shared" si="1"/>
        <v/>
      </c>
      <c r="C489" s="14" t="str">
        <f>IF($A489&lt;&gt;"",MINIFS(Merchant!$A:$A,Merchant!$B:$B,$G$2),)</f>
        <v/>
      </c>
      <c r="D489" s="14" t="str">
        <f t="shared" si="2"/>
        <v/>
      </c>
      <c r="E489" s="14" t="str">
        <f t="shared" si="3"/>
        <v/>
      </c>
      <c r="F489" s="7" t="str">
        <f>IF($A489&lt;&gt;"",MAXIFS(Token!$B:$B,Token!$A:$A,$D489),)</f>
        <v/>
      </c>
    </row>
    <row r="490">
      <c r="A490" s="39" t="str">
        <f>IF(AND($L490*1&gt;=$G$3,$L490*1&lt;=$G$4,$I490*$J490&gt;0,OR($I490&lt;&gt;$I491,$L490-$L491&gt;25),$I490/POW(10,$J490)*MAXIFS(Token!$B:$B,Token!$A:$A,$K490)&gt;0.01),$L490/86400+DATE(1970,1,1)+$G$6,)</f>
        <v/>
      </c>
      <c r="B490" s="27" t="str">
        <f t="shared" si="1"/>
        <v/>
      </c>
      <c r="C490" s="14" t="str">
        <f>IF($A490&lt;&gt;"",MINIFS(Merchant!$A:$A,Merchant!$B:$B,$G$2),)</f>
        <v/>
      </c>
      <c r="D490" s="14" t="str">
        <f t="shared" si="2"/>
        <v/>
      </c>
      <c r="E490" s="14" t="str">
        <f t="shared" si="3"/>
        <v/>
      </c>
      <c r="F490" s="7" t="str">
        <f>IF($A490&lt;&gt;"",MAXIFS(Token!$B:$B,Token!$A:$A,$D490),)</f>
        <v/>
      </c>
    </row>
    <row r="491">
      <c r="A491" s="39" t="str">
        <f>IF(AND($L491*1&gt;=$G$3,$L491*1&lt;=$G$4,$I491*$J491&gt;0,OR($I491&lt;&gt;$I492,$L491-$L492&gt;25),$I491/POW(10,$J491)*MAXIFS(Token!$B:$B,Token!$A:$A,$K491)&gt;0.01),$L491/86400+DATE(1970,1,1)+$G$6,)</f>
        <v/>
      </c>
      <c r="B491" s="27" t="str">
        <f t="shared" si="1"/>
        <v/>
      </c>
      <c r="C491" s="14" t="str">
        <f>IF($A491&lt;&gt;"",MINIFS(Merchant!$A:$A,Merchant!$B:$B,$G$2),)</f>
        <v/>
      </c>
      <c r="D491" s="14" t="str">
        <f t="shared" si="2"/>
        <v/>
      </c>
      <c r="E491" s="14" t="str">
        <f t="shared" si="3"/>
        <v/>
      </c>
      <c r="F491" s="7" t="str">
        <f>IF($A491&lt;&gt;"",MAXIFS(Token!$B:$B,Token!$A:$A,$D491),)</f>
        <v/>
      </c>
    </row>
    <row r="492">
      <c r="A492" s="39" t="str">
        <f>IF(AND($L492*1&gt;=$G$3,$L492*1&lt;=$G$4,$I492*$J492&gt;0,OR($I492&lt;&gt;$I493,$L492-$L493&gt;25),$I492/POW(10,$J492)*MAXIFS(Token!$B:$B,Token!$A:$A,$K492)&gt;0.01),$L492/86400+DATE(1970,1,1)+$G$6,)</f>
        <v/>
      </c>
      <c r="B492" s="27" t="str">
        <f t="shared" si="1"/>
        <v/>
      </c>
      <c r="C492" s="14" t="str">
        <f>IF($A492&lt;&gt;"",MINIFS(Merchant!$A:$A,Merchant!$B:$B,$G$2),)</f>
        <v/>
      </c>
      <c r="D492" s="14" t="str">
        <f t="shared" si="2"/>
        <v/>
      </c>
      <c r="E492" s="14" t="str">
        <f t="shared" si="3"/>
        <v/>
      </c>
      <c r="F492" s="7" t="str">
        <f>IF($A492&lt;&gt;"",MAXIFS(Token!$B:$B,Token!$A:$A,$D492),)</f>
        <v/>
      </c>
    </row>
    <row r="493">
      <c r="A493" s="39" t="str">
        <f>IF(AND($L493*1&gt;=$G$3,$L493*1&lt;=$G$4,$I493*$J493&gt;0,OR($I493&lt;&gt;$I494,$L493-$L494&gt;25),$I493/POW(10,$J493)*MAXIFS(Token!$B:$B,Token!$A:$A,$K493)&gt;0.01),$L493/86400+DATE(1970,1,1)+$G$6,)</f>
        <v/>
      </c>
      <c r="B493" s="27" t="str">
        <f t="shared" si="1"/>
        <v/>
      </c>
      <c r="C493" s="14" t="str">
        <f>IF($A493&lt;&gt;"",MINIFS(Merchant!$A:$A,Merchant!$B:$B,$G$2),)</f>
        <v/>
      </c>
      <c r="D493" s="14" t="str">
        <f t="shared" si="2"/>
        <v/>
      </c>
      <c r="E493" s="14" t="str">
        <f t="shared" si="3"/>
        <v/>
      </c>
      <c r="F493" s="7" t="str">
        <f>IF($A493&lt;&gt;"",MAXIFS(Token!$B:$B,Token!$A:$A,$D493),)</f>
        <v/>
      </c>
    </row>
    <row r="494">
      <c r="A494" s="39" t="str">
        <f>IF(AND($L494*1&gt;=$G$3,$L494*1&lt;=$G$4,$I494*$J494&gt;0,OR($I494&lt;&gt;$I495,$L494-$L495&gt;25),$I494/POW(10,$J494)*MAXIFS(Token!$B:$B,Token!$A:$A,$K494)&gt;0.01),$L494/86400+DATE(1970,1,1)+$G$6,)</f>
        <v/>
      </c>
      <c r="B494" s="27" t="str">
        <f t="shared" si="1"/>
        <v/>
      </c>
      <c r="C494" s="14" t="str">
        <f>IF($A494&lt;&gt;"",MINIFS(Merchant!$A:$A,Merchant!$B:$B,$G$2),)</f>
        <v/>
      </c>
      <c r="D494" s="14" t="str">
        <f t="shared" si="2"/>
        <v/>
      </c>
      <c r="E494" s="14" t="str">
        <f t="shared" si="3"/>
        <v/>
      </c>
      <c r="F494" s="7" t="str">
        <f>IF($A494&lt;&gt;"",MAXIFS(Token!$B:$B,Token!$A:$A,$D494),)</f>
        <v/>
      </c>
    </row>
    <row r="495">
      <c r="A495" s="39" t="str">
        <f>IF(AND($L495*1&gt;=$G$3,$L495*1&lt;=$G$4,$I495*$J495&gt;0,OR($I495&lt;&gt;$I496,$L495-$L496&gt;25),$I495/POW(10,$J495)*MAXIFS(Token!$B:$B,Token!$A:$A,$K495)&gt;0.01),$L495/86400+DATE(1970,1,1)+$G$6,)</f>
        <v/>
      </c>
      <c r="B495" s="27" t="str">
        <f t="shared" si="1"/>
        <v/>
      </c>
      <c r="C495" s="14" t="str">
        <f>IF($A495&lt;&gt;"",MINIFS(Merchant!$A:$A,Merchant!$B:$B,$G$2),)</f>
        <v/>
      </c>
      <c r="D495" s="14" t="str">
        <f t="shared" si="2"/>
        <v/>
      </c>
      <c r="E495" s="14" t="str">
        <f t="shared" si="3"/>
        <v/>
      </c>
      <c r="F495" s="7" t="str">
        <f>IF($A495&lt;&gt;"",MAXIFS(Token!$B:$B,Token!$A:$A,$D495),)</f>
        <v/>
      </c>
    </row>
    <row r="496">
      <c r="A496" s="39" t="str">
        <f>IF(AND($L496*1&gt;=$G$3,$L496*1&lt;=$G$4,$I496*$J496&gt;0,OR($I496&lt;&gt;$I497,$L496-$L497&gt;25),$I496/POW(10,$J496)*MAXIFS(Token!$B:$B,Token!$A:$A,$K496)&gt;0.01),$L496/86400+DATE(1970,1,1)+$G$6,)</f>
        <v/>
      </c>
      <c r="B496" s="27" t="str">
        <f t="shared" si="1"/>
        <v/>
      </c>
      <c r="C496" s="14" t="str">
        <f>IF($A496&lt;&gt;"",MINIFS(Merchant!$A:$A,Merchant!$B:$B,$G$2),)</f>
        <v/>
      </c>
      <c r="D496" s="14" t="str">
        <f t="shared" si="2"/>
        <v/>
      </c>
      <c r="E496" s="14" t="str">
        <f t="shared" si="3"/>
        <v/>
      </c>
      <c r="F496" s="7" t="str">
        <f>IF($A496&lt;&gt;"",MAXIFS(Token!$B:$B,Token!$A:$A,$D496),)</f>
        <v/>
      </c>
    </row>
    <row r="497">
      <c r="A497" s="39" t="str">
        <f>IF(AND($L497*1&gt;=$G$3,$L497*1&lt;=$G$4,$I497*$J497&gt;0,OR($I497&lt;&gt;$I498,$L497-$L498&gt;25),$I497/POW(10,$J497)*MAXIFS(Token!$B:$B,Token!$A:$A,$K497)&gt;0.01),$L497/86400+DATE(1970,1,1)+$G$6,)</f>
        <v/>
      </c>
      <c r="B497" s="27" t="str">
        <f t="shared" si="1"/>
        <v/>
      </c>
      <c r="C497" s="14" t="str">
        <f>IF($A497&lt;&gt;"",MINIFS(Merchant!$A:$A,Merchant!$B:$B,$G$2),)</f>
        <v/>
      </c>
      <c r="D497" s="14" t="str">
        <f t="shared" si="2"/>
        <v/>
      </c>
      <c r="E497" s="14" t="str">
        <f t="shared" si="3"/>
        <v/>
      </c>
      <c r="F497" s="7" t="str">
        <f>IF($A497&lt;&gt;"",MAXIFS(Token!$B:$B,Token!$A:$A,$D497),)</f>
        <v/>
      </c>
    </row>
    <row r="498">
      <c r="A498" s="39" t="str">
        <f>IF(AND($L498*1&gt;=$G$3,$L498*1&lt;=$G$4,$I498*$J498&gt;0,OR($I498&lt;&gt;$I499,$L498-$L499&gt;25),$I498/POW(10,$J498)*MAXIFS(Token!$B:$B,Token!$A:$A,$K498)&gt;0.01),$L498/86400+DATE(1970,1,1)+$G$6,)</f>
        <v/>
      </c>
      <c r="B498" s="27" t="str">
        <f t="shared" si="1"/>
        <v/>
      </c>
      <c r="C498" s="14" t="str">
        <f>IF($A498&lt;&gt;"",MINIFS(Merchant!$A:$A,Merchant!$B:$B,$G$2),)</f>
        <v/>
      </c>
      <c r="D498" s="14" t="str">
        <f t="shared" si="2"/>
        <v/>
      </c>
      <c r="E498" s="14" t="str">
        <f t="shared" si="3"/>
        <v/>
      </c>
      <c r="F498" s="7" t="str">
        <f>IF($A498&lt;&gt;"",MAXIFS(Token!$B:$B,Token!$A:$A,$D498),)</f>
        <v/>
      </c>
    </row>
    <row r="499">
      <c r="A499" s="39" t="str">
        <f>IF(AND($L499*1&gt;=$G$3,$L499*1&lt;=$G$4,$I499*$J499&gt;0,OR($I499&lt;&gt;$I500,$L499-$L500&gt;25),$I499/POW(10,$J499)*MAXIFS(Token!$B:$B,Token!$A:$A,$K499)&gt;0.01),$L499/86400+DATE(1970,1,1)+$G$6,)</f>
        <v/>
      </c>
      <c r="B499" s="27" t="str">
        <f t="shared" si="1"/>
        <v/>
      </c>
      <c r="C499" s="14" t="str">
        <f>IF($A499&lt;&gt;"",MINIFS(Merchant!$A:$A,Merchant!$B:$B,$G$2),)</f>
        <v/>
      </c>
      <c r="D499" s="14" t="str">
        <f t="shared" si="2"/>
        <v/>
      </c>
      <c r="E499" s="14" t="str">
        <f t="shared" si="3"/>
        <v/>
      </c>
      <c r="F499" s="7" t="str">
        <f>IF($A499&lt;&gt;"",MAXIFS(Token!$B:$B,Token!$A:$A,$D499),)</f>
        <v/>
      </c>
    </row>
    <row r="500">
      <c r="A500" s="39" t="str">
        <f>IF(AND($L500*1&gt;=$G$3,$L500*1&lt;=$G$4,$I500*$J500&gt;0,OR($I500&lt;&gt;$I501,$L500-$L501&gt;25),$I500/POW(10,$J500)*MAXIFS(Token!$B:$B,Token!$A:$A,$K500)&gt;0.01),$L500/86400+DATE(1970,1,1)+$G$6,)</f>
        <v/>
      </c>
      <c r="B500" s="27" t="str">
        <f t="shared" si="1"/>
        <v/>
      </c>
      <c r="C500" s="14" t="str">
        <f>IF($A500&lt;&gt;"",MINIFS(Merchant!$A:$A,Merchant!$B:$B,$G$2),)</f>
        <v/>
      </c>
      <c r="D500" s="14" t="str">
        <f t="shared" si="2"/>
        <v/>
      </c>
      <c r="E500" s="14" t="str">
        <f t="shared" si="3"/>
        <v/>
      </c>
      <c r="F500" s="7" t="str">
        <f>IF($A500&lt;&gt;"",MAXIFS(Token!$B:$B,Token!$A:$A,$D500),)</f>
        <v/>
      </c>
    </row>
    <row r="501">
      <c r="A501" s="39" t="str">
        <f>IF(AND($L501*1&gt;=$G$3,$L501*1&lt;=$G$4,$I501*$J501&gt;0,OR($I501&lt;&gt;$I502,$L501-$L502&gt;25),$I501/POW(10,$J501)*MAXIFS(Token!$B:$B,Token!$A:$A,$K501)&gt;0.01),$L501/86400+DATE(1970,1,1)+$G$6,)</f>
        <v/>
      </c>
      <c r="B501" s="27" t="str">
        <f t="shared" si="1"/>
        <v/>
      </c>
      <c r="C501" s="14" t="str">
        <f>IF($A501&lt;&gt;"",MINIFS(Merchant!$A:$A,Merchant!$B:$B,$G$2),)</f>
        <v/>
      </c>
      <c r="D501" s="14" t="str">
        <f t="shared" si="2"/>
        <v/>
      </c>
      <c r="E501" s="14" t="str">
        <f t="shared" si="3"/>
        <v/>
      </c>
      <c r="F501" s="7" t="str">
        <f>IF($A501&lt;&gt;"",MAXIFS(Token!$B:$B,Token!$A:$A,$D501),)</f>
        <v/>
      </c>
    </row>
    <row r="502">
      <c r="A502" s="39" t="str">
        <f>IF(AND($L502*1&gt;=$G$3,$L502*1&lt;=$G$4,$I502*$J502&gt;0,OR($I502&lt;&gt;$I503,$L502-$L503&gt;25),$I502/POW(10,$J502)*MAXIFS(Token!$B:$B,Token!$A:$A,$K502)&gt;0.01),$L502/86400+DATE(1970,1,1)+$G$6,)</f>
        <v/>
      </c>
      <c r="B502" s="27" t="str">
        <f t="shared" si="1"/>
        <v/>
      </c>
      <c r="C502" s="14" t="str">
        <f>IF($A502&lt;&gt;"",MINIFS(Merchant!$A:$A,Merchant!$B:$B,$G$2),)</f>
        <v/>
      </c>
      <c r="D502" s="14" t="str">
        <f t="shared" si="2"/>
        <v/>
      </c>
      <c r="E502" s="14" t="str">
        <f t="shared" si="3"/>
        <v/>
      </c>
      <c r="F502" s="7" t="str">
        <f>IF($A502&lt;&gt;"",MAXIFS(Token!$B:$B,Token!$A:$A,$D502),)</f>
        <v/>
      </c>
    </row>
    <row r="503">
      <c r="A503" s="39" t="str">
        <f>IF(AND($L503*1&gt;=$G$3,$L503*1&lt;=$G$4,$I503*$J503&gt;0,OR($I503&lt;&gt;$I504,$L503-$L504&gt;25),$I503/POW(10,$J503)*MAXIFS(Token!$B:$B,Token!$A:$A,$K503)&gt;0.01),$L503/86400+DATE(1970,1,1)+$G$6,)</f>
        <v/>
      </c>
      <c r="B503" s="27" t="str">
        <f t="shared" si="1"/>
        <v/>
      </c>
      <c r="C503" s="14" t="str">
        <f>IF($A503&lt;&gt;"",MINIFS(Merchant!$A:$A,Merchant!$B:$B,$G$2),)</f>
        <v/>
      </c>
      <c r="D503" s="14" t="str">
        <f t="shared" si="2"/>
        <v/>
      </c>
      <c r="E503" s="14" t="str">
        <f t="shared" si="3"/>
        <v/>
      </c>
      <c r="F503" s="7" t="str">
        <f>IF($A503&lt;&gt;"",MAXIFS(Token!$B:$B,Token!$A:$A,$D503),)</f>
        <v/>
      </c>
    </row>
    <row r="504">
      <c r="A504" s="39" t="str">
        <f>IF(AND($L504*1&gt;=$G$3,$L504*1&lt;=$G$4,$I504*$J504&gt;0,OR($I504&lt;&gt;$I505,$L504-$L505&gt;25),$I504/POW(10,$J504)*MAXIFS(Token!$B:$B,Token!$A:$A,$K504)&gt;0.01),$L504/86400+DATE(1970,1,1)+$G$6,)</f>
        <v/>
      </c>
      <c r="B504" s="27" t="str">
        <f t="shared" si="1"/>
        <v/>
      </c>
      <c r="C504" s="14" t="str">
        <f>IF($A504&lt;&gt;"",MINIFS(Merchant!$A:$A,Merchant!$B:$B,$G$2),)</f>
        <v/>
      </c>
      <c r="D504" s="14" t="str">
        <f t="shared" si="2"/>
        <v/>
      </c>
      <c r="E504" s="14" t="str">
        <f t="shared" si="3"/>
        <v/>
      </c>
      <c r="F504" s="7" t="str">
        <f>IF($A504&lt;&gt;"",MAXIFS(Token!$B:$B,Token!$A:$A,$D504),)</f>
        <v/>
      </c>
    </row>
    <row r="505">
      <c r="A505" s="39" t="str">
        <f>IF(AND($L505*1&gt;=$G$3,$L505*1&lt;=$G$4,$I505*$J505&gt;0,OR($I505&lt;&gt;$I506,$L505-$L506&gt;25),$I505/POW(10,$J505)*MAXIFS(Token!$B:$B,Token!$A:$A,$K505)&gt;0.01),$L505/86400+DATE(1970,1,1)+$G$6,)</f>
        <v/>
      </c>
      <c r="B505" s="27" t="str">
        <f t="shared" si="1"/>
        <v/>
      </c>
      <c r="C505" s="14" t="str">
        <f>IF($A505&lt;&gt;"",MINIFS(Merchant!$A:$A,Merchant!$B:$B,$G$2),)</f>
        <v/>
      </c>
      <c r="D505" s="14" t="str">
        <f t="shared" si="2"/>
        <v/>
      </c>
      <c r="E505" s="14" t="str">
        <f t="shared" si="3"/>
        <v/>
      </c>
      <c r="F505" s="7" t="str">
        <f>IF($A505&lt;&gt;"",MAXIFS(Token!$B:$B,Token!$A:$A,$D505),)</f>
        <v/>
      </c>
    </row>
    <row r="506">
      <c r="A506" s="39" t="str">
        <f>IF(AND($L506*1&gt;=$G$3,$L506*1&lt;=$G$4,$I506*$J506&gt;0,OR($I506&lt;&gt;$I507,$L506-$L507&gt;25),$I506/POW(10,$J506)*MAXIFS(Token!$B:$B,Token!$A:$A,$K506)&gt;0.01),$L506/86400+DATE(1970,1,1)+$G$6,)</f>
        <v/>
      </c>
      <c r="B506" s="27" t="str">
        <f t="shared" si="1"/>
        <v/>
      </c>
      <c r="C506" s="14" t="str">
        <f>IF($A506&lt;&gt;"",MINIFS(Merchant!$A:$A,Merchant!$B:$B,$G$2),)</f>
        <v/>
      </c>
      <c r="D506" s="14" t="str">
        <f t="shared" si="2"/>
        <v/>
      </c>
      <c r="E506" s="14" t="str">
        <f t="shared" si="3"/>
        <v/>
      </c>
      <c r="F506" s="7" t="str">
        <f>IF($A506&lt;&gt;"",MAXIFS(Token!$B:$B,Token!$A:$A,$D506),)</f>
        <v/>
      </c>
    </row>
    <row r="507">
      <c r="A507" s="39" t="str">
        <f>IF(AND($L507*1&gt;=$G$3,$L507*1&lt;=$G$4,$I507*$J507&gt;0,OR($I507&lt;&gt;$I508,$L507-$L508&gt;25),$I507/POW(10,$J507)*MAXIFS(Token!$B:$B,Token!$A:$A,$K507)&gt;0.01),$L507/86400+DATE(1970,1,1)+$G$6,)</f>
        <v/>
      </c>
      <c r="B507" s="27" t="str">
        <f t="shared" si="1"/>
        <v/>
      </c>
      <c r="C507" s="14" t="str">
        <f>IF($A507&lt;&gt;"",MINIFS(Merchant!$A:$A,Merchant!$B:$B,$G$2),)</f>
        <v/>
      </c>
      <c r="D507" s="14" t="str">
        <f t="shared" si="2"/>
        <v/>
      </c>
      <c r="E507" s="14" t="str">
        <f t="shared" si="3"/>
        <v/>
      </c>
      <c r="F507" s="7" t="str">
        <f>IF($A507&lt;&gt;"",MAXIFS(Token!$B:$B,Token!$A:$A,$D507),)</f>
        <v/>
      </c>
    </row>
    <row r="508">
      <c r="A508" s="39" t="str">
        <f>IF(AND($L508*1&gt;=$G$3,$L508*1&lt;=$G$4,$I508*$J508&gt;0,OR($I508&lt;&gt;$I509,$L508-$L509&gt;25),$I508/POW(10,$J508)*MAXIFS(Token!$B:$B,Token!$A:$A,$K508)&gt;0.01),$L508/86400+DATE(1970,1,1)+$G$6,)</f>
        <v/>
      </c>
      <c r="B508" s="27" t="str">
        <f t="shared" si="1"/>
        <v/>
      </c>
      <c r="C508" s="14" t="str">
        <f>IF($A508&lt;&gt;"",MINIFS(Merchant!$A:$A,Merchant!$B:$B,$G$2),)</f>
        <v/>
      </c>
      <c r="D508" s="14" t="str">
        <f t="shared" si="2"/>
        <v/>
      </c>
      <c r="E508" s="14" t="str">
        <f t="shared" si="3"/>
        <v/>
      </c>
      <c r="F508" s="7" t="str">
        <f>IF($A508&lt;&gt;"",MAXIFS(Token!$B:$B,Token!$A:$A,$D508),)</f>
        <v/>
      </c>
    </row>
    <row r="509">
      <c r="A509" s="39" t="str">
        <f>IF(AND($L509*1&gt;=$G$3,$L509*1&lt;=$G$4,$I509*$J509&gt;0,OR($I509&lt;&gt;$I510,$L509-$L510&gt;25),$I509/POW(10,$J509)*MAXIFS(Token!$B:$B,Token!$A:$A,$K509)&gt;0.01),$L509/86400+DATE(1970,1,1)+$G$6,)</f>
        <v/>
      </c>
      <c r="B509" s="27" t="str">
        <f t="shared" si="1"/>
        <v/>
      </c>
      <c r="C509" s="14" t="str">
        <f>IF($A509&lt;&gt;"",MINIFS(Merchant!$A:$A,Merchant!$B:$B,$G$2),)</f>
        <v/>
      </c>
      <c r="D509" s="14" t="str">
        <f t="shared" si="2"/>
        <v/>
      </c>
      <c r="E509" s="14" t="str">
        <f t="shared" si="3"/>
        <v/>
      </c>
      <c r="F509" s="7" t="str">
        <f>IF($A509&lt;&gt;"",MAXIFS(Token!$B:$B,Token!$A:$A,$D509),)</f>
        <v/>
      </c>
    </row>
    <row r="510">
      <c r="A510" s="39" t="str">
        <f>IF(AND($L510*1&gt;=$G$3,$L510*1&lt;=$G$4,$I510*$J510&gt;0,OR($I510&lt;&gt;$I511,$L510-$L511&gt;25),$I510/POW(10,$J510)*MAXIFS(Token!$B:$B,Token!$A:$A,$K510)&gt;0.01),$L510/86400+DATE(1970,1,1)+$G$6,)</f>
        <v/>
      </c>
      <c r="B510" s="27" t="str">
        <f t="shared" si="1"/>
        <v/>
      </c>
      <c r="C510" s="14" t="str">
        <f>IF($A510&lt;&gt;"",MINIFS(Merchant!$A:$A,Merchant!$B:$B,$G$2),)</f>
        <v/>
      </c>
      <c r="D510" s="14" t="str">
        <f t="shared" si="2"/>
        <v/>
      </c>
      <c r="E510" s="14" t="str">
        <f t="shared" si="3"/>
        <v/>
      </c>
      <c r="F510" s="7" t="str">
        <f>IF($A510&lt;&gt;"",MAXIFS(Token!$B:$B,Token!$A:$A,$D510),)</f>
        <v/>
      </c>
    </row>
    <row r="511">
      <c r="A511" s="39" t="str">
        <f>IF(AND($L511*1&gt;=$G$3,$L511*1&lt;=$G$4,$I511*$J511&gt;0,OR($I511&lt;&gt;$I512,$L511-$L512&gt;25),$I511/POW(10,$J511)*MAXIFS(Token!$B:$B,Token!$A:$A,$K511)&gt;0.01),$L511/86400+DATE(1970,1,1)+$G$6,)</f>
        <v/>
      </c>
      <c r="B511" s="27" t="str">
        <f t="shared" si="1"/>
        <v/>
      </c>
      <c r="C511" s="14" t="str">
        <f>IF($A511&lt;&gt;"",MINIFS(Merchant!$A:$A,Merchant!$B:$B,$G$2),)</f>
        <v/>
      </c>
      <c r="D511" s="14" t="str">
        <f t="shared" si="2"/>
        <v/>
      </c>
      <c r="E511" s="14" t="str">
        <f t="shared" si="3"/>
        <v/>
      </c>
      <c r="F511" s="7" t="str">
        <f>IF($A511&lt;&gt;"",MAXIFS(Token!$B:$B,Token!$A:$A,$D511),)</f>
        <v/>
      </c>
    </row>
    <row r="512">
      <c r="A512" s="39" t="str">
        <f>IF(AND($L512*1&gt;=$G$3,$L512*1&lt;=$G$4,$I512*$J512&gt;0,OR($I512&lt;&gt;$I513,$L512-$L513&gt;25),$I512/POW(10,$J512)*MAXIFS(Token!$B:$B,Token!$A:$A,$K512)&gt;0.01),$L512/86400+DATE(1970,1,1)+$G$6,)</f>
        <v/>
      </c>
      <c r="B512" s="27" t="str">
        <f t="shared" si="1"/>
        <v/>
      </c>
      <c r="C512" s="14" t="str">
        <f>IF($A512&lt;&gt;"",MINIFS(Merchant!$A:$A,Merchant!$B:$B,$G$2),)</f>
        <v/>
      </c>
      <c r="D512" s="14" t="str">
        <f t="shared" si="2"/>
        <v/>
      </c>
      <c r="E512" s="14" t="str">
        <f t="shared" si="3"/>
        <v/>
      </c>
      <c r="F512" s="7" t="str">
        <f>IF($A512&lt;&gt;"",MAXIFS(Token!$B:$B,Token!$A:$A,$D512),)</f>
        <v/>
      </c>
    </row>
    <row r="513">
      <c r="A513" s="39" t="str">
        <f>IF(AND($L513*1&gt;=$G$3,$L513*1&lt;=$G$4,$I513*$J513&gt;0,OR($I513&lt;&gt;$I514,$L513-$L514&gt;25),$I513/POW(10,$J513)*MAXIFS(Token!$B:$B,Token!$A:$A,$K513)&gt;0.01),$L513/86400+DATE(1970,1,1)+$G$6,)</f>
        <v/>
      </c>
      <c r="B513" s="27" t="str">
        <f t="shared" si="1"/>
        <v/>
      </c>
      <c r="C513" s="14" t="str">
        <f>IF($A513&lt;&gt;"",MINIFS(Merchant!$A:$A,Merchant!$B:$B,$G$2),)</f>
        <v/>
      </c>
      <c r="D513" s="14" t="str">
        <f t="shared" si="2"/>
        <v/>
      </c>
      <c r="E513" s="14" t="str">
        <f t="shared" si="3"/>
        <v/>
      </c>
      <c r="F513" s="7" t="str">
        <f>IF($A513&lt;&gt;"",MAXIFS(Token!$B:$B,Token!$A:$A,$D513),)</f>
        <v/>
      </c>
    </row>
    <row r="514">
      <c r="A514" s="39" t="str">
        <f>IF(AND($L514*1&gt;=$G$3,$L514*1&lt;=$G$4,$I514*$J514&gt;0,OR($I514&lt;&gt;$I515,$L514-$L515&gt;25),$I514/POW(10,$J514)*MAXIFS(Token!$B:$B,Token!$A:$A,$K514)&gt;0.01),$L514/86400+DATE(1970,1,1)+$G$6,)</f>
        <v/>
      </c>
      <c r="B514" s="27" t="str">
        <f t="shared" si="1"/>
        <v/>
      </c>
      <c r="C514" s="14" t="str">
        <f>IF($A514&lt;&gt;"",MINIFS(Merchant!$A:$A,Merchant!$B:$B,$G$2),)</f>
        <v/>
      </c>
      <c r="D514" s="14" t="str">
        <f t="shared" si="2"/>
        <v/>
      </c>
      <c r="E514" s="14" t="str">
        <f t="shared" si="3"/>
        <v/>
      </c>
      <c r="F514" s="7" t="str">
        <f>IF($A514&lt;&gt;"",MAXIFS(Token!$B:$B,Token!$A:$A,$D514),)</f>
        <v/>
      </c>
    </row>
    <row r="515">
      <c r="A515" s="39" t="str">
        <f>IF(AND($L515*1&gt;=$G$3,$L515*1&lt;=$G$4,$I515*$J515&gt;0,OR($I515&lt;&gt;$I516,$L515-$L516&gt;25),$I515/POW(10,$J515)*MAXIFS(Token!$B:$B,Token!$A:$A,$K515)&gt;0.01),$L515/86400+DATE(1970,1,1)+$G$6,)</f>
        <v/>
      </c>
      <c r="B515" s="27" t="str">
        <f t="shared" si="1"/>
        <v/>
      </c>
      <c r="C515" s="14" t="str">
        <f>IF($A515&lt;&gt;"",MINIFS(Merchant!$A:$A,Merchant!$B:$B,$G$2),)</f>
        <v/>
      </c>
      <c r="D515" s="14" t="str">
        <f t="shared" si="2"/>
        <v/>
      </c>
      <c r="E515" s="14" t="str">
        <f t="shared" si="3"/>
        <v/>
      </c>
      <c r="F515" s="7" t="str">
        <f>IF($A515&lt;&gt;"",MAXIFS(Token!$B:$B,Token!$A:$A,$D515),)</f>
        <v/>
      </c>
    </row>
    <row r="516">
      <c r="A516" s="39" t="str">
        <f>IF(AND($L516*1&gt;=$G$3,$L516*1&lt;=$G$4,$I516*$J516&gt;0,OR($I516&lt;&gt;$I517,$L516-$L517&gt;25),$I516/POW(10,$J516)*MAXIFS(Token!$B:$B,Token!$A:$A,$K516)&gt;0.01),$L516/86400+DATE(1970,1,1)+$G$6,)</f>
        <v/>
      </c>
      <c r="B516" s="27" t="str">
        <f t="shared" si="1"/>
        <v/>
      </c>
      <c r="C516" s="14" t="str">
        <f>IF($A516&lt;&gt;"",MINIFS(Merchant!$A:$A,Merchant!$B:$B,$G$2),)</f>
        <v/>
      </c>
      <c r="D516" s="14" t="str">
        <f t="shared" si="2"/>
        <v/>
      </c>
      <c r="E516" s="14" t="str">
        <f t="shared" si="3"/>
        <v/>
      </c>
      <c r="F516" s="7" t="str">
        <f>IF($A516&lt;&gt;"",MAXIFS(Token!$B:$B,Token!$A:$A,$D516),)</f>
        <v/>
      </c>
    </row>
    <row r="517">
      <c r="A517" s="39" t="str">
        <f>IF(AND($L517*1&gt;=$G$3,$L517*1&lt;=$G$4,$I517*$J517&gt;0,OR($I517&lt;&gt;$I518,$L517-$L518&gt;25),$I517/POW(10,$J517)*MAXIFS(Token!$B:$B,Token!$A:$A,$K517)&gt;0.01),$L517/86400+DATE(1970,1,1)+$G$6,)</f>
        <v/>
      </c>
      <c r="B517" s="27" t="str">
        <f t="shared" si="1"/>
        <v/>
      </c>
      <c r="C517" s="14" t="str">
        <f>IF($A517&lt;&gt;"",MINIFS(Merchant!$A:$A,Merchant!$B:$B,$G$2),)</f>
        <v/>
      </c>
      <c r="D517" s="14" t="str">
        <f t="shared" si="2"/>
        <v/>
      </c>
      <c r="E517" s="14" t="str">
        <f t="shared" si="3"/>
        <v/>
      </c>
      <c r="F517" s="7" t="str">
        <f>IF($A517&lt;&gt;"",MAXIFS(Token!$B:$B,Token!$A:$A,$D517),)</f>
        <v/>
      </c>
    </row>
    <row r="518">
      <c r="A518" s="39" t="str">
        <f>IF(AND($L518*1&gt;=$G$3,$L518*1&lt;=$G$4,$I518*$J518&gt;0,OR($I518&lt;&gt;$I519,$L518-$L519&gt;25),$I518/POW(10,$J518)*MAXIFS(Token!$B:$B,Token!$A:$A,$K518)&gt;0.01),$L518/86400+DATE(1970,1,1)+$G$6,)</f>
        <v/>
      </c>
      <c r="B518" s="27" t="str">
        <f t="shared" si="1"/>
        <v/>
      </c>
      <c r="C518" s="14" t="str">
        <f>IF($A518&lt;&gt;"",MINIFS(Merchant!$A:$A,Merchant!$B:$B,$G$2),)</f>
        <v/>
      </c>
      <c r="D518" s="14" t="str">
        <f t="shared" si="2"/>
        <v/>
      </c>
      <c r="E518" s="14" t="str">
        <f t="shared" si="3"/>
        <v/>
      </c>
      <c r="F518" s="7" t="str">
        <f>IF($A518&lt;&gt;"",MAXIFS(Token!$B:$B,Token!$A:$A,$D518),)</f>
        <v/>
      </c>
    </row>
    <row r="519">
      <c r="A519" s="39" t="str">
        <f>IF(AND($L519*1&gt;=$G$3,$L519*1&lt;=$G$4,$I519*$J519&gt;0,OR($I519&lt;&gt;$I520,$L519-$L520&gt;25),$I519/POW(10,$J519)*MAXIFS(Token!$B:$B,Token!$A:$A,$K519)&gt;0.01),$L519/86400+DATE(1970,1,1)+$G$6,)</f>
        <v/>
      </c>
      <c r="B519" s="27" t="str">
        <f t="shared" si="1"/>
        <v/>
      </c>
      <c r="C519" s="14" t="str">
        <f>IF($A519&lt;&gt;"",MINIFS(Merchant!$A:$A,Merchant!$B:$B,$G$2),)</f>
        <v/>
      </c>
      <c r="D519" s="14" t="str">
        <f t="shared" si="2"/>
        <v/>
      </c>
      <c r="E519" s="14" t="str">
        <f t="shared" si="3"/>
        <v/>
      </c>
      <c r="F519" s="7" t="str">
        <f>IF($A519&lt;&gt;"",MAXIFS(Token!$B:$B,Token!$A:$A,$D519),)</f>
        <v/>
      </c>
    </row>
    <row r="520">
      <c r="A520" s="39" t="str">
        <f>IF(AND($L520*1&gt;=$G$3,$L520*1&lt;=$G$4,$I520*$J520&gt;0,OR($I520&lt;&gt;$I521,$L520-$L521&gt;25),$I520/POW(10,$J520)*MAXIFS(Token!$B:$B,Token!$A:$A,$K520)&gt;0.01),$L520/86400+DATE(1970,1,1)+$G$6,)</f>
        <v/>
      </c>
      <c r="B520" s="27" t="str">
        <f t="shared" si="1"/>
        <v/>
      </c>
      <c r="C520" s="14" t="str">
        <f>IF($A520&lt;&gt;"",MINIFS(Merchant!$A:$A,Merchant!$B:$B,$G$2),)</f>
        <v/>
      </c>
      <c r="D520" s="14" t="str">
        <f t="shared" si="2"/>
        <v/>
      </c>
      <c r="E520" s="14" t="str">
        <f t="shared" si="3"/>
        <v/>
      </c>
      <c r="F520" s="7" t="str">
        <f>IF($A520&lt;&gt;"",MAXIFS(Token!$B:$B,Token!$A:$A,$D520),)</f>
        <v/>
      </c>
    </row>
    <row r="521">
      <c r="A521" s="39" t="str">
        <f>IF(AND($L521*1&gt;=$G$3,$L521*1&lt;=$G$4,$I521*$J521&gt;0,OR($I521&lt;&gt;$I522,$L521-$L522&gt;25),$I521/POW(10,$J521)*MAXIFS(Token!$B:$B,Token!$A:$A,$K521)&gt;0.01),$L521/86400+DATE(1970,1,1)+$G$6,)</f>
        <v/>
      </c>
      <c r="B521" s="27" t="str">
        <f t="shared" si="1"/>
        <v/>
      </c>
      <c r="C521" s="14" t="str">
        <f>IF($A521&lt;&gt;"",MINIFS(Merchant!$A:$A,Merchant!$B:$B,$G$2),)</f>
        <v/>
      </c>
      <c r="D521" s="14" t="str">
        <f t="shared" si="2"/>
        <v/>
      </c>
      <c r="E521" s="14" t="str">
        <f t="shared" si="3"/>
        <v/>
      </c>
      <c r="F521" s="7" t="str">
        <f>IF($A521&lt;&gt;"",MAXIFS(Token!$B:$B,Token!$A:$A,$D521),)</f>
        <v/>
      </c>
    </row>
    <row r="522">
      <c r="A522" s="39" t="str">
        <f>IF(AND($L522*1&gt;=$G$3,$L522*1&lt;=$G$4,$I522*$J522&gt;0,OR($I522&lt;&gt;$I523,$L522-$L523&gt;25),$I522/POW(10,$J522)*MAXIFS(Token!$B:$B,Token!$A:$A,$K522)&gt;0.01),$L522/86400+DATE(1970,1,1)+$G$6,)</f>
        <v/>
      </c>
      <c r="B522" s="27" t="str">
        <f t="shared" si="1"/>
        <v/>
      </c>
      <c r="C522" s="14" t="str">
        <f>IF($A522&lt;&gt;"",MINIFS(Merchant!$A:$A,Merchant!$B:$B,$G$2),)</f>
        <v/>
      </c>
      <c r="D522" s="14" t="str">
        <f t="shared" si="2"/>
        <v/>
      </c>
      <c r="E522" s="14" t="str">
        <f t="shared" si="3"/>
        <v/>
      </c>
      <c r="F522" s="7" t="str">
        <f>IF($A522&lt;&gt;"",MAXIFS(Token!$B:$B,Token!$A:$A,$D522),)</f>
        <v/>
      </c>
    </row>
    <row r="523">
      <c r="A523" s="39" t="str">
        <f>IF(AND($L523*1&gt;=$G$3,$L523*1&lt;=$G$4,$I523*$J523&gt;0,OR($I523&lt;&gt;$I524,$L523-$L524&gt;25),$I523/POW(10,$J523)*MAXIFS(Token!$B:$B,Token!$A:$A,$K523)&gt;0.01),$L523/86400+DATE(1970,1,1)+$G$6,)</f>
        <v/>
      </c>
      <c r="B523" s="27" t="str">
        <f t="shared" si="1"/>
        <v/>
      </c>
      <c r="C523" s="14" t="str">
        <f>IF($A523&lt;&gt;"",MINIFS(Merchant!$A:$A,Merchant!$B:$B,$G$2),)</f>
        <v/>
      </c>
      <c r="D523" s="14" t="str">
        <f t="shared" si="2"/>
        <v/>
      </c>
      <c r="E523" s="14" t="str">
        <f t="shared" si="3"/>
        <v/>
      </c>
      <c r="F523" s="7" t="str">
        <f>IF($A523&lt;&gt;"",MAXIFS(Token!$B:$B,Token!$A:$A,$D523),)</f>
        <v/>
      </c>
    </row>
    <row r="524">
      <c r="A524" s="39" t="str">
        <f>IF(AND($L524*1&gt;=$G$3,$L524*1&lt;=$G$4,$I524*$J524&gt;0,OR($I524&lt;&gt;$I525,$L524-$L525&gt;25),$I524/POW(10,$J524)*MAXIFS(Token!$B:$B,Token!$A:$A,$K524)&gt;0.01),$L524/86400+DATE(1970,1,1)+$G$6,)</f>
        <v/>
      </c>
      <c r="B524" s="27" t="str">
        <f t="shared" si="1"/>
        <v/>
      </c>
      <c r="C524" s="14" t="str">
        <f>IF($A524&lt;&gt;"",MINIFS(Merchant!$A:$A,Merchant!$B:$B,$G$2),)</f>
        <v/>
      </c>
      <c r="D524" s="14" t="str">
        <f t="shared" si="2"/>
        <v/>
      </c>
      <c r="E524" s="14" t="str">
        <f t="shared" si="3"/>
        <v/>
      </c>
      <c r="F524" s="7" t="str">
        <f>IF($A524&lt;&gt;"",MAXIFS(Token!$B:$B,Token!$A:$A,$D524),)</f>
        <v/>
      </c>
    </row>
    <row r="525">
      <c r="A525" s="39" t="str">
        <f>IF(AND($L525*1&gt;=$G$3,$L525*1&lt;=$G$4,$I525*$J525&gt;0,OR($I525&lt;&gt;$I526,$L525-$L526&gt;25),$I525/POW(10,$J525)*MAXIFS(Token!$B:$B,Token!$A:$A,$K525)&gt;0.01),$L525/86400+DATE(1970,1,1)+$G$6,)</f>
        <v/>
      </c>
      <c r="B525" s="27" t="str">
        <f t="shared" si="1"/>
        <v/>
      </c>
      <c r="C525" s="14" t="str">
        <f>IF($A525&lt;&gt;"",MINIFS(Merchant!$A:$A,Merchant!$B:$B,$G$2),)</f>
        <v/>
      </c>
      <c r="D525" s="14" t="str">
        <f t="shared" si="2"/>
        <v/>
      </c>
      <c r="E525" s="14" t="str">
        <f t="shared" si="3"/>
        <v/>
      </c>
      <c r="F525" s="7" t="str">
        <f>IF($A525&lt;&gt;"",MAXIFS(Token!$B:$B,Token!$A:$A,$D525),)</f>
        <v/>
      </c>
    </row>
    <row r="526">
      <c r="A526" s="39" t="str">
        <f>IF(AND($L526*1&gt;=$G$3,$L526*1&lt;=$G$4,$I526*$J526&gt;0,OR($I526&lt;&gt;$I527,$L526-$L527&gt;25),$I526/POW(10,$J526)*MAXIFS(Token!$B:$B,Token!$A:$A,$K526)&gt;0.01),$L526/86400+DATE(1970,1,1)+$G$6,)</f>
        <v/>
      </c>
      <c r="B526" s="27" t="str">
        <f t="shared" si="1"/>
        <v/>
      </c>
      <c r="C526" s="14" t="str">
        <f>IF($A526&lt;&gt;"",MINIFS(Merchant!$A:$A,Merchant!$B:$B,$G$2),)</f>
        <v/>
      </c>
      <c r="D526" s="14" t="str">
        <f t="shared" si="2"/>
        <v/>
      </c>
      <c r="E526" s="14" t="str">
        <f t="shared" si="3"/>
        <v/>
      </c>
      <c r="F526" s="7" t="str">
        <f>IF($A526&lt;&gt;"",MAXIFS(Token!$B:$B,Token!$A:$A,$D526),)</f>
        <v/>
      </c>
    </row>
    <row r="527">
      <c r="A527" s="39" t="str">
        <f>IF(AND($L527*1&gt;=$G$3,$L527*1&lt;=$G$4,$I527*$J527&gt;0,OR($I527&lt;&gt;$I528,$L527-$L528&gt;25),$I527/POW(10,$J527)*MAXIFS(Token!$B:$B,Token!$A:$A,$K527)&gt;0.01),$L527/86400+DATE(1970,1,1)+$G$6,)</f>
        <v/>
      </c>
      <c r="B527" s="27" t="str">
        <f t="shared" si="1"/>
        <v/>
      </c>
      <c r="C527" s="14" t="str">
        <f>IF($A527&lt;&gt;"",MINIFS(Merchant!$A:$A,Merchant!$B:$B,$G$2),)</f>
        <v/>
      </c>
      <c r="D527" s="14" t="str">
        <f t="shared" si="2"/>
        <v/>
      </c>
      <c r="E527" s="14" t="str">
        <f t="shared" si="3"/>
        <v/>
      </c>
      <c r="F527" s="7" t="str">
        <f>IF($A527&lt;&gt;"",MAXIFS(Token!$B:$B,Token!$A:$A,$D527),)</f>
        <v/>
      </c>
    </row>
    <row r="528">
      <c r="A528" s="39" t="str">
        <f>IF(AND($L528*1&gt;=$G$3,$L528*1&lt;=$G$4,$I528*$J528&gt;0,OR($I528&lt;&gt;$I529,$L528-$L529&gt;25),$I528/POW(10,$J528)*MAXIFS(Token!$B:$B,Token!$A:$A,$K528)&gt;0.01),$L528/86400+DATE(1970,1,1)+$G$6,)</f>
        <v/>
      </c>
      <c r="B528" s="27" t="str">
        <f t="shared" si="1"/>
        <v/>
      </c>
      <c r="C528" s="14" t="str">
        <f>IF($A528&lt;&gt;"",MINIFS(Merchant!$A:$A,Merchant!$B:$B,$G$2),)</f>
        <v/>
      </c>
      <c r="D528" s="14" t="str">
        <f t="shared" si="2"/>
        <v/>
      </c>
      <c r="E528" s="14" t="str">
        <f t="shared" si="3"/>
        <v/>
      </c>
      <c r="F528" s="7" t="str">
        <f>IF($A528&lt;&gt;"",MAXIFS(Token!$B:$B,Token!$A:$A,$D528),)</f>
        <v/>
      </c>
    </row>
    <row r="529">
      <c r="A529" s="39" t="str">
        <f>IF(AND($L529*1&gt;=$G$3,$L529*1&lt;=$G$4,$I529*$J529&gt;0,OR($I529&lt;&gt;$I530,$L529-$L530&gt;25),$I529/POW(10,$J529)*MAXIFS(Token!$B:$B,Token!$A:$A,$K529)&gt;0.01),$L529/86400+DATE(1970,1,1)+$G$6,)</f>
        <v/>
      </c>
      <c r="B529" s="27" t="str">
        <f t="shared" si="1"/>
        <v/>
      </c>
      <c r="C529" s="14" t="str">
        <f>IF($A529&lt;&gt;"",MINIFS(Merchant!$A:$A,Merchant!$B:$B,$G$2),)</f>
        <v/>
      </c>
      <c r="D529" s="14" t="str">
        <f t="shared" si="2"/>
        <v/>
      </c>
      <c r="E529" s="14" t="str">
        <f t="shared" si="3"/>
        <v/>
      </c>
      <c r="F529" s="7" t="str">
        <f>IF($A529&lt;&gt;"",MAXIFS(Token!$B:$B,Token!$A:$A,$D529),)</f>
        <v/>
      </c>
    </row>
    <row r="530">
      <c r="A530" s="39" t="str">
        <f>IF(AND($L530*1&gt;=$G$3,$L530*1&lt;=$G$4,$I530*$J530&gt;0,OR($I530&lt;&gt;$I531,$L530-$L531&gt;25),$I530/POW(10,$J530)*MAXIFS(Token!$B:$B,Token!$A:$A,$K530)&gt;0.01),$L530/86400+DATE(1970,1,1)+$G$6,)</f>
        <v/>
      </c>
      <c r="B530" s="27" t="str">
        <f t="shared" si="1"/>
        <v/>
      </c>
      <c r="C530" s="14" t="str">
        <f>IF($A530&lt;&gt;"",MINIFS(Merchant!$A:$A,Merchant!$B:$B,$G$2),)</f>
        <v/>
      </c>
      <c r="D530" s="14" t="str">
        <f t="shared" si="2"/>
        <v/>
      </c>
      <c r="E530" s="14" t="str">
        <f t="shared" si="3"/>
        <v/>
      </c>
      <c r="F530" s="7" t="str">
        <f>IF($A530&lt;&gt;"",MAXIFS(Token!$B:$B,Token!$A:$A,$D530),)</f>
        <v/>
      </c>
    </row>
    <row r="531">
      <c r="A531" s="39" t="str">
        <f>IF(AND($L531*1&gt;=$G$3,$L531*1&lt;=$G$4,$I531*$J531&gt;0,OR($I531&lt;&gt;$I532,$L531-$L532&gt;25),$I531/POW(10,$J531)*MAXIFS(Token!$B:$B,Token!$A:$A,$K531)&gt;0.01),$L531/86400+DATE(1970,1,1)+$G$6,)</f>
        <v/>
      </c>
      <c r="B531" s="27" t="str">
        <f t="shared" si="1"/>
        <v/>
      </c>
      <c r="C531" s="14" t="str">
        <f>IF($A531&lt;&gt;"",MINIFS(Merchant!$A:$A,Merchant!$B:$B,$G$2),)</f>
        <v/>
      </c>
      <c r="D531" s="14" t="str">
        <f t="shared" si="2"/>
        <v/>
      </c>
      <c r="E531" s="14" t="str">
        <f t="shared" si="3"/>
        <v/>
      </c>
      <c r="F531" s="7" t="str">
        <f>IF($A531&lt;&gt;"",MAXIFS(Token!$B:$B,Token!$A:$A,$D531),)</f>
        <v/>
      </c>
    </row>
    <row r="532">
      <c r="A532" s="39" t="str">
        <f>IF(AND($L532*1&gt;=$G$3,$L532*1&lt;=$G$4,$I532*$J532&gt;0,OR($I532&lt;&gt;$I533,$L532-$L533&gt;25),$I532/POW(10,$J532)*MAXIFS(Token!$B:$B,Token!$A:$A,$K532)&gt;0.01),$L532/86400+DATE(1970,1,1)+$G$6,)</f>
        <v/>
      </c>
      <c r="B532" s="27" t="str">
        <f t="shared" si="1"/>
        <v/>
      </c>
      <c r="C532" s="14" t="str">
        <f>IF($A532&lt;&gt;"",MINIFS(Merchant!$A:$A,Merchant!$B:$B,$G$2),)</f>
        <v/>
      </c>
      <c r="D532" s="14" t="str">
        <f t="shared" si="2"/>
        <v/>
      </c>
      <c r="E532" s="14" t="str">
        <f t="shared" si="3"/>
        <v/>
      </c>
      <c r="F532" s="7" t="str">
        <f>IF($A532&lt;&gt;"",MAXIFS(Token!$B:$B,Token!$A:$A,$D532),)</f>
        <v/>
      </c>
    </row>
    <row r="533">
      <c r="A533" s="39" t="str">
        <f>IF(AND($L533*1&gt;=$G$3,$L533*1&lt;=$G$4,$I533*$J533&gt;0,OR($I533&lt;&gt;$I534,$L533-$L534&gt;25),$I533/POW(10,$J533)*MAXIFS(Token!$B:$B,Token!$A:$A,$K533)&gt;0.01),$L533/86400+DATE(1970,1,1)+$G$6,)</f>
        <v/>
      </c>
      <c r="B533" s="27" t="str">
        <f t="shared" si="1"/>
        <v/>
      </c>
      <c r="C533" s="14" t="str">
        <f>IF($A533&lt;&gt;"",MINIFS(Merchant!$A:$A,Merchant!$B:$B,$G$2),)</f>
        <v/>
      </c>
      <c r="D533" s="14" t="str">
        <f t="shared" si="2"/>
        <v/>
      </c>
      <c r="E533" s="14" t="str">
        <f t="shared" si="3"/>
        <v/>
      </c>
      <c r="F533" s="7" t="str">
        <f>IF($A533&lt;&gt;"",MAXIFS(Token!$B:$B,Token!$A:$A,$D533),)</f>
        <v/>
      </c>
    </row>
    <row r="534">
      <c r="A534" s="39" t="str">
        <f>IF(AND($L534*1&gt;=$G$3,$L534*1&lt;=$G$4,$I534*$J534&gt;0,OR($I534&lt;&gt;$I535,$L534-$L535&gt;25),$I534/POW(10,$J534)*MAXIFS(Token!$B:$B,Token!$A:$A,$K534)&gt;0.01),$L534/86400+DATE(1970,1,1)+$G$6,)</f>
        <v/>
      </c>
      <c r="B534" s="27" t="str">
        <f t="shared" si="1"/>
        <v/>
      </c>
      <c r="C534" s="14" t="str">
        <f>IF($A534&lt;&gt;"",MINIFS(Merchant!$A:$A,Merchant!$B:$B,$G$2),)</f>
        <v/>
      </c>
      <c r="D534" s="14" t="str">
        <f t="shared" si="2"/>
        <v/>
      </c>
      <c r="E534" s="14" t="str">
        <f t="shared" si="3"/>
        <v/>
      </c>
      <c r="F534" s="7" t="str">
        <f>IF($A534&lt;&gt;"",MAXIFS(Token!$B:$B,Token!$A:$A,$D534),)</f>
        <v/>
      </c>
    </row>
    <row r="535">
      <c r="A535" s="39" t="str">
        <f>IF(AND($L535*1&gt;=$G$3,$L535*1&lt;=$G$4,$I535*$J535&gt;0,OR($I535&lt;&gt;$I536,$L535-$L536&gt;25),$I535/POW(10,$J535)*MAXIFS(Token!$B:$B,Token!$A:$A,$K535)&gt;0.01),$L535/86400+DATE(1970,1,1)+$G$6,)</f>
        <v/>
      </c>
      <c r="B535" s="27" t="str">
        <f t="shared" si="1"/>
        <v/>
      </c>
      <c r="C535" s="14" t="str">
        <f>IF($A535&lt;&gt;"",MINIFS(Merchant!$A:$A,Merchant!$B:$B,$G$2),)</f>
        <v/>
      </c>
      <c r="D535" s="14" t="str">
        <f t="shared" si="2"/>
        <v/>
      </c>
      <c r="E535" s="14" t="str">
        <f t="shared" si="3"/>
        <v/>
      </c>
      <c r="F535" s="7" t="str">
        <f>IF($A535&lt;&gt;"",MAXIFS(Token!$B:$B,Token!$A:$A,$D535),)</f>
        <v/>
      </c>
    </row>
    <row r="536">
      <c r="A536" s="39" t="str">
        <f>IF(AND($L536*1&gt;=$G$3,$L536*1&lt;=$G$4,$I536*$J536&gt;0,OR($I536&lt;&gt;$I537,$L536-$L537&gt;25),$I536/POW(10,$J536)*MAXIFS(Token!$B:$B,Token!$A:$A,$K536)&gt;0.01),$L536/86400+DATE(1970,1,1)+$G$6,)</f>
        <v/>
      </c>
      <c r="B536" s="27" t="str">
        <f t="shared" si="1"/>
        <v/>
      </c>
      <c r="C536" s="14" t="str">
        <f>IF($A536&lt;&gt;"",MINIFS(Merchant!$A:$A,Merchant!$B:$B,$G$2),)</f>
        <v/>
      </c>
      <c r="D536" s="14" t="str">
        <f t="shared" si="2"/>
        <v/>
      </c>
      <c r="E536" s="14" t="str">
        <f t="shared" si="3"/>
        <v/>
      </c>
      <c r="F536" s="7" t="str">
        <f>IF($A536&lt;&gt;"",MAXIFS(Token!$B:$B,Token!$A:$A,$D536),)</f>
        <v/>
      </c>
    </row>
    <row r="537">
      <c r="A537" s="39" t="str">
        <f>IF(AND($L537*1&gt;=$G$3,$L537*1&lt;=$G$4,$I537*$J537&gt;0,OR($I537&lt;&gt;$I538,$L537-$L538&gt;25),$I537/POW(10,$J537)*MAXIFS(Token!$B:$B,Token!$A:$A,$K537)&gt;0.01),$L537/86400+DATE(1970,1,1)+$G$6,)</f>
        <v/>
      </c>
      <c r="B537" s="27" t="str">
        <f t="shared" si="1"/>
        <v/>
      </c>
      <c r="C537" s="14" t="str">
        <f>IF($A537&lt;&gt;"",MINIFS(Merchant!$A:$A,Merchant!$B:$B,$G$2),)</f>
        <v/>
      </c>
      <c r="D537" s="14" t="str">
        <f t="shared" si="2"/>
        <v/>
      </c>
      <c r="E537" s="14" t="str">
        <f t="shared" si="3"/>
        <v/>
      </c>
      <c r="F537" s="7" t="str">
        <f>IF($A537&lt;&gt;"",MAXIFS(Token!$B:$B,Token!$A:$A,$D537),)</f>
        <v/>
      </c>
    </row>
    <row r="538">
      <c r="A538" s="39" t="str">
        <f>IF(AND($L538*1&gt;=$G$3,$L538*1&lt;=$G$4,$I538*$J538&gt;0,OR($I538&lt;&gt;$I539,$L538-$L539&gt;25),$I538/POW(10,$J538)*MAXIFS(Token!$B:$B,Token!$A:$A,$K538)&gt;0.01),$L538/86400+DATE(1970,1,1)+$G$6,)</f>
        <v/>
      </c>
      <c r="B538" s="27" t="str">
        <f t="shared" si="1"/>
        <v/>
      </c>
      <c r="C538" s="14" t="str">
        <f>IF($A538&lt;&gt;"",MINIFS(Merchant!$A:$A,Merchant!$B:$B,$G$2),)</f>
        <v/>
      </c>
      <c r="D538" s="14" t="str">
        <f t="shared" si="2"/>
        <v/>
      </c>
      <c r="E538" s="14" t="str">
        <f t="shared" si="3"/>
        <v/>
      </c>
      <c r="F538" s="7" t="str">
        <f>IF($A538&lt;&gt;"",MAXIFS(Token!$B:$B,Token!$A:$A,$D538),)</f>
        <v/>
      </c>
    </row>
    <row r="539">
      <c r="A539" s="39" t="str">
        <f>IF(AND($L539*1&gt;=$G$3,$L539*1&lt;=$G$4,$I539*$J539&gt;0,OR($I539&lt;&gt;$I540,$L539-$L540&gt;25),$I539/POW(10,$J539)*MAXIFS(Token!$B:$B,Token!$A:$A,$K539)&gt;0.01),$L539/86400+DATE(1970,1,1)+$G$6,)</f>
        <v/>
      </c>
      <c r="B539" s="27" t="str">
        <f t="shared" si="1"/>
        <v/>
      </c>
      <c r="C539" s="14" t="str">
        <f>IF($A539&lt;&gt;"",MINIFS(Merchant!$A:$A,Merchant!$B:$B,$G$2),)</f>
        <v/>
      </c>
      <c r="D539" s="14" t="str">
        <f t="shared" si="2"/>
        <v/>
      </c>
      <c r="E539" s="14" t="str">
        <f t="shared" si="3"/>
        <v/>
      </c>
      <c r="F539" s="7" t="str">
        <f>IF($A539&lt;&gt;"",MAXIFS(Token!$B:$B,Token!$A:$A,$D539),)</f>
        <v/>
      </c>
    </row>
    <row r="540">
      <c r="A540" s="39" t="str">
        <f>IF(AND($L540*1&gt;=$G$3,$L540*1&lt;=$G$4,$I540*$J540&gt;0,OR($I540&lt;&gt;$I541,$L540-$L541&gt;25),$I540/POW(10,$J540)*MAXIFS(Token!$B:$B,Token!$A:$A,$K540)&gt;0.01),$L540/86400+DATE(1970,1,1)+$G$6,)</f>
        <v/>
      </c>
      <c r="B540" s="27" t="str">
        <f t="shared" si="1"/>
        <v/>
      </c>
      <c r="C540" s="14" t="str">
        <f>IF($A540&lt;&gt;"",MINIFS(Merchant!$A:$A,Merchant!$B:$B,$G$2),)</f>
        <v/>
      </c>
      <c r="D540" s="14" t="str">
        <f t="shared" si="2"/>
        <v/>
      </c>
      <c r="E540" s="14" t="str">
        <f t="shared" si="3"/>
        <v/>
      </c>
      <c r="F540" s="7" t="str">
        <f>IF($A540&lt;&gt;"",MAXIFS(Token!$B:$B,Token!$A:$A,$D540),)</f>
        <v/>
      </c>
    </row>
    <row r="541">
      <c r="A541" s="39" t="str">
        <f>IF(AND($L541*1&gt;=$G$3,$L541*1&lt;=$G$4,$I541*$J541&gt;0,OR($I541&lt;&gt;$I542,$L541-$L542&gt;25),$I541/POW(10,$J541)*MAXIFS(Token!$B:$B,Token!$A:$A,$K541)&gt;0.01),$L541/86400+DATE(1970,1,1)+$G$6,)</f>
        <v/>
      </c>
      <c r="B541" s="27" t="str">
        <f t="shared" si="1"/>
        <v/>
      </c>
      <c r="C541" s="14" t="str">
        <f>IF($A541&lt;&gt;"",MINIFS(Merchant!$A:$A,Merchant!$B:$B,$G$2),)</f>
        <v/>
      </c>
      <c r="D541" s="14" t="str">
        <f t="shared" si="2"/>
        <v/>
      </c>
      <c r="E541" s="14" t="str">
        <f t="shared" si="3"/>
        <v/>
      </c>
      <c r="F541" s="7" t="str">
        <f>IF($A541&lt;&gt;"",MAXIFS(Token!$B:$B,Token!$A:$A,$D541),)</f>
        <v/>
      </c>
    </row>
    <row r="542">
      <c r="A542" s="39" t="str">
        <f>IF(AND($L542*1&gt;=$G$3,$L542*1&lt;=$G$4,$I542*$J542&gt;0,OR($I542&lt;&gt;$I543,$L542-$L543&gt;25),$I542/POW(10,$J542)*MAXIFS(Token!$B:$B,Token!$A:$A,$K542)&gt;0.01),$L542/86400+DATE(1970,1,1)+$G$6,)</f>
        <v/>
      </c>
      <c r="B542" s="27" t="str">
        <f t="shared" si="1"/>
        <v/>
      </c>
      <c r="C542" s="14" t="str">
        <f>IF($A542&lt;&gt;"",MINIFS(Merchant!$A:$A,Merchant!$B:$B,$G$2),)</f>
        <v/>
      </c>
      <c r="D542" s="14" t="str">
        <f t="shared" si="2"/>
        <v/>
      </c>
      <c r="E542" s="14" t="str">
        <f t="shared" si="3"/>
        <v/>
      </c>
      <c r="F542" s="7" t="str">
        <f>IF($A542&lt;&gt;"",MAXIFS(Token!$B:$B,Token!$A:$A,$D542),)</f>
        <v/>
      </c>
    </row>
    <row r="543">
      <c r="A543" s="39" t="str">
        <f>IF(AND($L543*1&gt;=$G$3,$L543*1&lt;=$G$4,$I543*$J543&gt;0,OR($I543&lt;&gt;$I544,$L543-$L544&gt;25),$I543/POW(10,$J543)*MAXIFS(Token!$B:$B,Token!$A:$A,$K543)&gt;0.01),$L543/86400+DATE(1970,1,1)+$G$6,)</f>
        <v/>
      </c>
      <c r="B543" s="27" t="str">
        <f t="shared" si="1"/>
        <v/>
      </c>
      <c r="C543" s="14" t="str">
        <f>IF($A543&lt;&gt;"",MINIFS(Merchant!$A:$A,Merchant!$B:$B,$G$2),)</f>
        <v/>
      </c>
      <c r="D543" s="14" t="str">
        <f t="shared" si="2"/>
        <v/>
      </c>
      <c r="E543" s="14" t="str">
        <f t="shared" si="3"/>
        <v/>
      </c>
      <c r="F543" s="7" t="str">
        <f>IF($A543&lt;&gt;"",MAXIFS(Token!$B:$B,Token!$A:$A,$D543),)</f>
        <v/>
      </c>
    </row>
    <row r="544">
      <c r="A544" s="39" t="str">
        <f>IF(AND($L544*1&gt;=$G$3,$L544*1&lt;=$G$4,$I544*$J544&gt;0,OR($I544&lt;&gt;$I545,$L544-$L545&gt;25),$I544/POW(10,$J544)*MAXIFS(Token!$B:$B,Token!$A:$A,$K544)&gt;0.01),$L544/86400+DATE(1970,1,1)+$G$6,)</f>
        <v/>
      </c>
      <c r="B544" s="27" t="str">
        <f t="shared" si="1"/>
        <v/>
      </c>
      <c r="C544" s="14" t="str">
        <f>IF($A544&lt;&gt;"",MINIFS(Merchant!$A:$A,Merchant!$B:$B,$G$2),)</f>
        <v/>
      </c>
      <c r="D544" s="14" t="str">
        <f t="shared" si="2"/>
        <v/>
      </c>
      <c r="E544" s="14" t="str">
        <f t="shared" si="3"/>
        <v/>
      </c>
      <c r="F544" s="7" t="str">
        <f>IF($A544&lt;&gt;"",MAXIFS(Token!$B:$B,Token!$A:$A,$D544),)</f>
        <v/>
      </c>
    </row>
    <row r="545">
      <c r="A545" s="39" t="str">
        <f>IF(AND($L545*1&gt;=$G$3,$L545*1&lt;=$G$4,$I545*$J545&gt;0,OR($I545&lt;&gt;$I546,$L545-$L546&gt;25),$I545/POW(10,$J545)*MAXIFS(Token!$B:$B,Token!$A:$A,$K545)&gt;0.01),$L545/86400+DATE(1970,1,1)+$G$6,)</f>
        <v/>
      </c>
      <c r="B545" s="27" t="str">
        <f t="shared" si="1"/>
        <v/>
      </c>
      <c r="C545" s="14" t="str">
        <f>IF($A545&lt;&gt;"",MINIFS(Merchant!$A:$A,Merchant!$B:$B,$G$2),)</f>
        <v/>
      </c>
      <c r="D545" s="14" t="str">
        <f t="shared" si="2"/>
        <v/>
      </c>
      <c r="E545" s="14" t="str">
        <f t="shared" si="3"/>
        <v/>
      </c>
      <c r="F545" s="7" t="str">
        <f>IF($A545&lt;&gt;"",MAXIFS(Token!$B:$B,Token!$A:$A,$D545),)</f>
        <v/>
      </c>
    </row>
    <row r="546">
      <c r="A546" s="39" t="str">
        <f>IF(AND($L546*1&gt;=$G$3,$L546*1&lt;=$G$4,$I546*$J546&gt;0,OR($I546&lt;&gt;$I547,$L546-$L547&gt;25),$I546/POW(10,$J546)*MAXIFS(Token!$B:$B,Token!$A:$A,$K546)&gt;0.01),$L546/86400+DATE(1970,1,1)+$G$6,)</f>
        <v/>
      </c>
      <c r="B546" s="27" t="str">
        <f t="shared" si="1"/>
        <v/>
      </c>
      <c r="C546" s="14" t="str">
        <f>IF($A546&lt;&gt;"",MINIFS(Merchant!$A:$A,Merchant!$B:$B,$G$2),)</f>
        <v/>
      </c>
      <c r="D546" s="14" t="str">
        <f t="shared" si="2"/>
        <v/>
      </c>
      <c r="E546" s="14" t="str">
        <f t="shared" si="3"/>
        <v/>
      </c>
      <c r="F546" s="7" t="str">
        <f>IF($A546&lt;&gt;"",MAXIFS(Token!$B:$B,Token!$A:$A,$D546),)</f>
        <v/>
      </c>
    </row>
    <row r="547">
      <c r="A547" s="39" t="str">
        <f>IF(AND($L547*1&gt;=$G$3,$L547*1&lt;=$G$4,$I547*$J547&gt;0,OR($I547&lt;&gt;$I548,$L547-$L548&gt;25),$I547/POW(10,$J547)*MAXIFS(Token!$B:$B,Token!$A:$A,$K547)&gt;0.01),$L547/86400+DATE(1970,1,1)+$G$6,)</f>
        <v/>
      </c>
      <c r="B547" s="27" t="str">
        <f t="shared" si="1"/>
        <v/>
      </c>
      <c r="C547" s="14" t="str">
        <f>IF($A547&lt;&gt;"",MINIFS(Merchant!$A:$A,Merchant!$B:$B,$G$2),)</f>
        <v/>
      </c>
      <c r="D547" s="14" t="str">
        <f t="shared" si="2"/>
        <v/>
      </c>
      <c r="E547" s="14" t="str">
        <f t="shared" si="3"/>
        <v/>
      </c>
      <c r="F547" s="7" t="str">
        <f>IF($A547&lt;&gt;"",MAXIFS(Token!$B:$B,Token!$A:$A,$D547),)</f>
        <v/>
      </c>
    </row>
    <row r="548">
      <c r="A548" s="39" t="str">
        <f>IF(AND($L548*1&gt;=$G$3,$L548*1&lt;=$G$4,$I548*$J548&gt;0,OR($I548&lt;&gt;$I549,$L548-$L549&gt;25),$I548/POW(10,$J548)*MAXIFS(Token!$B:$B,Token!$A:$A,$K548)&gt;0.01),$L548/86400+DATE(1970,1,1)+$G$6,)</f>
        <v/>
      </c>
      <c r="B548" s="27" t="str">
        <f t="shared" si="1"/>
        <v/>
      </c>
      <c r="C548" s="14" t="str">
        <f>IF($A548&lt;&gt;"",MINIFS(Merchant!$A:$A,Merchant!$B:$B,$G$2),)</f>
        <v/>
      </c>
      <c r="D548" s="14" t="str">
        <f t="shared" si="2"/>
        <v/>
      </c>
      <c r="E548" s="14" t="str">
        <f t="shared" si="3"/>
        <v/>
      </c>
      <c r="F548" s="7" t="str">
        <f>IF($A548&lt;&gt;"",MAXIFS(Token!$B:$B,Token!$A:$A,$D548),)</f>
        <v/>
      </c>
    </row>
    <row r="549">
      <c r="A549" s="39" t="str">
        <f>IF(AND($L549*1&gt;=$G$3,$L549*1&lt;=$G$4,$I549*$J549&gt;0,OR($I549&lt;&gt;$I550,$L549-$L550&gt;25),$I549/POW(10,$J549)*MAXIFS(Token!$B:$B,Token!$A:$A,$K549)&gt;0.01),$L549/86400+DATE(1970,1,1)+$G$6,)</f>
        <v/>
      </c>
      <c r="B549" s="27" t="str">
        <f t="shared" si="1"/>
        <v/>
      </c>
      <c r="C549" s="14" t="str">
        <f>IF($A549&lt;&gt;"",MINIFS(Merchant!$A:$A,Merchant!$B:$B,$G$2),)</f>
        <v/>
      </c>
      <c r="D549" s="14" t="str">
        <f t="shared" si="2"/>
        <v/>
      </c>
      <c r="E549" s="14" t="str">
        <f t="shared" si="3"/>
        <v/>
      </c>
      <c r="F549" s="7" t="str">
        <f>IF($A549&lt;&gt;"",MAXIFS(Token!$B:$B,Token!$A:$A,$D549),)</f>
        <v/>
      </c>
    </row>
    <row r="550">
      <c r="A550" s="39" t="str">
        <f>IF(AND($L550*1&gt;=$G$3,$L550*1&lt;=$G$4,$I550*$J550&gt;0,OR($I550&lt;&gt;$I551,$L550-$L551&gt;25),$I550/POW(10,$J550)*MAXIFS(Token!$B:$B,Token!$A:$A,$K550)&gt;0.01),$L550/86400+DATE(1970,1,1)+$G$6,)</f>
        <v/>
      </c>
      <c r="B550" s="27" t="str">
        <f t="shared" si="1"/>
        <v/>
      </c>
      <c r="C550" s="14" t="str">
        <f>IF($A550&lt;&gt;"",MINIFS(Merchant!$A:$A,Merchant!$B:$B,$G$2),)</f>
        <v/>
      </c>
      <c r="D550" s="14" t="str">
        <f t="shared" si="2"/>
        <v/>
      </c>
      <c r="E550" s="14" t="str">
        <f t="shared" si="3"/>
        <v/>
      </c>
      <c r="F550" s="7" t="str">
        <f>IF($A550&lt;&gt;"",MAXIFS(Token!$B:$B,Token!$A:$A,$D550),)</f>
        <v/>
      </c>
    </row>
    <row r="551">
      <c r="A551" s="39" t="str">
        <f>IF(AND($L551*1&gt;=$G$3,$L551*1&lt;=$G$4,$I551*$J551&gt;0,OR($I551&lt;&gt;$I552,$L551-$L552&gt;25),$I551/POW(10,$J551)*MAXIFS(Token!$B:$B,Token!$A:$A,$K551)&gt;0.01),$L551/86400+DATE(1970,1,1)+$G$6,)</f>
        <v/>
      </c>
      <c r="B551" s="27" t="str">
        <f t="shared" si="1"/>
        <v/>
      </c>
      <c r="C551" s="14" t="str">
        <f>IF($A551&lt;&gt;"",MINIFS(Merchant!$A:$A,Merchant!$B:$B,$G$2),)</f>
        <v/>
      </c>
      <c r="D551" s="14" t="str">
        <f t="shared" si="2"/>
        <v/>
      </c>
      <c r="E551" s="14" t="str">
        <f t="shared" si="3"/>
        <v/>
      </c>
      <c r="F551" s="7" t="str">
        <f>IF($A551&lt;&gt;"",MAXIFS(Token!$B:$B,Token!$A:$A,$D551),)</f>
        <v/>
      </c>
    </row>
    <row r="552">
      <c r="A552" s="39" t="str">
        <f>IF(AND($L552*1&gt;=$G$3,$L552*1&lt;=$G$4,$I552*$J552&gt;0,OR($I552&lt;&gt;$I553,$L552-$L553&gt;25),$I552/POW(10,$J552)*MAXIFS(Token!$B:$B,Token!$A:$A,$K552)&gt;0.01),$L552/86400+DATE(1970,1,1)+$G$6,)</f>
        <v/>
      </c>
      <c r="B552" s="27" t="str">
        <f t="shared" si="1"/>
        <v/>
      </c>
      <c r="C552" s="14" t="str">
        <f>IF($A552&lt;&gt;"",MINIFS(Merchant!$A:$A,Merchant!$B:$B,$G$2),)</f>
        <v/>
      </c>
      <c r="D552" s="14" t="str">
        <f t="shared" si="2"/>
        <v/>
      </c>
      <c r="E552" s="14" t="str">
        <f t="shared" si="3"/>
        <v/>
      </c>
      <c r="F552" s="7" t="str">
        <f>IF($A552&lt;&gt;"",MAXIFS(Token!$B:$B,Token!$A:$A,$D552),)</f>
        <v/>
      </c>
    </row>
    <row r="553">
      <c r="A553" s="39" t="str">
        <f>IF(AND($L553*1&gt;=$G$3,$L553*1&lt;=$G$4,$I553*$J553&gt;0,OR($I553&lt;&gt;$I554,$L553-$L554&gt;25),$I553/POW(10,$J553)*MAXIFS(Token!$B:$B,Token!$A:$A,$K553)&gt;0.01),$L553/86400+DATE(1970,1,1)+$G$6,)</f>
        <v/>
      </c>
      <c r="B553" s="27" t="str">
        <f t="shared" si="1"/>
        <v/>
      </c>
      <c r="C553" s="14" t="str">
        <f>IF($A553&lt;&gt;"",MINIFS(Merchant!$A:$A,Merchant!$B:$B,$G$2),)</f>
        <v/>
      </c>
      <c r="D553" s="14" t="str">
        <f t="shared" si="2"/>
        <v/>
      </c>
      <c r="E553" s="14" t="str">
        <f t="shared" si="3"/>
        <v/>
      </c>
      <c r="F553" s="7" t="str">
        <f>IF($A553&lt;&gt;"",MAXIFS(Token!$B:$B,Token!$A:$A,$D553),)</f>
        <v/>
      </c>
    </row>
    <row r="554">
      <c r="A554" s="39" t="str">
        <f>IF(AND($L554*1&gt;=$G$3,$L554*1&lt;=$G$4,$I554*$J554&gt;0,OR($I554&lt;&gt;$I555,$L554-$L555&gt;25),$I554/POW(10,$J554)*MAXIFS(Token!$B:$B,Token!$A:$A,$K554)&gt;0.01),$L554/86400+DATE(1970,1,1)+$G$6,)</f>
        <v/>
      </c>
      <c r="B554" s="27" t="str">
        <f t="shared" si="1"/>
        <v/>
      </c>
      <c r="C554" s="14" t="str">
        <f>IF($A554&lt;&gt;"",MINIFS(Merchant!$A:$A,Merchant!$B:$B,$G$2),)</f>
        <v/>
      </c>
      <c r="D554" s="14" t="str">
        <f t="shared" si="2"/>
        <v/>
      </c>
      <c r="E554" s="14" t="str">
        <f t="shared" si="3"/>
        <v/>
      </c>
      <c r="F554" s="7" t="str">
        <f>IF($A554&lt;&gt;"",MAXIFS(Token!$B:$B,Token!$A:$A,$D554),)</f>
        <v/>
      </c>
    </row>
    <row r="555">
      <c r="A555" s="39" t="str">
        <f>IF(AND($L555*1&gt;=$G$3,$L555*1&lt;=$G$4,$I555*$J555&gt;0,OR($I555&lt;&gt;$I556,$L555-$L556&gt;25),$I555/POW(10,$J555)*MAXIFS(Token!$B:$B,Token!$A:$A,$K555)&gt;0.01),$L555/86400+DATE(1970,1,1)+$G$6,)</f>
        <v/>
      </c>
      <c r="B555" s="27" t="str">
        <f t="shared" si="1"/>
        <v/>
      </c>
      <c r="C555" s="14" t="str">
        <f>IF($A555&lt;&gt;"",MINIFS(Merchant!$A:$A,Merchant!$B:$B,$G$2),)</f>
        <v/>
      </c>
      <c r="D555" s="14" t="str">
        <f t="shared" si="2"/>
        <v/>
      </c>
      <c r="E555" s="14" t="str">
        <f t="shared" si="3"/>
        <v/>
      </c>
      <c r="F555" s="7" t="str">
        <f>IF($A555&lt;&gt;"",MAXIFS(Token!$B:$B,Token!$A:$A,$D555),)</f>
        <v/>
      </c>
    </row>
    <row r="556">
      <c r="A556" s="39" t="str">
        <f>IF(AND($L556*1&gt;=$G$3,$L556*1&lt;=$G$4,$I556*$J556&gt;0,OR($I556&lt;&gt;$I557,$L556-$L557&gt;25),$I556/POW(10,$J556)*MAXIFS(Token!$B:$B,Token!$A:$A,$K556)&gt;0.01),$L556/86400+DATE(1970,1,1)+$G$6,)</f>
        <v/>
      </c>
      <c r="B556" s="27" t="str">
        <f t="shared" si="1"/>
        <v/>
      </c>
      <c r="C556" s="14" t="str">
        <f>IF($A556&lt;&gt;"",MINIFS(Merchant!$A:$A,Merchant!$B:$B,$G$2),)</f>
        <v/>
      </c>
      <c r="D556" s="14" t="str">
        <f t="shared" si="2"/>
        <v/>
      </c>
      <c r="E556" s="14" t="str">
        <f t="shared" si="3"/>
        <v/>
      </c>
      <c r="F556" s="7" t="str">
        <f>IF($A556&lt;&gt;"",MAXIFS(Token!$B:$B,Token!$A:$A,$D556),)</f>
        <v/>
      </c>
    </row>
    <row r="557">
      <c r="A557" s="39" t="str">
        <f>IF(AND($L557*1&gt;=$G$3,$L557*1&lt;=$G$4,$I557*$J557&gt;0,OR($I557&lt;&gt;$I558,$L557-$L558&gt;25),$I557/POW(10,$J557)*MAXIFS(Token!$B:$B,Token!$A:$A,$K557)&gt;0.01),$L557/86400+DATE(1970,1,1)+$G$6,)</f>
        <v/>
      </c>
      <c r="B557" s="27" t="str">
        <f t="shared" si="1"/>
        <v/>
      </c>
      <c r="C557" s="14" t="str">
        <f>IF($A557&lt;&gt;"",MINIFS(Merchant!$A:$A,Merchant!$B:$B,$G$2),)</f>
        <v/>
      </c>
      <c r="D557" s="14" t="str">
        <f t="shared" si="2"/>
        <v/>
      </c>
      <c r="E557" s="14" t="str">
        <f t="shared" si="3"/>
        <v/>
      </c>
      <c r="F557" s="7" t="str">
        <f>IF($A557&lt;&gt;"",MAXIFS(Token!$B:$B,Token!$A:$A,$D557),)</f>
        <v/>
      </c>
    </row>
    <row r="558">
      <c r="A558" s="39" t="str">
        <f>IF(AND($L558*1&gt;=$G$3,$L558*1&lt;=$G$4,$I558*$J558&gt;0,OR($I558&lt;&gt;$I559,$L558-$L559&gt;25),$I558/POW(10,$J558)*MAXIFS(Token!$B:$B,Token!$A:$A,$K558)&gt;0.01),$L558/86400+DATE(1970,1,1)+$G$6,)</f>
        <v/>
      </c>
      <c r="B558" s="27" t="str">
        <f t="shared" si="1"/>
        <v/>
      </c>
      <c r="C558" s="14" t="str">
        <f>IF($A558&lt;&gt;"",MINIFS(Merchant!$A:$A,Merchant!$B:$B,$G$2),)</f>
        <v/>
      </c>
      <c r="D558" s="14" t="str">
        <f t="shared" si="2"/>
        <v/>
      </c>
      <c r="E558" s="14" t="str">
        <f t="shared" si="3"/>
        <v/>
      </c>
      <c r="F558" s="7" t="str">
        <f>IF($A558&lt;&gt;"",MAXIFS(Token!$B:$B,Token!$A:$A,$D558),)</f>
        <v/>
      </c>
    </row>
    <row r="559">
      <c r="A559" s="39" t="str">
        <f>IF(AND($L559*1&gt;=$G$3,$L559*1&lt;=$G$4,$I559*$J559&gt;0,OR($I559&lt;&gt;$I560,$L559-$L560&gt;25),$I559/POW(10,$J559)*MAXIFS(Token!$B:$B,Token!$A:$A,$K559)&gt;0.01),$L559/86400+DATE(1970,1,1)+$G$6,)</f>
        <v/>
      </c>
      <c r="B559" s="27" t="str">
        <f t="shared" si="1"/>
        <v/>
      </c>
      <c r="C559" s="14" t="str">
        <f>IF($A559&lt;&gt;"",MINIFS(Merchant!$A:$A,Merchant!$B:$B,$G$2),)</f>
        <v/>
      </c>
      <c r="D559" s="14" t="str">
        <f t="shared" si="2"/>
        <v/>
      </c>
      <c r="E559" s="14" t="str">
        <f t="shared" si="3"/>
        <v/>
      </c>
      <c r="F559" s="7" t="str">
        <f>IF($A559&lt;&gt;"",MAXIFS(Token!$B:$B,Token!$A:$A,$D559),)</f>
        <v/>
      </c>
    </row>
    <row r="560">
      <c r="A560" s="39" t="str">
        <f>IF(AND($L560*1&gt;=$G$3,$L560*1&lt;=$G$4,$I560*$J560&gt;0,OR($I560&lt;&gt;$I561,$L560-$L561&gt;25),$I560/POW(10,$J560)*MAXIFS(Token!$B:$B,Token!$A:$A,$K560)&gt;0.01),$L560/86400+DATE(1970,1,1)+$G$6,)</f>
        <v/>
      </c>
      <c r="B560" s="27" t="str">
        <f t="shared" si="1"/>
        <v/>
      </c>
      <c r="C560" s="14" t="str">
        <f>IF($A560&lt;&gt;"",MINIFS(Merchant!$A:$A,Merchant!$B:$B,$G$2),)</f>
        <v/>
      </c>
      <c r="D560" s="14" t="str">
        <f t="shared" si="2"/>
        <v/>
      </c>
      <c r="E560" s="14" t="str">
        <f t="shared" si="3"/>
        <v/>
      </c>
      <c r="F560" s="7" t="str">
        <f>IF($A560&lt;&gt;"",MAXIFS(Token!$B:$B,Token!$A:$A,$D560),)</f>
        <v/>
      </c>
    </row>
    <row r="561">
      <c r="A561" s="39" t="str">
        <f>IF(AND($L561*1&gt;=$G$3,$L561*1&lt;=$G$4,$I561*$J561&gt;0,OR($I561&lt;&gt;$I562,$L561-$L562&gt;25),$I561/POW(10,$J561)*MAXIFS(Token!$B:$B,Token!$A:$A,$K561)&gt;0.01),$L561/86400+DATE(1970,1,1)+$G$6,)</f>
        <v/>
      </c>
      <c r="B561" s="27" t="str">
        <f t="shared" si="1"/>
        <v/>
      </c>
      <c r="C561" s="14" t="str">
        <f>IF($A561&lt;&gt;"",MINIFS(Merchant!$A:$A,Merchant!$B:$B,$G$2),)</f>
        <v/>
      </c>
      <c r="D561" s="14" t="str">
        <f t="shared" si="2"/>
        <v/>
      </c>
      <c r="E561" s="14" t="str">
        <f t="shared" si="3"/>
        <v/>
      </c>
      <c r="F561" s="7" t="str">
        <f>IF($A561&lt;&gt;"",MAXIFS(Token!$B:$B,Token!$A:$A,$D561),)</f>
        <v/>
      </c>
    </row>
    <row r="562">
      <c r="A562" s="39" t="str">
        <f>IF(AND($L562*1&gt;=$G$3,$L562*1&lt;=$G$4,$I562*$J562&gt;0,OR($I562&lt;&gt;$I563,$L562-$L563&gt;25),$I562/POW(10,$J562)*MAXIFS(Token!$B:$B,Token!$A:$A,$K562)&gt;0.01),$L562/86400+DATE(1970,1,1)+$G$6,)</f>
        <v/>
      </c>
      <c r="B562" s="27" t="str">
        <f t="shared" si="1"/>
        <v/>
      </c>
      <c r="C562" s="14" t="str">
        <f>IF($A562&lt;&gt;"",MINIFS(Merchant!$A:$A,Merchant!$B:$B,$G$2),)</f>
        <v/>
      </c>
      <c r="D562" s="14" t="str">
        <f t="shared" si="2"/>
        <v/>
      </c>
      <c r="E562" s="14" t="str">
        <f t="shared" si="3"/>
        <v/>
      </c>
      <c r="F562" s="7" t="str">
        <f>IF($A562&lt;&gt;"",MAXIFS(Token!$B:$B,Token!$A:$A,$D562),)</f>
        <v/>
      </c>
    </row>
    <row r="563">
      <c r="A563" s="39" t="str">
        <f>IF(AND($L563*1&gt;=$G$3,$L563*1&lt;=$G$4,$I563*$J563&gt;0,OR($I563&lt;&gt;$I564,$L563-$L564&gt;25),$I563/POW(10,$J563)*MAXIFS(Token!$B:$B,Token!$A:$A,$K563)&gt;0.01),$L563/86400+DATE(1970,1,1)+$G$6,)</f>
        <v/>
      </c>
      <c r="B563" s="27" t="str">
        <f t="shared" si="1"/>
        <v/>
      </c>
      <c r="C563" s="14" t="str">
        <f>IF($A563&lt;&gt;"",MINIFS(Merchant!$A:$A,Merchant!$B:$B,$G$2),)</f>
        <v/>
      </c>
      <c r="D563" s="14" t="str">
        <f t="shared" si="2"/>
        <v/>
      </c>
      <c r="E563" s="14" t="str">
        <f t="shared" si="3"/>
        <v/>
      </c>
      <c r="F563" s="7" t="str">
        <f>IF($A563&lt;&gt;"",MAXIFS(Token!$B:$B,Token!$A:$A,$D563),)</f>
        <v/>
      </c>
    </row>
    <row r="564">
      <c r="A564" s="39" t="str">
        <f>IF(AND($L564*1&gt;=$G$3,$L564*1&lt;=$G$4,$I564*$J564&gt;0,OR($I564&lt;&gt;$I565,$L564-$L565&gt;25),$I564/POW(10,$J564)*MAXIFS(Token!$B:$B,Token!$A:$A,$K564)&gt;0.01),$L564/86400+DATE(1970,1,1)+$G$6,)</f>
        <v/>
      </c>
      <c r="B564" s="27" t="str">
        <f t="shared" si="1"/>
        <v/>
      </c>
      <c r="C564" s="14" t="str">
        <f>IF($A564&lt;&gt;"",MINIFS(Merchant!$A:$A,Merchant!$B:$B,$G$2),)</f>
        <v/>
      </c>
      <c r="D564" s="14" t="str">
        <f t="shared" si="2"/>
        <v/>
      </c>
      <c r="E564" s="14" t="str">
        <f t="shared" si="3"/>
        <v/>
      </c>
      <c r="F564" s="7" t="str">
        <f>IF($A564&lt;&gt;"",MAXIFS(Token!$B:$B,Token!$A:$A,$D564),)</f>
        <v/>
      </c>
    </row>
    <row r="565">
      <c r="A565" s="39" t="str">
        <f>IF(AND($L565*1&gt;=$G$3,$L565*1&lt;=$G$4,$I565*$J565&gt;0,OR($I565&lt;&gt;$I566,$L565-$L566&gt;25),$I565/POW(10,$J565)*MAXIFS(Token!$B:$B,Token!$A:$A,$K565)&gt;0.01),$L565/86400+DATE(1970,1,1)+$G$6,)</f>
        <v/>
      </c>
      <c r="B565" s="27" t="str">
        <f t="shared" si="1"/>
        <v/>
      </c>
      <c r="C565" s="14" t="str">
        <f>IF($A565&lt;&gt;"",MINIFS(Merchant!$A:$A,Merchant!$B:$B,$G$2),)</f>
        <v/>
      </c>
      <c r="D565" s="14" t="str">
        <f t="shared" si="2"/>
        <v/>
      </c>
      <c r="E565" s="14" t="str">
        <f t="shared" si="3"/>
        <v/>
      </c>
      <c r="F565" s="7" t="str">
        <f>IF($A565&lt;&gt;"",MAXIFS(Token!$B:$B,Token!$A:$A,$D565),)</f>
        <v/>
      </c>
    </row>
    <row r="566">
      <c r="A566" s="39" t="str">
        <f>IF(AND($L566*1&gt;=$G$3,$L566*1&lt;=$G$4,$I566*$J566&gt;0,OR($I566&lt;&gt;$I567,$L566-$L567&gt;25),$I566/POW(10,$J566)*MAXIFS(Token!$B:$B,Token!$A:$A,$K566)&gt;0.01),$L566/86400+DATE(1970,1,1)+$G$6,)</f>
        <v/>
      </c>
      <c r="B566" s="27" t="str">
        <f t="shared" si="1"/>
        <v/>
      </c>
      <c r="C566" s="14" t="str">
        <f>IF($A566&lt;&gt;"",MINIFS(Merchant!$A:$A,Merchant!$B:$B,$G$2),)</f>
        <v/>
      </c>
      <c r="D566" s="14" t="str">
        <f t="shared" si="2"/>
        <v/>
      </c>
      <c r="E566" s="14" t="str">
        <f t="shared" si="3"/>
        <v/>
      </c>
      <c r="F566" s="7" t="str">
        <f>IF($A566&lt;&gt;"",MAXIFS(Token!$B:$B,Token!$A:$A,$D566),)</f>
        <v/>
      </c>
    </row>
    <row r="567">
      <c r="A567" s="39" t="str">
        <f>IF(AND($L567*1&gt;=$G$3,$L567*1&lt;=$G$4,$I567*$J567&gt;0,OR($I567&lt;&gt;$I568,$L567-$L568&gt;25),$I567/POW(10,$J567)*MAXIFS(Token!$B:$B,Token!$A:$A,$K567)&gt;0.01),$L567/86400+DATE(1970,1,1)+$G$6,)</f>
        <v/>
      </c>
      <c r="B567" s="27" t="str">
        <f t="shared" si="1"/>
        <v/>
      </c>
      <c r="C567" s="14" t="str">
        <f>IF($A567&lt;&gt;"",MINIFS(Merchant!$A:$A,Merchant!$B:$B,$G$2),)</f>
        <v/>
      </c>
      <c r="D567" s="14" t="str">
        <f t="shared" si="2"/>
        <v/>
      </c>
      <c r="E567" s="14" t="str">
        <f t="shared" si="3"/>
        <v/>
      </c>
      <c r="F567" s="7" t="str">
        <f>IF($A567&lt;&gt;"",MAXIFS(Token!$B:$B,Token!$A:$A,$D567),)</f>
        <v/>
      </c>
    </row>
    <row r="568">
      <c r="A568" s="39" t="str">
        <f>IF(AND($L568*1&gt;=$G$3,$L568*1&lt;=$G$4,$I568*$J568&gt;0,OR($I568&lt;&gt;$I569,$L568-$L569&gt;25),$I568/POW(10,$J568)*MAXIFS(Token!$B:$B,Token!$A:$A,$K568)&gt;0.01),$L568/86400+DATE(1970,1,1)+$G$6,)</f>
        <v/>
      </c>
      <c r="B568" s="27" t="str">
        <f t="shared" si="1"/>
        <v/>
      </c>
      <c r="C568" s="14" t="str">
        <f>IF($A568&lt;&gt;"",MINIFS(Merchant!$A:$A,Merchant!$B:$B,$G$2),)</f>
        <v/>
      </c>
      <c r="D568" s="14" t="str">
        <f t="shared" si="2"/>
        <v/>
      </c>
      <c r="E568" s="14" t="str">
        <f t="shared" si="3"/>
        <v/>
      </c>
      <c r="F568" s="7" t="str">
        <f>IF($A568&lt;&gt;"",MAXIFS(Token!$B:$B,Token!$A:$A,$D568),)</f>
        <v/>
      </c>
    </row>
    <row r="569">
      <c r="A569" s="39" t="str">
        <f>IF(AND($L569*1&gt;=$G$3,$L569*1&lt;=$G$4,$I569*$J569&gt;0,OR($I569&lt;&gt;$I570,$L569-$L570&gt;25),$I569/POW(10,$J569)*MAXIFS(Token!$B:$B,Token!$A:$A,$K569)&gt;0.01),$L569/86400+DATE(1970,1,1)+$G$6,)</f>
        <v/>
      </c>
      <c r="B569" s="27" t="str">
        <f t="shared" si="1"/>
        <v/>
      </c>
      <c r="C569" s="14" t="str">
        <f>IF($A569&lt;&gt;"",MINIFS(Merchant!$A:$A,Merchant!$B:$B,$G$2),)</f>
        <v/>
      </c>
      <c r="D569" s="14" t="str">
        <f t="shared" si="2"/>
        <v/>
      </c>
      <c r="E569" s="14" t="str">
        <f t="shared" si="3"/>
        <v/>
      </c>
      <c r="F569" s="7" t="str">
        <f>IF($A569&lt;&gt;"",MAXIFS(Token!$B:$B,Token!$A:$A,$D569),)</f>
        <v/>
      </c>
    </row>
    <row r="570">
      <c r="A570" s="39" t="str">
        <f>IF(AND($L570*1&gt;=$G$3,$L570*1&lt;=$G$4,$I570*$J570&gt;0,OR($I570&lt;&gt;$I571,$L570-$L571&gt;25),$I570/POW(10,$J570)*MAXIFS(Token!$B:$B,Token!$A:$A,$K570)&gt;0.01),$L570/86400+DATE(1970,1,1)+$G$6,)</f>
        <v/>
      </c>
      <c r="B570" s="27" t="str">
        <f t="shared" si="1"/>
        <v/>
      </c>
      <c r="C570" s="14" t="str">
        <f>IF($A570&lt;&gt;"",MINIFS(Merchant!$A:$A,Merchant!$B:$B,$G$2),)</f>
        <v/>
      </c>
      <c r="D570" s="14" t="str">
        <f t="shared" si="2"/>
        <v/>
      </c>
      <c r="E570" s="14" t="str">
        <f t="shared" si="3"/>
        <v/>
      </c>
      <c r="F570" s="7" t="str">
        <f>IF($A570&lt;&gt;"",MAXIFS(Token!$B:$B,Token!$A:$A,$D570),)</f>
        <v/>
      </c>
    </row>
    <row r="571">
      <c r="A571" s="39" t="str">
        <f>IF(AND($L571*1&gt;=$G$3,$L571*1&lt;=$G$4,$I571*$J571&gt;0,OR($I571&lt;&gt;$I572,$L571-$L572&gt;25),$I571/POW(10,$J571)*MAXIFS(Token!$B:$B,Token!$A:$A,$K571)&gt;0.01),$L571/86400+DATE(1970,1,1)+$G$6,)</f>
        <v/>
      </c>
      <c r="B571" s="27" t="str">
        <f t="shared" si="1"/>
        <v/>
      </c>
      <c r="C571" s="14" t="str">
        <f>IF($A571&lt;&gt;"",MINIFS(Merchant!$A:$A,Merchant!$B:$B,$G$2),)</f>
        <v/>
      </c>
      <c r="D571" s="14" t="str">
        <f t="shared" si="2"/>
        <v/>
      </c>
      <c r="E571" s="14" t="str">
        <f t="shared" si="3"/>
        <v/>
      </c>
      <c r="F571" s="7" t="str">
        <f>IF($A571&lt;&gt;"",MAXIFS(Token!$B:$B,Token!$A:$A,$D571),)</f>
        <v/>
      </c>
    </row>
    <row r="572">
      <c r="A572" s="39" t="str">
        <f>IF(AND($L572*1&gt;=$G$3,$L572*1&lt;=$G$4,$I572*$J572&gt;0,OR($I572&lt;&gt;$I573,$L572-$L573&gt;25),$I572/POW(10,$J572)*MAXIFS(Token!$B:$B,Token!$A:$A,$K572)&gt;0.01),$L572/86400+DATE(1970,1,1)+$G$6,)</f>
        <v/>
      </c>
      <c r="B572" s="27" t="str">
        <f t="shared" si="1"/>
        <v/>
      </c>
      <c r="C572" s="14" t="str">
        <f>IF($A572&lt;&gt;"",MINIFS(Merchant!$A:$A,Merchant!$B:$B,$G$2),)</f>
        <v/>
      </c>
      <c r="D572" s="14" t="str">
        <f t="shared" si="2"/>
        <v/>
      </c>
      <c r="E572" s="14" t="str">
        <f t="shared" si="3"/>
        <v/>
      </c>
      <c r="F572" s="7" t="str">
        <f>IF($A572&lt;&gt;"",MAXIFS(Token!$B:$B,Token!$A:$A,$D572),)</f>
        <v/>
      </c>
    </row>
    <row r="573">
      <c r="A573" s="39" t="str">
        <f>IF(AND($L573*1&gt;=$G$3,$L573*1&lt;=$G$4,$I573*$J573&gt;0,OR($I573&lt;&gt;$I574,$L573-$L574&gt;25),$I573/POW(10,$J573)*MAXIFS(Token!$B:$B,Token!$A:$A,$K573)&gt;0.01),$L573/86400+DATE(1970,1,1)+$G$6,)</f>
        <v/>
      </c>
      <c r="B573" s="27" t="str">
        <f t="shared" si="1"/>
        <v/>
      </c>
      <c r="C573" s="14" t="str">
        <f>IF($A573&lt;&gt;"",MINIFS(Merchant!$A:$A,Merchant!$B:$B,$G$2),)</f>
        <v/>
      </c>
      <c r="D573" s="14" t="str">
        <f t="shared" si="2"/>
        <v/>
      </c>
      <c r="E573" s="14" t="str">
        <f t="shared" si="3"/>
        <v/>
      </c>
      <c r="F573" s="7" t="str">
        <f>IF($A573&lt;&gt;"",MAXIFS(Token!$B:$B,Token!$A:$A,$D573),)</f>
        <v/>
      </c>
    </row>
    <row r="574">
      <c r="A574" s="39" t="str">
        <f>IF(AND($L574*1&gt;=$G$3,$L574*1&lt;=$G$4,$I574*$J574&gt;0,OR($I574&lt;&gt;$I575,$L574-$L575&gt;25),$I574/POW(10,$J574)*MAXIFS(Token!$B:$B,Token!$A:$A,$K574)&gt;0.01),$L574/86400+DATE(1970,1,1)+$G$6,)</f>
        <v/>
      </c>
      <c r="B574" s="27" t="str">
        <f t="shared" si="1"/>
        <v/>
      </c>
      <c r="C574" s="14" t="str">
        <f>IF($A574&lt;&gt;"",MINIFS(Merchant!$A:$A,Merchant!$B:$B,$G$2),)</f>
        <v/>
      </c>
      <c r="D574" s="14" t="str">
        <f t="shared" si="2"/>
        <v/>
      </c>
      <c r="E574" s="14" t="str">
        <f t="shared" si="3"/>
        <v/>
      </c>
      <c r="F574" s="7" t="str">
        <f>IF($A574&lt;&gt;"",MAXIFS(Token!$B:$B,Token!$A:$A,$D574),)</f>
        <v/>
      </c>
    </row>
    <row r="575">
      <c r="A575" s="39" t="str">
        <f>IF(AND($L575*1&gt;=$G$3,$L575*1&lt;=$G$4,$I575*$J575&gt;0,OR($I575&lt;&gt;$I576,$L575-$L576&gt;25),$I575/POW(10,$J575)*MAXIFS(Token!$B:$B,Token!$A:$A,$K575)&gt;0.01),$L575/86400+DATE(1970,1,1)+$G$6,)</f>
        <v/>
      </c>
      <c r="B575" s="27" t="str">
        <f t="shared" si="1"/>
        <v/>
      </c>
      <c r="C575" s="14" t="str">
        <f>IF($A575&lt;&gt;"",MINIFS(Merchant!$A:$A,Merchant!$B:$B,$G$2),)</f>
        <v/>
      </c>
      <c r="D575" s="14" t="str">
        <f t="shared" si="2"/>
        <v/>
      </c>
      <c r="E575" s="14" t="str">
        <f t="shared" si="3"/>
        <v/>
      </c>
      <c r="F575" s="7" t="str">
        <f>IF($A575&lt;&gt;"",MAXIFS(Token!$B:$B,Token!$A:$A,$D575),)</f>
        <v/>
      </c>
    </row>
    <row r="576">
      <c r="A576" s="39" t="str">
        <f>IF(AND($L576*1&gt;=$G$3,$L576*1&lt;=$G$4,$I576*$J576&gt;0,OR($I576&lt;&gt;$I577,$L576-$L577&gt;25),$I576/POW(10,$J576)*MAXIFS(Token!$B:$B,Token!$A:$A,$K576)&gt;0.01),$L576/86400+DATE(1970,1,1)+$G$6,)</f>
        <v/>
      </c>
      <c r="B576" s="27" t="str">
        <f t="shared" si="1"/>
        <v/>
      </c>
      <c r="C576" s="14" t="str">
        <f>IF($A576&lt;&gt;"",MINIFS(Merchant!$A:$A,Merchant!$B:$B,$G$2),)</f>
        <v/>
      </c>
      <c r="D576" s="14" t="str">
        <f t="shared" si="2"/>
        <v/>
      </c>
      <c r="E576" s="14" t="str">
        <f t="shared" si="3"/>
        <v/>
      </c>
      <c r="F576" s="7" t="str">
        <f>IF($A576&lt;&gt;"",MAXIFS(Token!$B:$B,Token!$A:$A,$D576),)</f>
        <v/>
      </c>
    </row>
    <row r="577">
      <c r="A577" s="39" t="str">
        <f>IF(AND($L577*1&gt;=$G$3,$L577*1&lt;=$G$4,$I577*$J577&gt;0,OR($I577&lt;&gt;$I578,$L577-$L578&gt;25),$I577/POW(10,$J577)*MAXIFS(Token!$B:$B,Token!$A:$A,$K577)&gt;0.01),$L577/86400+DATE(1970,1,1)+$G$6,)</f>
        <v/>
      </c>
      <c r="B577" s="27" t="str">
        <f t="shared" si="1"/>
        <v/>
      </c>
      <c r="C577" s="14" t="str">
        <f>IF($A577&lt;&gt;"",MINIFS(Merchant!$A:$A,Merchant!$B:$B,$G$2),)</f>
        <v/>
      </c>
      <c r="D577" s="14" t="str">
        <f t="shared" si="2"/>
        <v/>
      </c>
      <c r="E577" s="14" t="str">
        <f t="shared" si="3"/>
        <v/>
      </c>
      <c r="F577" s="7" t="str">
        <f>IF($A577&lt;&gt;"",MAXIFS(Token!$B:$B,Token!$A:$A,$D577),)</f>
        <v/>
      </c>
    </row>
    <row r="578">
      <c r="A578" s="39" t="str">
        <f>IF(AND($L578*1&gt;=$G$3,$L578*1&lt;=$G$4,$I578*$J578&gt;0,OR($I578&lt;&gt;$I579,$L578-$L579&gt;25),$I578/POW(10,$J578)*MAXIFS(Token!$B:$B,Token!$A:$A,$K578)&gt;0.01),$L578/86400+DATE(1970,1,1)+$G$6,)</f>
        <v/>
      </c>
      <c r="B578" s="27" t="str">
        <f t="shared" si="1"/>
        <v/>
      </c>
      <c r="C578" s="14" t="str">
        <f>IF($A578&lt;&gt;"",MINIFS(Merchant!$A:$A,Merchant!$B:$B,$G$2),)</f>
        <v/>
      </c>
      <c r="D578" s="14" t="str">
        <f t="shared" si="2"/>
        <v/>
      </c>
      <c r="E578" s="14" t="str">
        <f t="shared" si="3"/>
        <v/>
      </c>
      <c r="F578" s="7" t="str">
        <f>IF($A578&lt;&gt;"",MAXIFS(Token!$B:$B,Token!$A:$A,$D578),)</f>
        <v/>
      </c>
    </row>
    <row r="579">
      <c r="A579" s="39" t="str">
        <f>IF(AND($L579*1&gt;=$G$3,$L579*1&lt;=$G$4,$I579*$J579&gt;0,OR($I579&lt;&gt;$I580,$L579-$L580&gt;25),$I579/POW(10,$J579)*MAXIFS(Token!$B:$B,Token!$A:$A,$K579)&gt;0.01),$L579/86400+DATE(1970,1,1)+$G$6,)</f>
        <v/>
      </c>
      <c r="B579" s="27" t="str">
        <f t="shared" si="1"/>
        <v/>
      </c>
      <c r="C579" s="14" t="str">
        <f>IF($A579&lt;&gt;"",MINIFS(Merchant!$A:$A,Merchant!$B:$B,$G$2),)</f>
        <v/>
      </c>
      <c r="D579" s="14" t="str">
        <f t="shared" si="2"/>
        <v/>
      </c>
      <c r="E579" s="14" t="str">
        <f t="shared" si="3"/>
        <v/>
      </c>
      <c r="F579" s="7" t="str">
        <f>IF($A579&lt;&gt;"",MAXIFS(Token!$B:$B,Token!$A:$A,$D579),)</f>
        <v/>
      </c>
    </row>
    <row r="580">
      <c r="A580" s="39" t="str">
        <f>IF(AND($L580*1&gt;=$G$3,$L580*1&lt;=$G$4,$I580*$J580&gt;0,OR($I580&lt;&gt;$I581,$L580-$L581&gt;25),$I580/POW(10,$J580)*MAXIFS(Token!$B:$B,Token!$A:$A,$K580)&gt;0.01),$L580/86400+DATE(1970,1,1)+$G$6,)</f>
        <v/>
      </c>
      <c r="B580" s="27" t="str">
        <f t="shared" si="1"/>
        <v/>
      </c>
      <c r="C580" s="14" t="str">
        <f>IF($A580&lt;&gt;"",MINIFS(Merchant!$A:$A,Merchant!$B:$B,$G$2),)</f>
        <v/>
      </c>
      <c r="D580" s="14" t="str">
        <f t="shared" si="2"/>
        <v/>
      </c>
      <c r="E580" s="14" t="str">
        <f t="shared" si="3"/>
        <v/>
      </c>
      <c r="F580" s="7" t="str">
        <f>IF($A580&lt;&gt;"",MAXIFS(Token!$B:$B,Token!$A:$A,$D580),)</f>
        <v/>
      </c>
    </row>
    <row r="581">
      <c r="A581" s="39" t="str">
        <f>IF(AND($L581*1&gt;=$G$3,$L581*1&lt;=$G$4,$I581*$J581&gt;0,OR($I581&lt;&gt;$I582,$L581-$L582&gt;25),$I581/POW(10,$J581)*MAXIFS(Token!$B:$B,Token!$A:$A,$K581)&gt;0.01),$L581/86400+DATE(1970,1,1)+$G$6,)</f>
        <v/>
      </c>
      <c r="B581" s="27" t="str">
        <f t="shared" si="1"/>
        <v/>
      </c>
      <c r="C581" s="14" t="str">
        <f>IF($A581&lt;&gt;"",MINIFS(Merchant!$A:$A,Merchant!$B:$B,$G$2),)</f>
        <v/>
      </c>
      <c r="D581" s="14" t="str">
        <f t="shared" si="2"/>
        <v/>
      </c>
      <c r="E581" s="14" t="str">
        <f t="shared" si="3"/>
        <v/>
      </c>
      <c r="F581" s="7" t="str">
        <f>IF($A581&lt;&gt;"",MAXIFS(Token!$B:$B,Token!$A:$A,$D581),)</f>
        <v/>
      </c>
    </row>
    <row r="582">
      <c r="A582" s="39" t="str">
        <f>IF(AND($L582*1&gt;=$G$3,$L582*1&lt;=$G$4,$I582*$J582&gt;0,OR($I582&lt;&gt;$I583,$L582-$L583&gt;25),$I582/POW(10,$J582)*MAXIFS(Token!$B:$B,Token!$A:$A,$K582)&gt;0.01),$L582/86400+DATE(1970,1,1)+$G$6,)</f>
        <v/>
      </c>
      <c r="B582" s="27" t="str">
        <f t="shared" si="1"/>
        <v/>
      </c>
      <c r="C582" s="14" t="str">
        <f>IF($A582&lt;&gt;"",MINIFS(Merchant!$A:$A,Merchant!$B:$B,$G$2),)</f>
        <v/>
      </c>
      <c r="D582" s="14" t="str">
        <f t="shared" si="2"/>
        <v/>
      </c>
      <c r="E582" s="14" t="str">
        <f t="shared" si="3"/>
        <v/>
      </c>
      <c r="F582" s="7" t="str">
        <f>IF($A582&lt;&gt;"",MAXIFS(Token!$B:$B,Token!$A:$A,$D582),)</f>
        <v/>
      </c>
    </row>
    <row r="583">
      <c r="A583" s="39" t="str">
        <f>IF(AND($L583*1&gt;=$G$3,$L583*1&lt;=$G$4,$I583*$J583&gt;0,OR($I583&lt;&gt;$I584,$L583-$L584&gt;25),$I583/POW(10,$J583)*MAXIFS(Token!$B:$B,Token!$A:$A,$K583)&gt;0.01),$L583/86400+DATE(1970,1,1)+$G$6,)</f>
        <v/>
      </c>
      <c r="B583" s="27" t="str">
        <f t="shared" si="1"/>
        <v/>
      </c>
      <c r="C583" s="14" t="str">
        <f>IF($A583&lt;&gt;"",MINIFS(Merchant!$A:$A,Merchant!$B:$B,$G$2),)</f>
        <v/>
      </c>
      <c r="D583" s="14" t="str">
        <f t="shared" si="2"/>
        <v/>
      </c>
      <c r="E583" s="14" t="str">
        <f t="shared" si="3"/>
        <v/>
      </c>
      <c r="F583" s="7" t="str">
        <f>IF($A583&lt;&gt;"",MAXIFS(Token!$B:$B,Token!$A:$A,$D583),)</f>
        <v/>
      </c>
    </row>
    <row r="584">
      <c r="A584" s="39" t="str">
        <f>IF(AND($L584*1&gt;=$G$3,$L584*1&lt;=$G$4,$I584*$J584&gt;0,OR($I584&lt;&gt;$I585,$L584-$L585&gt;25),$I584/POW(10,$J584)*MAXIFS(Token!$B:$B,Token!$A:$A,$K584)&gt;0.01),$L584/86400+DATE(1970,1,1)+$G$6,)</f>
        <v/>
      </c>
      <c r="B584" s="27" t="str">
        <f t="shared" si="1"/>
        <v/>
      </c>
      <c r="C584" s="14" t="str">
        <f>IF($A584&lt;&gt;"",MINIFS(Merchant!$A:$A,Merchant!$B:$B,$G$2),)</f>
        <v/>
      </c>
      <c r="D584" s="14" t="str">
        <f t="shared" si="2"/>
        <v/>
      </c>
      <c r="E584" s="14" t="str">
        <f t="shared" si="3"/>
        <v/>
      </c>
      <c r="F584" s="7" t="str">
        <f>IF($A584&lt;&gt;"",MAXIFS(Token!$B:$B,Token!$A:$A,$D584),)</f>
        <v/>
      </c>
    </row>
    <row r="585">
      <c r="A585" s="39" t="str">
        <f>IF(AND($L585*1&gt;=$G$3,$L585*1&lt;=$G$4,$I585*$J585&gt;0,OR($I585&lt;&gt;$I586,$L585-$L586&gt;25),$I585/POW(10,$J585)*MAXIFS(Token!$B:$B,Token!$A:$A,$K585)&gt;0.01),$L585/86400+DATE(1970,1,1)+$G$6,)</f>
        <v/>
      </c>
      <c r="B585" s="27" t="str">
        <f t="shared" si="1"/>
        <v/>
      </c>
      <c r="C585" s="14" t="str">
        <f>IF($A585&lt;&gt;"",MINIFS(Merchant!$A:$A,Merchant!$B:$B,$G$2),)</f>
        <v/>
      </c>
      <c r="D585" s="14" t="str">
        <f t="shared" si="2"/>
        <v/>
      </c>
      <c r="E585" s="14" t="str">
        <f t="shared" si="3"/>
        <v/>
      </c>
      <c r="F585" s="7" t="str">
        <f>IF($A585&lt;&gt;"",MAXIFS(Token!$B:$B,Token!$A:$A,$D585),)</f>
        <v/>
      </c>
    </row>
    <row r="586">
      <c r="A586" s="39" t="str">
        <f>IF(AND($L586*1&gt;=$G$3,$L586*1&lt;=$G$4,$I586*$J586&gt;0,OR($I586&lt;&gt;$I587,$L586-$L587&gt;25),$I586/POW(10,$J586)*MAXIFS(Token!$B:$B,Token!$A:$A,$K586)&gt;0.01),$L586/86400+DATE(1970,1,1)+$G$6,)</f>
        <v/>
      </c>
      <c r="B586" s="27" t="str">
        <f t="shared" si="1"/>
        <v/>
      </c>
      <c r="C586" s="14" t="str">
        <f>IF($A586&lt;&gt;"",MINIFS(Merchant!$A:$A,Merchant!$B:$B,$G$2),)</f>
        <v/>
      </c>
      <c r="D586" s="14" t="str">
        <f t="shared" si="2"/>
        <v/>
      </c>
      <c r="E586" s="14" t="str">
        <f t="shared" si="3"/>
        <v/>
      </c>
      <c r="F586" s="7" t="str">
        <f>IF($A586&lt;&gt;"",MAXIFS(Token!$B:$B,Token!$A:$A,$D586),)</f>
        <v/>
      </c>
    </row>
    <row r="587">
      <c r="A587" s="39" t="str">
        <f>IF(AND($L587*1&gt;=$G$3,$L587*1&lt;=$G$4,$I587*$J587&gt;0,OR($I587&lt;&gt;$I588,$L587-$L588&gt;25),$I587/POW(10,$J587)*MAXIFS(Token!$B:$B,Token!$A:$A,$K587)&gt;0.01),$L587/86400+DATE(1970,1,1)+$G$6,)</f>
        <v/>
      </c>
      <c r="B587" s="27" t="str">
        <f t="shared" si="1"/>
        <v/>
      </c>
      <c r="C587" s="14" t="str">
        <f>IF($A587&lt;&gt;"",MINIFS(Merchant!$A:$A,Merchant!$B:$B,$G$2),)</f>
        <v/>
      </c>
      <c r="D587" s="14" t="str">
        <f t="shared" si="2"/>
        <v/>
      </c>
      <c r="E587" s="14" t="str">
        <f t="shared" si="3"/>
        <v/>
      </c>
      <c r="F587" s="7" t="str">
        <f>IF($A587&lt;&gt;"",MAXIFS(Token!$B:$B,Token!$A:$A,$D587),)</f>
        <v/>
      </c>
    </row>
    <row r="588">
      <c r="A588" s="39" t="str">
        <f>IF(AND($L588*1&gt;=$G$3,$L588*1&lt;=$G$4,$I588*$J588&gt;0,OR($I588&lt;&gt;$I589,$L588-$L589&gt;25),$I588/POW(10,$J588)*MAXIFS(Token!$B:$B,Token!$A:$A,$K588)&gt;0.01),$L588/86400+DATE(1970,1,1)+$G$6,)</f>
        <v/>
      </c>
      <c r="B588" s="27" t="str">
        <f t="shared" si="1"/>
        <v/>
      </c>
      <c r="C588" s="14" t="str">
        <f>IF($A588&lt;&gt;"",MINIFS(Merchant!$A:$A,Merchant!$B:$B,$G$2),)</f>
        <v/>
      </c>
      <c r="D588" s="14" t="str">
        <f t="shared" si="2"/>
        <v/>
      </c>
      <c r="E588" s="14" t="str">
        <f t="shared" si="3"/>
        <v/>
      </c>
      <c r="F588" s="7" t="str">
        <f>IF($A588&lt;&gt;"",MAXIFS(Token!$B:$B,Token!$A:$A,$D588),)</f>
        <v/>
      </c>
    </row>
    <row r="589">
      <c r="A589" s="39" t="str">
        <f>IF(AND($L589*1&gt;=$G$3,$L589*1&lt;=$G$4,$I589*$J589&gt;0,OR($I589&lt;&gt;$I590,$L589-$L590&gt;25),$I589/POW(10,$J589)*MAXIFS(Token!$B:$B,Token!$A:$A,$K589)&gt;0.01),$L589/86400+DATE(1970,1,1)+$G$6,)</f>
        <v/>
      </c>
      <c r="B589" s="27" t="str">
        <f t="shared" si="1"/>
        <v/>
      </c>
      <c r="C589" s="14" t="str">
        <f>IF($A589&lt;&gt;"",MINIFS(Merchant!$A:$A,Merchant!$B:$B,$G$2),)</f>
        <v/>
      </c>
      <c r="D589" s="14" t="str">
        <f t="shared" si="2"/>
        <v/>
      </c>
      <c r="E589" s="14" t="str">
        <f t="shared" si="3"/>
        <v/>
      </c>
      <c r="F589" s="7" t="str">
        <f>IF($A589&lt;&gt;"",MAXIFS(Token!$B:$B,Token!$A:$A,$D589),)</f>
        <v/>
      </c>
    </row>
    <row r="590">
      <c r="A590" s="39" t="str">
        <f>IF(AND($L590*1&gt;=$G$3,$L590*1&lt;=$G$4,$I590*$J590&gt;0,OR($I590&lt;&gt;$I591,$L590-$L591&gt;25),$I590/POW(10,$J590)*MAXIFS(Token!$B:$B,Token!$A:$A,$K590)&gt;0.01),$L590/86400+DATE(1970,1,1)+$G$6,)</f>
        <v/>
      </c>
      <c r="B590" s="27" t="str">
        <f t="shared" si="1"/>
        <v/>
      </c>
      <c r="C590" s="14" t="str">
        <f>IF($A590&lt;&gt;"",MINIFS(Merchant!$A:$A,Merchant!$B:$B,$G$2),)</f>
        <v/>
      </c>
      <c r="D590" s="14" t="str">
        <f t="shared" si="2"/>
        <v/>
      </c>
      <c r="E590" s="14" t="str">
        <f t="shared" si="3"/>
        <v/>
      </c>
      <c r="F590" s="7" t="str">
        <f>IF($A590&lt;&gt;"",MAXIFS(Token!$B:$B,Token!$A:$A,$D590),)</f>
        <v/>
      </c>
    </row>
    <row r="591">
      <c r="A591" s="39" t="str">
        <f>IF(AND($L591*1&gt;=$G$3,$L591*1&lt;=$G$4,$I591*$J591&gt;0,OR($I591&lt;&gt;$I592,$L591-$L592&gt;25),$I591/POW(10,$J591)*MAXIFS(Token!$B:$B,Token!$A:$A,$K591)&gt;0.01),$L591/86400+DATE(1970,1,1)+$G$6,)</f>
        <v/>
      </c>
      <c r="B591" s="27" t="str">
        <f t="shared" si="1"/>
        <v/>
      </c>
      <c r="C591" s="14" t="str">
        <f>IF($A591&lt;&gt;"",MINIFS(Merchant!$A:$A,Merchant!$B:$B,$G$2),)</f>
        <v/>
      </c>
      <c r="D591" s="14" t="str">
        <f t="shared" si="2"/>
        <v/>
      </c>
      <c r="E591" s="14" t="str">
        <f t="shared" si="3"/>
        <v/>
      </c>
      <c r="F591" s="7" t="str">
        <f>IF($A591&lt;&gt;"",MAXIFS(Token!$B:$B,Token!$A:$A,$D591),)</f>
        <v/>
      </c>
    </row>
    <row r="592">
      <c r="A592" s="39" t="str">
        <f>IF(AND($L592*1&gt;=$G$3,$L592*1&lt;=$G$4,$I592*$J592&gt;0,OR($I592&lt;&gt;$I593,$L592-$L593&gt;25),$I592/POW(10,$J592)*MAXIFS(Token!$B:$B,Token!$A:$A,$K592)&gt;0.01),$L592/86400+DATE(1970,1,1)+$G$6,)</f>
        <v/>
      </c>
      <c r="B592" s="27" t="str">
        <f t="shared" si="1"/>
        <v/>
      </c>
      <c r="C592" s="14" t="str">
        <f>IF($A592&lt;&gt;"",MINIFS(Merchant!$A:$A,Merchant!$B:$B,$G$2),)</f>
        <v/>
      </c>
      <c r="D592" s="14" t="str">
        <f t="shared" si="2"/>
        <v/>
      </c>
      <c r="E592" s="14" t="str">
        <f t="shared" si="3"/>
        <v/>
      </c>
      <c r="F592" s="7" t="str">
        <f>IF($A592&lt;&gt;"",MAXIFS(Token!$B:$B,Token!$A:$A,$D592),)</f>
        <v/>
      </c>
    </row>
    <row r="593">
      <c r="A593" s="39" t="str">
        <f>IF(AND($L593*1&gt;=$G$3,$L593*1&lt;=$G$4,$I593*$J593&gt;0,OR($I593&lt;&gt;$I594,$L593-$L594&gt;25),$I593/POW(10,$J593)*MAXIFS(Token!$B:$B,Token!$A:$A,$K593)&gt;0.01),$L593/86400+DATE(1970,1,1)+$G$6,)</f>
        <v/>
      </c>
      <c r="B593" s="27" t="str">
        <f t="shared" si="1"/>
        <v/>
      </c>
      <c r="C593" s="14" t="str">
        <f>IF($A593&lt;&gt;"",MINIFS(Merchant!$A:$A,Merchant!$B:$B,$G$2),)</f>
        <v/>
      </c>
      <c r="D593" s="14" t="str">
        <f t="shared" si="2"/>
        <v/>
      </c>
      <c r="E593" s="14" t="str">
        <f t="shared" si="3"/>
        <v/>
      </c>
      <c r="F593" s="7" t="str">
        <f>IF($A593&lt;&gt;"",MAXIFS(Token!$B:$B,Token!$A:$A,$D593),)</f>
        <v/>
      </c>
    </row>
    <row r="594">
      <c r="A594" s="39" t="str">
        <f>IF(AND($L594*1&gt;=$G$3,$L594*1&lt;=$G$4,$I594*$J594&gt;0,OR($I594&lt;&gt;$I595,$L594-$L595&gt;25),$I594/POW(10,$J594)*MAXIFS(Token!$B:$B,Token!$A:$A,$K594)&gt;0.01),$L594/86400+DATE(1970,1,1)+$G$6,)</f>
        <v/>
      </c>
      <c r="B594" s="27" t="str">
        <f t="shared" si="1"/>
        <v/>
      </c>
      <c r="C594" s="14" t="str">
        <f>IF($A594&lt;&gt;"",MINIFS(Merchant!$A:$A,Merchant!$B:$B,$G$2),)</f>
        <v/>
      </c>
      <c r="D594" s="14" t="str">
        <f t="shared" si="2"/>
        <v/>
      </c>
      <c r="E594" s="14" t="str">
        <f t="shared" si="3"/>
        <v/>
      </c>
      <c r="F594" s="7" t="str">
        <f>IF($A594&lt;&gt;"",MAXIFS(Token!$B:$B,Token!$A:$A,$D594),)</f>
        <v/>
      </c>
    </row>
    <row r="595">
      <c r="A595" s="39" t="str">
        <f>IF(AND($L595*1&gt;=$G$3,$L595*1&lt;=$G$4,$I595*$J595&gt;0,OR($I595&lt;&gt;$I596,$L595-$L596&gt;25),$I595/POW(10,$J595)*MAXIFS(Token!$B:$B,Token!$A:$A,$K595)&gt;0.01),$L595/86400+DATE(1970,1,1)+$G$6,)</f>
        <v/>
      </c>
      <c r="B595" s="27" t="str">
        <f t="shared" si="1"/>
        <v/>
      </c>
      <c r="C595" s="14" t="str">
        <f>IF($A595&lt;&gt;"",MINIFS(Merchant!$A:$A,Merchant!$B:$B,$G$2),)</f>
        <v/>
      </c>
      <c r="D595" s="14" t="str">
        <f t="shared" si="2"/>
        <v/>
      </c>
      <c r="E595" s="14" t="str">
        <f t="shared" si="3"/>
        <v/>
      </c>
      <c r="F595" s="7" t="str">
        <f>IF($A595&lt;&gt;"",MAXIFS(Token!$B:$B,Token!$A:$A,$D595),)</f>
        <v/>
      </c>
    </row>
    <row r="596">
      <c r="A596" s="39" t="str">
        <f>IF(AND($L596*1&gt;=$G$3,$L596*1&lt;=$G$4,$I596*$J596&gt;0,OR($I596&lt;&gt;$I597,$L596-$L597&gt;25),$I596/POW(10,$J596)*MAXIFS(Token!$B:$B,Token!$A:$A,$K596)&gt;0.01),$L596/86400+DATE(1970,1,1)+$G$6,)</f>
        <v/>
      </c>
      <c r="B596" s="27" t="str">
        <f t="shared" si="1"/>
        <v/>
      </c>
      <c r="C596" s="14" t="str">
        <f>IF($A596&lt;&gt;"",MINIFS(Merchant!$A:$A,Merchant!$B:$B,$G$2),)</f>
        <v/>
      </c>
      <c r="D596" s="14" t="str">
        <f t="shared" si="2"/>
        <v/>
      </c>
      <c r="E596" s="14" t="str">
        <f t="shared" si="3"/>
        <v/>
      </c>
      <c r="F596" s="7" t="str">
        <f>IF($A596&lt;&gt;"",MAXIFS(Token!$B:$B,Token!$A:$A,$D596),)</f>
        <v/>
      </c>
    </row>
    <row r="597">
      <c r="A597" s="39" t="str">
        <f>IF(AND($L597*1&gt;=$G$3,$L597*1&lt;=$G$4,$I597*$J597&gt;0,OR($I597&lt;&gt;$I598,$L597-$L598&gt;25),$I597/POW(10,$J597)*MAXIFS(Token!$B:$B,Token!$A:$A,$K597)&gt;0.01),$L597/86400+DATE(1970,1,1)+$G$6,)</f>
        <v/>
      </c>
      <c r="B597" s="27" t="str">
        <f t="shared" si="1"/>
        <v/>
      </c>
      <c r="C597" s="14" t="str">
        <f>IF($A597&lt;&gt;"",MINIFS(Merchant!$A:$A,Merchant!$B:$B,$G$2),)</f>
        <v/>
      </c>
      <c r="D597" s="14" t="str">
        <f t="shared" si="2"/>
        <v/>
      </c>
      <c r="E597" s="14" t="str">
        <f t="shared" si="3"/>
        <v/>
      </c>
      <c r="F597" s="7" t="str">
        <f>IF($A597&lt;&gt;"",MAXIFS(Token!$B:$B,Token!$A:$A,$D597),)</f>
        <v/>
      </c>
    </row>
    <row r="598">
      <c r="A598" s="39" t="str">
        <f>IF(AND($L598*1&gt;=$G$3,$L598*1&lt;=$G$4,$I598*$J598&gt;0,OR($I598&lt;&gt;$I599,$L598-$L599&gt;25),$I598/POW(10,$J598)*MAXIFS(Token!$B:$B,Token!$A:$A,$K598)&gt;0.01),$L598/86400+DATE(1970,1,1)+$G$6,)</f>
        <v/>
      </c>
      <c r="B598" s="27" t="str">
        <f t="shared" si="1"/>
        <v/>
      </c>
      <c r="C598" s="14" t="str">
        <f>IF($A598&lt;&gt;"",MINIFS(Merchant!$A:$A,Merchant!$B:$B,$G$2),)</f>
        <v/>
      </c>
      <c r="D598" s="14" t="str">
        <f t="shared" si="2"/>
        <v/>
      </c>
      <c r="E598" s="14" t="str">
        <f t="shared" si="3"/>
        <v/>
      </c>
      <c r="F598" s="7" t="str">
        <f>IF($A598&lt;&gt;"",MAXIFS(Token!$B:$B,Token!$A:$A,$D598),)</f>
        <v/>
      </c>
    </row>
    <row r="599">
      <c r="A599" s="39" t="str">
        <f>IF(AND($L599*1&gt;=$G$3,$L599*1&lt;=$G$4,$I599*$J599&gt;0,OR($I599&lt;&gt;$I600,$L599-$L600&gt;25),$I599/POW(10,$J599)*MAXIFS(Token!$B:$B,Token!$A:$A,$K599)&gt;0.01),$L599/86400+DATE(1970,1,1)+$G$6,)</f>
        <v/>
      </c>
      <c r="B599" s="27" t="str">
        <f t="shared" si="1"/>
        <v/>
      </c>
      <c r="C599" s="14" t="str">
        <f>IF($A599&lt;&gt;"",MINIFS(Merchant!$A:$A,Merchant!$B:$B,$G$2),)</f>
        <v/>
      </c>
      <c r="D599" s="14" t="str">
        <f t="shared" si="2"/>
        <v/>
      </c>
      <c r="E599" s="14" t="str">
        <f t="shared" si="3"/>
        <v/>
      </c>
      <c r="F599" s="7" t="str">
        <f>IF($A599&lt;&gt;"",MAXIFS(Token!$B:$B,Token!$A:$A,$D599),)</f>
        <v/>
      </c>
    </row>
    <row r="600">
      <c r="A600" s="39" t="str">
        <f>IF(AND($L600*1&gt;=$G$3,$L600*1&lt;=$G$4,$I600*$J600&gt;0,OR($I600&lt;&gt;$I601,$L600-$L601&gt;25),$I600/POW(10,$J600)*MAXIFS(Token!$B:$B,Token!$A:$A,$K600)&gt;0.01),$L600/86400+DATE(1970,1,1)+$G$6,)</f>
        <v/>
      </c>
      <c r="B600" s="27" t="str">
        <f t="shared" si="1"/>
        <v/>
      </c>
      <c r="C600" s="14" t="str">
        <f>IF($A600&lt;&gt;"",MINIFS(Merchant!$A:$A,Merchant!$B:$B,$G$2),)</f>
        <v/>
      </c>
      <c r="D600" s="14" t="str">
        <f t="shared" si="2"/>
        <v/>
      </c>
      <c r="E600" s="14" t="str">
        <f t="shared" si="3"/>
        <v/>
      </c>
      <c r="F600" s="7" t="str">
        <f>IF($A600&lt;&gt;"",MAXIFS(Token!$B:$B,Token!$A:$A,$D600),)</f>
        <v/>
      </c>
    </row>
    <row r="601">
      <c r="A601" s="39" t="str">
        <f>IF(AND($L601*1&gt;=$G$3,$L601*1&lt;=$G$4,$I601*$J601&gt;0,OR($I601&lt;&gt;$I602,$L601-$L602&gt;25),$I601/POW(10,$J601)*MAXIFS(Token!$B:$B,Token!$A:$A,$K601)&gt;0.01),$L601/86400+DATE(1970,1,1)+$G$6,)</f>
        <v/>
      </c>
      <c r="B601" s="27" t="str">
        <f t="shared" si="1"/>
        <v/>
      </c>
      <c r="C601" s="14" t="str">
        <f>IF($A601&lt;&gt;"",MINIFS(Merchant!$A:$A,Merchant!$B:$B,$G$2),)</f>
        <v/>
      </c>
      <c r="D601" s="14" t="str">
        <f t="shared" si="2"/>
        <v/>
      </c>
      <c r="E601" s="14" t="str">
        <f t="shared" si="3"/>
        <v/>
      </c>
      <c r="F601" s="7" t="str">
        <f>IF($A601&lt;&gt;"",MAXIFS(Token!$B:$B,Token!$A:$A,$D601),)</f>
        <v/>
      </c>
    </row>
    <row r="602">
      <c r="A602" s="39" t="str">
        <f>IF(AND($L602*1&gt;=$G$3,$L602*1&lt;=$G$4,$I602*$J602&gt;0,OR($I602&lt;&gt;$I603,$L602-$L603&gt;25),$I602/POW(10,$J602)*MAXIFS(Token!$B:$B,Token!$A:$A,$K602)&gt;0.01),$L602/86400+DATE(1970,1,1)+$G$6,)</f>
        <v/>
      </c>
      <c r="B602" s="27" t="str">
        <f t="shared" si="1"/>
        <v/>
      </c>
      <c r="C602" s="14" t="str">
        <f>IF($A602&lt;&gt;"",MINIFS(Merchant!$A:$A,Merchant!$B:$B,$G$2),)</f>
        <v/>
      </c>
      <c r="D602" s="14" t="str">
        <f t="shared" si="2"/>
        <v/>
      </c>
      <c r="E602" s="14" t="str">
        <f t="shared" si="3"/>
        <v/>
      </c>
      <c r="F602" s="7" t="str">
        <f>IF($A602&lt;&gt;"",MAXIFS(Token!$B:$B,Token!$A:$A,$D602),)</f>
        <v/>
      </c>
    </row>
    <row r="603">
      <c r="A603" s="39" t="str">
        <f>IF(AND($L603*1&gt;=$G$3,$L603*1&lt;=$G$4,$I603*$J603&gt;0,OR($I603&lt;&gt;$I604,$L603-$L604&gt;25),$I603/POW(10,$J603)*MAXIFS(Token!$B:$B,Token!$A:$A,$K603)&gt;0.01),$L603/86400+DATE(1970,1,1)+$G$6,)</f>
        <v/>
      </c>
      <c r="B603" s="27" t="str">
        <f t="shared" si="1"/>
        <v/>
      </c>
      <c r="C603" s="14" t="str">
        <f>IF($A603&lt;&gt;"",MINIFS(Merchant!$A:$A,Merchant!$B:$B,$G$2),)</f>
        <v/>
      </c>
      <c r="D603" s="14" t="str">
        <f t="shared" si="2"/>
        <v/>
      </c>
      <c r="E603" s="14" t="str">
        <f t="shared" si="3"/>
        <v/>
      </c>
      <c r="F603" s="7" t="str">
        <f>IF($A603&lt;&gt;"",MAXIFS(Token!$B:$B,Token!$A:$A,$D603),)</f>
        <v/>
      </c>
    </row>
    <row r="604">
      <c r="A604" s="39" t="str">
        <f>IF(AND($L604*1&gt;=$G$3,$L604*1&lt;=$G$4,$I604*$J604&gt;0,OR($I604&lt;&gt;$I605,$L604-$L605&gt;25),$I604/POW(10,$J604)*MAXIFS(Token!$B:$B,Token!$A:$A,$K604)&gt;0.01),$L604/86400+DATE(1970,1,1)+$G$6,)</f>
        <v/>
      </c>
      <c r="B604" s="27" t="str">
        <f t="shared" si="1"/>
        <v/>
      </c>
      <c r="C604" s="14" t="str">
        <f>IF($A604&lt;&gt;"",MINIFS(Merchant!$A:$A,Merchant!$B:$B,$G$2),)</f>
        <v/>
      </c>
      <c r="D604" s="14" t="str">
        <f t="shared" si="2"/>
        <v/>
      </c>
      <c r="E604" s="14" t="str">
        <f t="shared" si="3"/>
        <v/>
      </c>
      <c r="F604" s="7" t="str">
        <f>IF($A604&lt;&gt;"",MAXIFS(Token!$B:$B,Token!$A:$A,$D604),)</f>
        <v/>
      </c>
    </row>
    <row r="605">
      <c r="A605" s="39" t="str">
        <f>IF(AND($L605*1&gt;=$G$3,$L605*1&lt;=$G$4,$I605*$J605&gt;0,OR($I605&lt;&gt;$I606,$L605-$L606&gt;25),$I605/POW(10,$J605)*MAXIFS(Token!$B:$B,Token!$A:$A,$K605)&gt;0.01),$L605/86400+DATE(1970,1,1)+$G$6,)</f>
        <v/>
      </c>
      <c r="B605" s="27" t="str">
        <f t="shared" si="1"/>
        <v/>
      </c>
      <c r="C605" s="14" t="str">
        <f>IF($A605&lt;&gt;"",MINIFS(Merchant!$A:$A,Merchant!$B:$B,$G$2),)</f>
        <v/>
      </c>
      <c r="D605" s="14" t="str">
        <f t="shared" si="2"/>
        <v/>
      </c>
      <c r="E605" s="14" t="str">
        <f t="shared" si="3"/>
        <v/>
      </c>
      <c r="F605" s="7" t="str">
        <f>IF($A605&lt;&gt;"",MAXIFS(Token!$B:$B,Token!$A:$A,$D605),)</f>
        <v/>
      </c>
    </row>
    <row r="606">
      <c r="A606" s="39" t="str">
        <f>IF(AND($L606*1&gt;=$G$3,$L606*1&lt;=$G$4,$I606*$J606&gt;0,OR($I606&lt;&gt;$I607,$L606-$L607&gt;25),$I606/POW(10,$J606)*MAXIFS(Token!$B:$B,Token!$A:$A,$K606)&gt;0.01),$L606/86400+DATE(1970,1,1)+$G$6,)</f>
        <v/>
      </c>
      <c r="B606" s="27" t="str">
        <f t="shared" si="1"/>
        <v/>
      </c>
      <c r="C606" s="14" t="str">
        <f>IF($A606&lt;&gt;"",MINIFS(Merchant!$A:$A,Merchant!$B:$B,$G$2),)</f>
        <v/>
      </c>
      <c r="D606" s="14" t="str">
        <f t="shared" si="2"/>
        <v/>
      </c>
      <c r="E606" s="14" t="str">
        <f t="shared" si="3"/>
        <v/>
      </c>
      <c r="F606" s="7" t="str">
        <f>IF($A606&lt;&gt;"",MAXIFS(Token!$B:$B,Token!$A:$A,$D606),)</f>
        <v/>
      </c>
    </row>
    <row r="607">
      <c r="A607" s="39" t="str">
        <f>IF(AND($L607*1&gt;=$G$3,$L607*1&lt;=$G$4,$I607*$J607&gt;0,OR($I607&lt;&gt;$I608,$L607-$L608&gt;25),$I607/POW(10,$J607)*MAXIFS(Token!$B:$B,Token!$A:$A,$K607)&gt;0.01),$L607/86400+DATE(1970,1,1)+$G$6,)</f>
        <v/>
      </c>
      <c r="B607" s="27" t="str">
        <f t="shared" si="1"/>
        <v/>
      </c>
      <c r="C607" s="14" t="str">
        <f>IF($A607&lt;&gt;"",MINIFS(Merchant!$A:$A,Merchant!$B:$B,$G$2),)</f>
        <v/>
      </c>
      <c r="D607" s="14" t="str">
        <f t="shared" si="2"/>
        <v/>
      </c>
      <c r="E607" s="14" t="str">
        <f t="shared" si="3"/>
        <v/>
      </c>
      <c r="F607" s="7" t="str">
        <f>IF($A607&lt;&gt;"",MAXIFS(Token!$B:$B,Token!$A:$A,$D607),)</f>
        <v/>
      </c>
    </row>
    <row r="608">
      <c r="A608" s="39" t="str">
        <f>IF(AND($L608*1&gt;=$G$3,$L608*1&lt;=$G$4,$I608*$J608&gt;0,OR($I608&lt;&gt;$I609,$L608-$L609&gt;25),$I608/POW(10,$J608)*MAXIFS(Token!$B:$B,Token!$A:$A,$K608)&gt;0.01),$L608/86400+DATE(1970,1,1)+$G$6,)</f>
        <v/>
      </c>
      <c r="B608" s="27" t="str">
        <f t="shared" si="1"/>
        <v/>
      </c>
      <c r="C608" s="14" t="str">
        <f>IF($A608&lt;&gt;"",MINIFS(Merchant!$A:$A,Merchant!$B:$B,$G$2),)</f>
        <v/>
      </c>
      <c r="D608" s="14" t="str">
        <f t="shared" si="2"/>
        <v/>
      </c>
      <c r="E608" s="14" t="str">
        <f t="shared" si="3"/>
        <v/>
      </c>
      <c r="F608" s="7" t="str">
        <f>IF($A608&lt;&gt;"",MAXIFS(Token!$B:$B,Token!$A:$A,$D608),)</f>
        <v/>
      </c>
    </row>
    <row r="609">
      <c r="A609" s="39" t="str">
        <f>IF(AND($L609*1&gt;=$G$3,$L609*1&lt;=$G$4,$I609*$J609&gt;0,OR($I609&lt;&gt;$I610,$L609-$L610&gt;25),$I609/POW(10,$J609)*MAXIFS(Token!$B:$B,Token!$A:$A,$K609)&gt;0.01),$L609/86400+DATE(1970,1,1)+$G$6,)</f>
        <v/>
      </c>
      <c r="B609" s="27" t="str">
        <f t="shared" si="1"/>
        <v/>
      </c>
      <c r="C609" s="14" t="str">
        <f>IF($A609&lt;&gt;"",MINIFS(Merchant!$A:$A,Merchant!$B:$B,$G$2),)</f>
        <v/>
      </c>
      <c r="D609" s="14" t="str">
        <f t="shared" si="2"/>
        <v/>
      </c>
      <c r="E609" s="14" t="str">
        <f t="shared" si="3"/>
        <v/>
      </c>
      <c r="F609" s="7" t="str">
        <f>IF($A609&lt;&gt;"",MAXIFS(Token!$B:$B,Token!$A:$A,$D609),)</f>
        <v/>
      </c>
    </row>
    <row r="610">
      <c r="A610" s="39" t="str">
        <f>IF(AND($L610*1&gt;=$G$3,$L610*1&lt;=$G$4,$I610*$J610&gt;0,OR($I610&lt;&gt;$I611,$L610-$L611&gt;25),$I610/POW(10,$J610)*MAXIFS(Token!$B:$B,Token!$A:$A,$K610)&gt;0.01),$L610/86400+DATE(1970,1,1)+$G$6,)</f>
        <v/>
      </c>
      <c r="B610" s="27" t="str">
        <f t="shared" si="1"/>
        <v/>
      </c>
      <c r="C610" s="14" t="str">
        <f>IF($A610&lt;&gt;"",MINIFS(Merchant!$A:$A,Merchant!$B:$B,$G$2),)</f>
        <v/>
      </c>
      <c r="D610" s="14" t="str">
        <f t="shared" si="2"/>
        <v/>
      </c>
      <c r="E610" s="14" t="str">
        <f t="shared" si="3"/>
        <v/>
      </c>
      <c r="F610" s="7" t="str">
        <f>IF($A610&lt;&gt;"",MAXIFS(Token!$B:$B,Token!$A:$A,$D610),)</f>
        <v/>
      </c>
    </row>
    <row r="611">
      <c r="A611" s="39" t="str">
        <f>IF(AND($L611*1&gt;=$G$3,$L611*1&lt;=$G$4,$I611*$J611&gt;0,OR($I611&lt;&gt;$I612,$L611-$L612&gt;25),$I611/POW(10,$J611)*MAXIFS(Token!$B:$B,Token!$A:$A,$K611)&gt;0.01),$L611/86400+DATE(1970,1,1)+$G$6,)</f>
        <v/>
      </c>
      <c r="B611" s="27" t="str">
        <f t="shared" si="1"/>
        <v/>
      </c>
      <c r="C611" s="14" t="str">
        <f>IF($A611&lt;&gt;"",MINIFS(Merchant!$A:$A,Merchant!$B:$B,$G$2),)</f>
        <v/>
      </c>
      <c r="D611" s="14" t="str">
        <f t="shared" si="2"/>
        <v/>
      </c>
      <c r="E611" s="14" t="str">
        <f t="shared" si="3"/>
        <v/>
      </c>
      <c r="F611" s="7" t="str">
        <f>IF($A611&lt;&gt;"",MAXIFS(Token!$B:$B,Token!$A:$A,$D611),)</f>
        <v/>
      </c>
    </row>
    <row r="612">
      <c r="A612" s="39" t="str">
        <f>IF(AND($L612*1&gt;=$G$3,$L612*1&lt;=$G$4,$I612*$J612&gt;0,OR($I612&lt;&gt;$I613,$L612-$L613&gt;25),$I612/POW(10,$J612)*MAXIFS(Token!$B:$B,Token!$A:$A,$K612)&gt;0.01),$L612/86400+DATE(1970,1,1)+$G$6,)</f>
        <v/>
      </c>
      <c r="B612" s="27" t="str">
        <f t="shared" si="1"/>
        <v/>
      </c>
      <c r="C612" s="14" t="str">
        <f>IF($A612&lt;&gt;"",MINIFS(Merchant!$A:$A,Merchant!$B:$B,$G$2),)</f>
        <v/>
      </c>
      <c r="D612" s="14" t="str">
        <f t="shared" si="2"/>
        <v/>
      </c>
      <c r="E612" s="14" t="str">
        <f t="shared" si="3"/>
        <v/>
      </c>
      <c r="F612" s="7" t="str">
        <f>IF($A612&lt;&gt;"",MAXIFS(Token!$B:$B,Token!$A:$A,$D612),)</f>
        <v/>
      </c>
    </row>
    <row r="613">
      <c r="A613" s="39" t="str">
        <f>IF(AND($L613*1&gt;=$G$3,$L613*1&lt;=$G$4,$I613*$J613&gt;0,OR($I613&lt;&gt;$I614,$L613-$L614&gt;25),$I613/POW(10,$J613)*MAXIFS(Token!$B:$B,Token!$A:$A,$K613)&gt;0.01),$L613/86400+DATE(1970,1,1)+$G$6,)</f>
        <v/>
      </c>
      <c r="B613" s="27" t="str">
        <f t="shared" si="1"/>
        <v/>
      </c>
      <c r="C613" s="14" t="str">
        <f>IF($A613&lt;&gt;"",MINIFS(Merchant!$A:$A,Merchant!$B:$B,$G$2),)</f>
        <v/>
      </c>
      <c r="D613" s="14" t="str">
        <f t="shared" si="2"/>
        <v/>
      </c>
      <c r="E613" s="14" t="str">
        <f t="shared" si="3"/>
        <v/>
      </c>
      <c r="F613" s="7" t="str">
        <f>IF($A613&lt;&gt;"",MAXIFS(Token!$B:$B,Token!$A:$A,$D613),)</f>
        <v/>
      </c>
    </row>
    <row r="614">
      <c r="A614" s="39" t="str">
        <f>IF(AND($L614*1&gt;=$G$3,$L614*1&lt;=$G$4,$I614*$J614&gt;0,OR($I614&lt;&gt;$I615,$L614-$L615&gt;25),$I614/POW(10,$J614)*MAXIFS(Token!$B:$B,Token!$A:$A,$K614)&gt;0.01),$L614/86400+DATE(1970,1,1)+$G$6,)</f>
        <v/>
      </c>
      <c r="B614" s="27" t="str">
        <f t="shared" si="1"/>
        <v/>
      </c>
      <c r="C614" s="14" t="str">
        <f>IF($A614&lt;&gt;"",MINIFS(Merchant!$A:$A,Merchant!$B:$B,$G$2),)</f>
        <v/>
      </c>
      <c r="D614" s="14" t="str">
        <f t="shared" si="2"/>
        <v/>
      </c>
      <c r="E614" s="14" t="str">
        <f t="shared" si="3"/>
        <v/>
      </c>
      <c r="F614" s="7" t="str">
        <f>IF($A614&lt;&gt;"",MAXIFS(Token!$B:$B,Token!$A:$A,$D614),)</f>
        <v/>
      </c>
    </row>
    <row r="615">
      <c r="A615" s="39" t="str">
        <f>IF(AND($L615*1&gt;=$G$3,$L615*1&lt;=$G$4,$I615*$J615&gt;0,OR($I615&lt;&gt;$I616,$L615-$L616&gt;25),$I615/POW(10,$J615)*MAXIFS(Token!$B:$B,Token!$A:$A,$K615)&gt;0.01),$L615/86400+DATE(1970,1,1)+$G$6,)</f>
        <v/>
      </c>
      <c r="B615" s="27" t="str">
        <f t="shared" si="1"/>
        <v/>
      </c>
      <c r="C615" s="14" t="str">
        <f>IF($A615&lt;&gt;"",MINIFS(Merchant!$A:$A,Merchant!$B:$B,$G$2),)</f>
        <v/>
      </c>
      <c r="D615" s="14" t="str">
        <f t="shared" si="2"/>
        <v/>
      </c>
      <c r="E615" s="14" t="str">
        <f t="shared" si="3"/>
        <v/>
      </c>
      <c r="F615" s="7" t="str">
        <f>IF($A615&lt;&gt;"",MAXIFS(Token!$B:$B,Token!$A:$A,$D615),)</f>
        <v/>
      </c>
    </row>
    <row r="616">
      <c r="A616" s="39" t="str">
        <f>IF(AND($L616*1&gt;=$G$3,$L616*1&lt;=$G$4,$I616*$J616&gt;0,OR($I616&lt;&gt;$I617,$L616-$L617&gt;25),$I616/POW(10,$J616)*MAXIFS(Token!$B:$B,Token!$A:$A,$K616)&gt;0.01),$L616/86400+DATE(1970,1,1)+$G$6,)</f>
        <v/>
      </c>
      <c r="B616" s="27" t="str">
        <f t="shared" si="1"/>
        <v/>
      </c>
      <c r="C616" s="14" t="str">
        <f>IF($A616&lt;&gt;"",MINIFS(Merchant!$A:$A,Merchant!$B:$B,$G$2),)</f>
        <v/>
      </c>
      <c r="D616" s="14" t="str">
        <f t="shared" si="2"/>
        <v/>
      </c>
      <c r="E616" s="14" t="str">
        <f t="shared" si="3"/>
        <v/>
      </c>
      <c r="F616" s="7" t="str">
        <f>IF($A616&lt;&gt;"",MAXIFS(Token!$B:$B,Token!$A:$A,$D616),)</f>
        <v/>
      </c>
    </row>
    <row r="617">
      <c r="A617" s="39" t="str">
        <f>IF(AND($L617*1&gt;=$G$3,$L617*1&lt;=$G$4,$I617*$J617&gt;0,OR($I617&lt;&gt;$I618,$L617-$L618&gt;25),$I617/POW(10,$J617)*MAXIFS(Token!$B:$B,Token!$A:$A,$K617)&gt;0.01),$L617/86400+DATE(1970,1,1)+$G$6,)</f>
        <v/>
      </c>
      <c r="B617" s="27" t="str">
        <f t="shared" si="1"/>
        <v/>
      </c>
      <c r="C617" s="14" t="str">
        <f>IF($A617&lt;&gt;"",MINIFS(Merchant!$A:$A,Merchant!$B:$B,$G$2),)</f>
        <v/>
      </c>
      <c r="D617" s="14" t="str">
        <f t="shared" si="2"/>
        <v/>
      </c>
      <c r="E617" s="14" t="str">
        <f t="shared" si="3"/>
        <v/>
      </c>
      <c r="F617" s="7" t="str">
        <f>IF($A617&lt;&gt;"",MAXIFS(Token!$B:$B,Token!$A:$A,$D617),)</f>
        <v/>
      </c>
    </row>
    <row r="618">
      <c r="A618" s="39" t="str">
        <f>IF(AND($L618*1&gt;=$G$3,$L618*1&lt;=$G$4,$I618*$J618&gt;0,OR($I618&lt;&gt;$I619,$L618-$L619&gt;25),$I618/POW(10,$J618)*MAXIFS(Token!$B:$B,Token!$A:$A,$K618)&gt;0.01),$L618/86400+DATE(1970,1,1)+$G$6,)</f>
        <v/>
      </c>
      <c r="B618" s="27" t="str">
        <f t="shared" si="1"/>
        <v/>
      </c>
      <c r="C618" s="14" t="str">
        <f>IF($A618&lt;&gt;"",MINIFS(Merchant!$A:$A,Merchant!$B:$B,$G$2),)</f>
        <v/>
      </c>
      <c r="D618" s="14" t="str">
        <f t="shared" si="2"/>
        <v/>
      </c>
      <c r="E618" s="14" t="str">
        <f t="shared" si="3"/>
        <v/>
      </c>
      <c r="F618" s="7" t="str">
        <f>IF($A618&lt;&gt;"",MAXIFS(Token!$B:$B,Token!$A:$A,$D618),)</f>
        <v/>
      </c>
    </row>
    <row r="619">
      <c r="A619" s="39" t="str">
        <f>IF(AND($L619*1&gt;=$G$3,$L619*1&lt;=$G$4,$I619*$J619&gt;0,OR($I619&lt;&gt;$I620,$L619-$L620&gt;25),$I619/POW(10,$J619)*MAXIFS(Token!$B:$B,Token!$A:$A,$K619)&gt;0.01),$L619/86400+DATE(1970,1,1)+$G$6,)</f>
        <v/>
      </c>
      <c r="B619" s="27" t="str">
        <f t="shared" si="1"/>
        <v/>
      </c>
      <c r="C619" s="14" t="str">
        <f>IF($A619&lt;&gt;"",MINIFS(Merchant!$A:$A,Merchant!$B:$B,$G$2),)</f>
        <v/>
      </c>
      <c r="D619" s="14" t="str">
        <f t="shared" si="2"/>
        <v/>
      </c>
      <c r="E619" s="14" t="str">
        <f t="shared" si="3"/>
        <v/>
      </c>
      <c r="F619" s="7" t="str">
        <f>IF($A619&lt;&gt;"",MAXIFS(Token!$B:$B,Token!$A:$A,$D619),)</f>
        <v/>
      </c>
    </row>
    <row r="620">
      <c r="A620" s="39" t="str">
        <f>IF(AND($L620*1&gt;=$G$3,$L620*1&lt;=$G$4,$I620*$J620&gt;0,OR($I620&lt;&gt;$I621,$L620-$L621&gt;25),$I620/POW(10,$J620)*MAXIFS(Token!$B:$B,Token!$A:$A,$K620)&gt;0.01),$L620/86400+DATE(1970,1,1)+$G$6,)</f>
        <v/>
      </c>
      <c r="B620" s="27" t="str">
        <f t="shared" si="1"/>
        <v/>
      </c>
      <c r="C620" s="14" t="str">
        <f>IF($A620&lt;&gt;"",MINIFS(Merchant!$A:$A,Merchant!$B:$B,$G$2),)</f>
        <v/>
      </c>
      <c r="D620" s="14" t="str">
        <f t="shared" si="2"/>
        <v/>
      </c>
      <c r="E620" s="14" t="str">
        <f t="shared" si="3"/>
        <v/>
      </c>
      <c r="F620" s="7" t="str">
        <f>IF($A620&lt;&gt;"",MAXIFS(Token!$B:$B,Token!$A:$A,$D620),)</f>
        <v/>
      </c>
    </row>
    <row r="621">
      <c r="A621" s="39" t="str">
        <f>IF(AND($L621*1&gt;=$G$3,$L621*1&lt;=$G$4,$I621*$J621&gt;0,OR($I621&lt;&gt;$I622,$L621-$L622&gt;25),$I621/POW(10,$J621)*MAXIFS(Token!$B:$B,Token!$A:$A,$K621)&gt;0.01),$L621/86400+DATE(1970,1,1)+$G$6,)</f>
        <v/>
      </c>
      <c r="B621" s="27" t="str">
        <f t="shared" si="1"/>
        <v/>
      </c>
      <c r="C621" s="14" t="str">
        <f>IF($A621&lt;&gt;"",MINIFS(Merchant!$A:$A,Merchant!$B:$B,$G$2),)</f>
        <v/>
      </c>
      <c r="D621" s="14" t="str">
        <f t="shared" si="2"/>
        <v/>
      </c>
      <c r="E621" s="14" t="str">
        <f t="shared" si="3"/>
        <v/>
      </c>
      <c r="F621" s="7" t="str">
        <f>IF($A621&lt;&gt;"",MAXIFS(Token!$B:$B,Token!$A:$A,$D621),)</f>
        <v/>
      </c>
    </row>
    <row r="622">
      <c r="A622" s="39" t="str">
        <f>IF(AND($L622*1&gt;=$G$3,$L622*1&lt;=$G$4,$I622*$J622&gt;0,OR($I622&lt;&gt;$I623,$L622-$L623&gt;25),$I622/POW(10,$J622)*MAXIFS(Token!$B:$B,Token!$A:$A,$K622)&gt;0.01),$L622/86400+DATE(1970,1,1)+$G$6,)</f>
        <v/>
      </c>
      <c r="B622" s="27" t="str">
        <f t="shared" si="1"/>
        <v/>
      </c>
      <c r="C622" s="14" t="str">
        <f>IF($A622&lt;&gt;"",MINIFS(Merchant!$A:$A,Merchant!$B:$B,$G$2),)</f>
        <v/>
      </c>
      <c r="D622" s="14" t="str">
        <f t="shared" si="2"/>
        <v/>
      </c>
      <c r="E622" s="14" t="str">
        <f t="shared" si="3"/>
        <v/>
      </c>
      <c r="F622" s="7" t="str">
        <f>IF($A622&lt;&gt;"",MAXIFS(Token!$B:$B,Token!$A:$A,$D622),)</f>
        <v/>
      </c>
    </row>
    <row r="623">
      <c r="A623" s="39" t="str">
        <f>IF(AND($L623*1&gt;=$G$3,$L623*1&lt;=$G$4,$I623*$J623&gt;0,OR($I623&lt;&gt;$I624,$L623-$L624&gt;25),$I623/POW(10,$J623)*MAXIFS(Token!$B:$B,Token!$A:$A,$K623)&gt;0.01),$L623/86400+DATE(1970,1,1)+$G$6,)</f>
        <v/>
      </c>
      <c r="B623" s="27" t="str">
        <f t="shared" si="1"/>
        <v/>
      </c>
      <c r="C623" s="14" t="str">
        <f>IF($A623&lt;&gt;"",MINIFS(Merchant!$A:$A,Merchant!$B:$B,$G$2),)</f>
        <v/>
      </c>
      <c r="D623" s="14" t="str">
        <f t="shared" si="2"/>
        <v/>
      </c>
      <c r="E623" s="14" t="str">
        <f t="shared" si="3"/>
        <v/>
      </c>
      <c r="F623" s="7" t="str">
        <f>IF($A623&lt;&gt;"",MAXIFS(Token!$B:$B,Token!$A:$A,$D623),)</f>
        <v/>
      </c>
    </row>
    <row r="624">
      <c r="A624" s="39" t="str">
        <f>IF(AND($L624*1&gt;=$G$3,$L624*1&lt;=$G$4,$I624*$J624&gt;0,OR($I624&lt;&gt;$I625,$L624-$L625&gt;25),$I624/POW(10,$J624)*MAXIFS(Token!$B:$B,Token!$A:$A,$K624)&gt;0.01),$L624/86400+DATE(1970,1,1)+$G$6,)</f>
        <v/>
      </c>
      <c r="B624" s="27" t="str">
        <f t="shared" si="1"/>
        <v/>
      </c>
      <c r="C624" s="14" t="str">
        <f>IF($A624&lt;&gt;"",MINIFS(Merchant!$A:$A,Merchant!$B:$B,$G$2),)</f>
        <v/>
      </c>
      <c r="D624" s="14" t="str">
        <f t="shared" si="2"/>
        <v/>
      </c>
      <c r="E624" s="14" t="str">
        <f t="shared" si="3"/>
        <v/>
      </c>
      <c r="F624" s="7" t="str">
        <f>IF($A624&lt;&gt;"",MAXIFS(Token!$B:$B,Token!$A:$A,$D624),)</f>
        <v/>
      </c>
    </row>
    <row r="625">
      <c r="A625" s="39" t="str">
        <f>IF(AND($L625*1&gt;=$G$3,$L625*1&lt;=$G$4,$I625*$J625&gt;0,OR($I625&lt;&gt;$I626,$L625-$L626&gt;25),$I625/POW(10,$J625)*MAXIFS(Token!$B:$B,Token!$A:$A,$K625)&gt;0.01),$L625/86400+DATE(1970,1,1)+$G$6,)</f>
        <v/>
      </c>
      <c r="B625" s="27" t="str">
        <f t="shared" si="1"/>
        <v/>
      </c>
      <c r="C625" s="14" t="str">
        <f>IF($A625&lt;&gt;"",MINIFS(Merchant!$A:$A,Merchant!$B:$B,$G$2),)</f>
        <v/>
      </c>
      <c r="D625" s="14" t="str">
        <f t="shared" si="2"/>
        <v/>
      </c>
      <c r="E625" s="14" t="str">
        <f t="shared" si="3"/>
        <v/>
      </c>
      <c r="F625" s="7" t="str">
        <f>IF($A625&lt;&gt;"",MAXIFS(Token!$B:$B,Token!$A:$A,$D625),)</f>
        <v/>
      </c>
    </row>
    <row r="626">
      <c r="A626" s="39" t="str">
        <f>IF(AND($L626*1&gt;=$G$3,$L626*1&lt;=$G$4,$I626*$J626&gt;0,OR($I626&lt;&gt;$I627,$L626-$L627&gt;25),$I626/POW(10,$J626)*MAXIFS(Token!$B:$B,Token!$A:$A,$K626)&gt;0.01),$L626/86400+DATE(1970,1,1)+$G$6,)</f>
        <v/>
      </c>
      <c r="B626" s="27" t="str">
        <f t="shared" si="1"/>
        <v/>
      </c>
      <c r="C626" s="14" t="str">
        <f>IF($A626&lt;&gt;"",MINIFS(Merchant!$A:$A,Merchant!$B:$B,$G$2),)</f>
        <v/>
      </c>
      <c r="D626" s="14" t="str">
        <f t="shared" si="2"/>
        <v/>
      </c>
      <c r="E626" s="14" t="str">
        <f t="shared" si="3"/>
        <v/>
      </c>
      <c r="F626" s="7" t="str">
        <f>IF($A626&lt;&gt;"",MAXIFS(Token!$B:$B,Token!$A:$A,$D626),)</f>
        <v/>
      </c>
    </row>
    <row r="627">
      <c r="A627" s="39" t="str">
        <f>IF(AND($L627*1&gt;=$G$3,$L627*1&lt;=$G$4,$I627*$J627&gt;0,OR($I627&lt;&gt;$I628,$L627-$L628&gt;25),$I627/POW(10,$J627)*MAXIFS(Token!$B:$B,Token!$A:$A,$K627)&gt;0.01),$L627/86400+DATE(1970,1,1)+$G$6,)</f>
        <v/>
      </c>
      <c r="B627" s="27" t="str">
        <f t="shared" si="1"/>
        <v/>
      </c>
      <c r="C627" s="14" t="str">
        <f>IF($A627&lt;&gt;"",MINIFS(Merchant!$A:$A,Merchant!$B:$B,$G$2),)</f>
        <v/>
      </c>
      <c r="D627" s="14" t="str">
        <f t="shared" si="2"/>
        <v/>
      </c>
      <c r="E627" s="14" t="str">
        <f t="shared" si="3"/>
        <v/>
      </c>
      <c r="F627" s="7" t="str">
        <f>IF($A627&lt;&gt;"",MAXIFS(Token!$B:$B,Token!$A:$A,$D627),)</f>
        <v/>
      </c>
    </row>
    <row r="628">
      <c r="A628" s="39" t="str">
        <f>IF(AND($L628*1&gt;=$G$3,$L628*1&lt;=$G$4,$I628*$J628&gt;0,OR($I628&lt;&gt;$I629,$L628-$L629&gt;25),$I628/POW(10,$J628)*MAXIFS(Token!$B:$B,Token!$A:$A,$K628)&gt;0.01),$L628/86400+DATE(1970,1,1)+$G$6,)</f>
        <v/>
      </c>
      <c r="B628" s="27" t="str">
        <f t="shared" si="1"/>
        <v/>
      </c>
      <c r="C628" s="14" t="str">
        <f>IF($A628&lt;&gt;"",MINIFS(Merchant!$A:$A,Merchant!$B:$B,$G$2),)</f>
        <v/>
      </c>
      <c r="D628" s="14" t="str">
        <f t="shared" si="2"/>
        <v/>
      </c>
      <c r="E628" s="14" t="str">
        <f t="shared" si="3"/>
        <v/>
      </c>
      <c r="F628" s="7" t="str">
        <f>IF($A628&lt;&gt;"",MAXIFS(Token!$B:$B,Token!$A:$A,$D628),)</f>
        <v/>
      </c>
    </row>
    <row r="629">
      <c r="A629" s="39" t="str">
        <f>IF(AND($L629*1&gt;=$G$3,$L629*1&lt;=$G$4,$I629*$J629&gt;0,OR($I629&lt;&gt;$I630,$L629-$L630&gt;25),$I629/POW(10,$J629)*MAXIFS(Token!$B:$B,Token!$A:$A,$K629)&gt;0.01),$L629/86400+DATE(1970,1,1)+$G$6,)</f>
        <v/>
      </c>
      <c r="B629" s="27" t="str">
        <f t="shared" si="1"/>
        <v/>
      </c>
      <c r="C629" s="14" t="str">
        <f>IF($A629&lt;&gt;"",MINIFS(Merchant!$A:$A,Merchant!$B:$B,$G$2),)</f>
        <v/>
      </c>
      <c r="D629" s="14" t="str">
        <f t="shared" si="2"/>
        <v/>
      </c>
      <c r="E629" s="14" t="str">
        <f t="shared" si="3"/>
        <v/>
      </c>
      <c r="F629" s="7" t="str">
        <f>IF($A629&lt;&gt;"",MAXIFS(Token!$B:$B,Token!$A:$A,$D629),)</f>
        <v/>
      </c>
    </row>
    <row r="630">
      <c r="A630" s="39" t="str">
        <f>IF(AND($L630*1&gt;=$G$3,$L630*1&lt;=$G$4,$I630*$J630&gt;0,OR($I630&lt;&gt;$I631,$L630-$L631&gt;25),$I630/POW(10,$J630)*MAXIFS(Token!$B:$B,Token!$A:$A,$K630)&gt;0.01),$L630/86400+DATE(1970,1,1)+$G$6,)</f>
        <v/>
      </c>
      <c r="B630" s="27" t="str">
        <f t="shared" si="1"/>
        <v/>
      </c>
      <c r="C630" s="14" t="str">
        <f>IF($A630&lt;&gt;"",MINIFS(Merchant!$A:$A,Merchant!$B:$B,$G$2),)</f>
        <v/>
      </c>
      <c r="D630" s="14" t="str">
        <f t="shared" si="2"/>
        <v/>
      </c>
      <c r="E630" s="14" t="str">
        <f t="shared" si="3"/>
        <v/>
      </c>
      <c r="F630" s="7" t="str">
        <f>IF($A630&lt;&gt;"",MAXIFS(Token!$B:$B,Token!$A:$A,$D630),)</f>
        <v/>
      </c>
    </row>
    <row r="631">
      <c r="A631" s="39" t="str">
        <f>IF(AND($L631*1&gt;=$G$3,$L631*1&lt;=$G$4,$I631*$J631&gt;0,OR($I631&lt;&gt;$I632,$L631-$L632&gt;25),$I631/POW(10,$J631)*MAXIFS(Token!$B:$B,Token!$A:$A,$K631)&gt;0.01),$L631/86400+DATE(1970,1,1)+$G$6,)</f>
        <v/>
      </c>
      <c r="B631" s="27" t="str">
        <f t="shared" si="1"/>
        <v/>
      </c>
      <c r="C631" s="14" t="str">
        <f>IF($A631&lt;&gt;"",MINIFS(Merchant!$A:$A,Merchant!$B:$B,$G$2),)</f>
        <v/>
      </c>
      <c r="D631" s="14" t="str">
        <f t="shared" si="2"/>
        <v/>
      </c>
      <c r="E631" s="14" t="str">
        <f t="shared" si="3"/>
        <v/>
      </c>
      <c r="F631" s="7" t="str">
        <f>IF($A631&lt;&gt;"",MAXIFS(Token!$B:$B,Token!$A:$A,$D631),)</f>
        <v/>
      </c>
    </row>
    <row r="632">
      <c r="A632" s="39" t="str">
        <f>IF(AND($L632*1&gt;=$G$3,$L632*1&lt;=$G$4,$I632*$J632&gt;0,OR($I632&lt;&gt;$I633,$L632-$L633&gt;25),$I632/POW(10,$J632)*MAXIFS(Token!$B:$B,Token!$A:$A,$K632)&gt;0.01),$L632/86400+DATE(1970,1,1)+$G$6,)</f>
        <v/>
      </c>
      <c r="B632" s="27" t="str">
        <f t="shared" si="1"/>
        <v/>
      </c>
      <c r="C632" s="14" t="str">
        <f>IF($A632&lt;&gt;"",MINIFS(Merchant!$A:$A,Merchant!$B:$B,$G$2),)</f>
        <v/>
      </c>
      <c r="D632" s="14" t="str">
        <f t="shared" si="2"/>
        <v/>
      </c>
      <c r="E632" s="14" t="str">
        <f t="shared" si="3"/>
        <v/>
      </c>
      <c r="F632" s="7" t="str">
        <f>IF($A632&lt;&gt;"",MAXIFS(Token!$B:$B,Token!$A:$A,$D632),)</f>
        <v/>
      </c>
    </row>
    <row r="633">
      <c r="A633" s="39" t="str">
        <f>IF(AND($L633*1&gt;=$G$3,$L633*1&lt;=$G$4,$I633*$J633&gt;0,OR($I633&lt;&gt;$I634,$L633-$L634&gt;25),$I633/POW(10,$J633)*MAXIFS(Token!$B:$B,Token!$A:$A,$K633)&gt;0.01),$L633/86400+DATE(1970,1,1)+$G$6,)</f>
        <v/>
      </c>
      <c r="B633" s="27" t="str">
        <f t="shared" si="1"/>
        <v/>
      </c>
      <c r="C633" s="14" t="str">
        <f>IF($A633&lt;&gt;"",MINIFS(Merchant!$A:$A,Merchant!$B:$B,$G$2),)</f>
        <v/>
      </c>
      <c r="D633" s="14" t="str">
        <f t="shared" si="2"/>
        <v/>
      </c>
      <c r="E633" s="14" t="str">
        <f t="shared" si="3"/>
        <v/>
      </c>
      <c r="F633" s="7" t="str">
        <f>IF($A633&lt;&gt;"",MAXIFS(Token!$B:$B,Token!$A:$A,$D633),)</f>
        <v/>
      </c>
    </row>
    <row r="634">
      <c r="A634" s="39" t="str">
        <f>IF(AND($L634*1&gt;=$G$3,$L634*1&lt;=$G$4,$I634*$J634&gt;0,OR($I634&lt;&gt;$I635,$L634-$L635&gt;25),$I634/POW(10,$J634)*MAXIFS(Token!$B:$B,Token!$A:$A,$K634)&gt;0.01),$L634/86400+DATE(1970,1,1)+$G$6,)</f>
        <v/>
      </c>
      <c r="B634" s="27" t="str">
        <f t="shared" si="1"/>
        <v/>
      </c>
      <c r="C634" s="14" t="str">
        <f>IF($A634&lt;&gt;"",MINIFS(Merchant!$A:$A,Merchant!$B:$B,$G$2),)</f>
        <v/>
      </c>
      <c r="D634" s="14" t="str">
        <f t="shared" si="2"/>
        <v/>
      </c>
      <c r="E634" s="14" t="str">
        <f t="shared" si="3"/>
        <v/>
      </c>
      <c r="F634" s="7" t="str">
        <f>IF($A634&lt;&gt;"",MAXIFS(Token!$B:$B,Token!$A:$A,$D634),)</f>
        <v/>
      </c>
    </row>
    <row r="635">
      <c r="A635" s="39" t="str">
        <f>IF(AND($L635*1&gt;=$G$3,$L635*1&lt;=$G$4,$I635*$J635&gt;0,OR($I635&lt;&gt;$I636,$L635-$L636&gt;25),$I635/POW(10,$J635)*MAXIFS(Token!$B:$B,Token!$A:$A,$K635)&gt;0.01),$L635/86400+DATE(1970,1,1)+$G$6,)</f>
        <v/>
      </c>
      <c r="B635" s="27" t="str">
        <f t="shared" si="1"/>
        <v/>
      </c>
      <c r="C635" s="14" t="str">
        <f>IF($A635&lt;&gt;"",MINIFS(Merchant!$A:$A,Merchant!$B:$B,$G$2),)</f>
        <v/>
      </c>
      <c r="D635" s="14" t="str">
        <f t="shared" si="2"/>
        <v/>
      </c>
      <c r="E635" s="14" t="str">
        <f t="shared" si="3"/>
        <v/>
      </c>
      <c r="F635" s="7" t="str">
        <f>IF($A635&lt;&gt;"",MAXIFS(Token!$B:$B,Token!$A:$A,$D635),)</f>
        <v/>
      </c>
    </row>
    <row r="636">
      <c r="A636" s="39" t="str">
        <f>IF(AND($L636*1&gt;=$G$3,$L636*1&lt;=$G$4,$I636*$J636&gt;0,OR($I636&lt;&gt;$I637,$L636-$L637&gt;25),$I636/POW(10,$J636)*MAXIFS(Token!$B:$B,Token!$A:$A,$K636)&gt;0.01),$L636/86400+DATE(1970,1,1)+$G$6,)</f>
        <v/>
      </c>
      <c r="B636" s="27" t="str">
        <f t="shared" si="1"/>
        <v/>
      </c>
      <c r="C636" s="14" t="str">
        <f>IF($A636&lt;&gt;"",MINIFS(Merchant!$A:$A,Merchant!$B:$B,$G$2),)</f>
        <v/>
      </c>
      <c r="D636" s="14" t="str">
        <f t="shared" si="2"/>
        <v/>
      </c>
      <c r="E636" s="14" t="str">
        <f t="shared" si="3"/>
        <v/>
      </c>
      <c r="F636" s="7" t="str">
        <f>IF($A636&lt;&gt;"",MAXIFS(Token!$B:$B,Token!$A:$A,$D636),)</f>
        <v/>
      </c>
    </row>
    <row r="637">
      <c r="A637" s="39" t="str">
        <f>IF(AND($L637*1&gt;=$G$3,$L637*1&lt;=$G$4,$I637*$J637&gt;0,OR($I637&lt;&gt;$I638,$L637-$L638&gt;25),$I637/POW(10,$J637)*MAXIFS(Token!$B:$B,Token!$A:$A,$K637)&gt;0.01),$L637/86400+DATE(1970,1,1)+$G$6,)</f>
        <v/>
      </c>
      <c r="B637" s="27" t="str">
        <f t="shared" si="1"/>
        <v/>
      </c>
      <c r="C637" s="14" t="str">
        <f>IF($A637&lt;&gt;"",MINIFS(Merchant!$A:$A,Merchant!$B:$B,$G$2),)</f>
        <v/>
      </c>
      <c r="D637" s="14" t="str">
        <f t="shared" si="2"/>
        <v/>
      </c>
      <c r="E637" s="14" t="str">
        <f t="shared" si="3"/>
        <v/>
      </c>
      <c r="F637" s="7" t="str">
        <f>IF($A637&lt;&gt;"",MAXIFS(Token!$B:$B,Token!$A:$A,$D637),)</f>
        <v/>
      </c>
    </row>
    <row r="638">
      <c r="A638" s="39" t="str">
        <f>IF(AND($L638*1&gt;=$G$3,$L638*1&lt;=$G$4,$I638*$J638&gt;0,OR($I638&lt;&gt;$I639,$L638-$L639&gt;25),$I638/POW(10,$J638)*MAXIFS(Token!$B:$B,Token!$A:$A,$K638)&gt;0.01),$L638/86400+DATE(1970,1,1)+$G$6,)</f>
        <v/>
      </c>
      <c r="B638" s="27" t="str">
        <f t="shared" si="1"/>
        <v/>
      </c>
      <c r="C638" s="14" t="str">
        <f>IF($A638&lt;&gt;"",MINIFS(Merchant!$A:$A,Merchant!$B:$B,$G$2),)</f>
        <v/>
      </c>
      <c r="D638" s="14" t="str">
        <f t="shared" si="2"/>
        <v/>
      </c>
      <c r="E638" s="14" t="str">
        <f t="shared" si="3"/>
        <v/>
      </c>
      <c r="F638" s="7" t="str">
        <f>IF($A638&lt;&gt;"",MAXIFS(Token!$B:$B,Token!$A:$A,$D638),)</f>
        <v/>
      </c>
    </row>
    <row r="639">
      <c r="A639" s="39" t="str">
        <f>IF(AND($L639*1&gt;=$G$3,$L639*1&lt;=$G$4,$I639*$J639&gt;0,OR($I639&lt;&gt;$I640,$L639-$L640&gt;25),$I639/POW(10,$J639)*MAXIFS(Token!$B:$B,Token!$A:$A,$K639)&gt;0.01),$L639/86400+DATE(1970,1,1)+$G$6,)</f>
        <v/>
      </c>
      <c r="B639" s="27" t="str">
        <f t="shared" si="1"/>
        <v/>
      </c>
      <c r="C639" s="14" t="str">
        <f>IF($A639&lt;&gt;"",MINIFS(Merchant!$A:$A,Merchant!$B:$B,$G$2),)</f>
        <v/>
      </c>
      <c r="D639" s="14" t="str">
        <f t="shared" si="2"/>
        <v/>
      </c>
      <c r="E639" s="14" t="str">
        <f t="shared" si="3"/>
        <v/>
      </c>
      <c r="F639" s="7" t="str">
        <f>IF($A639&lt;&gt;"",MAXIFS(Token!$B:$B,Token!$A:$A,$D639),)</f>
        <v/>
      </c>
    </row>
    <row r="640">
      <c r="A640" s="39" t="str">
        <f>IF(AND($L640*1&gt;=$G$3,$L640*1&lt;=$G$4,$I640*$J640&gt;0,OR($I640&lt;&gt;$I641,$L640-$L641&gt;25),$I640/POW(10,$J640)*MAXIFS(Token!$B:$B,Token!$A:$A,$K640)&gt;0.01),$L640/86400+DATE(1970,1,1)+$G$6,)</f>
        <v/>
      </c>
      <c r="B640" s="27" t="str">
        <f t="shared" si="1"/>
        <v/>
      </c>
      <c r="C640" s="14" t="str">
        <f>IF($A640&lt;&gt;"",MINIFS(Merchant!$A:$A,Merchant!$B:$B,$G$2),)</f>
        <v/>
      </c>
      <c r="D640" s="14" t="str">
        <f t="shared" si="2"/>
        <v/>
      </c>
      <c r="E640" s="14" t="str">
        <f t="shared" si="3"/>
        <v/>
      </c>
      <c r="F640" s="7" t="str">
        <f>IF($A640&lt;&gt;"",MAXIFS(Token!$B:$B,Token!$A:$A,$D640),)</f>
        <v/>
      </c>
    </row>
    <row r="641">
      <c r="A641" s="39" t="str">
        <f>IF(AND($L641*1&gt;=$G$3,$L641*1&lt;=$G$4,$I641*$J641&gt;0,OR($I641&lt;&gt;$I642,$L641-$L642&gt;25),$I641/POW(10,$J641)*MAXIFS(Token!$B:$B,Token!$A:$A,$K641)&gt;0.01),$L641/86400+DATE(1970,1,1)+$G$6,)</f>
        <v/>
      </c>
      <c r="B641" s="27" t="str">
        <f t="shared" si="1"/>
        <v/>
      </c>
      <c r="C641" s="14" t="str">
        <f>IF($A641&lt;&gt;"",MINIFS(Merchant!$A:$A,Merchant!$B:$B,$G$2),)</f>
        <v/>
      </c>
      <c r="D641" s="14" t="str">
        <f t="shared" si="2"/>
        <v/>
      </c>
      <c r="E641" s="14" t="str">
        <f t="shared" si="3"/>
        <v/>
      </c>
      <c r="F641" s="7" t="str">
        <f>IF($A641&lt;&gt;"",MAXIFS(Token!$B:$B,Token!$A:$A,$D641),)</f>
        <v/>
      </c>
    </row>
    <row r="642">
      <c r="A642" s="39" t="str">
        <f>IF(AND($L642*1&gt;=$G$3,$L642*1&lt;=$G$4,$I642*$J642&gt;0,OR($I642&lt;&gt;$I643,$L642-$L643&gt;25),$I642/POW(10,$J642)*MAXIFS(Token!$B:$B,Token!$A:$A,$K642)&gt;0.01),$L642/86400+DATE(1970,1,1)+$G$6,)</f>
        <v/>
      </c>
      <c r="B642" s="27" t="str">
        <f t="shared" si="1"/>
        <v/>
      </c>
      <c r="C642" s="14" t="str">
        <f>IF($A642&lt;&gt;"",MINIFS(Merchant!$A:$A,Merchant!$B:$B,$G$2),)</f>
        <v/>
      </c>
      <c r="D642" s="14" t="str">
        <f t="shared" si="2"/>
        <v/>
      </c>
      <c r="E642" s="14" t="str">
        <f t="shared" si="3"/>
        <v/>
      </c>
      <c r="F642" s="7" t="str">
        <f>IF($A642&lt;&gt;"",MAXIFS(Token!$B:$B,Token!$A:$A,$D642),)</f>
        <v/>
      </c>
    </row>
    <row r="643">
      <c r="A643" s="39" t="str">
        <f>IF(AND($L643*1&gt;=$G$3,$L643*1&lt;=$G$4,$I643*$J643&gt;0,OR($I643&lt;&gt;$I644,$L643-$L644&gt;25),$I643/POW(10,$J643)*MAXIFS(Token!$B:$B,Token!$A:$A,$K643)&gt;0.01),$L643/86400+DATE(1970,1,1)+$G$6,)</f>
        <v/>
      </c>
      <c r="B643" s="27" t="str">
        <f t="shared" si="1"/>
        <v/>
      </c>
      <c r="C643" s="14" t="str">
        <f>IF($A643&lt;&gt;"",MINIFS(Merchant!$A:$A,Merchant!$B:$B,$G$2),)</f>
        <v/>
      </c>
      <c r="D643" s="14" t="str">
        <f t="shared" si="2"/>
        <v/>
      </c>
      <c r="E643" s="14" t="str">
        <f t="shared" si="3"/>
        <v/>
      </c>
      <c r="F643" s="7" t="str">
        <f>IF($A643&lt;&gt;"",MAXIFS(Token!$B:$B,Token!$A:$A,$D643),)</f>
        <v/>
      </c>
    </row>
    <row r="644">
      <c r="A644" s="39" t="str">
        <f>IF(AND($L644*1&gt;=$G$3,$L644*1&lt;=$G$4,$I644*$J644&gt;0,OR($I644&lt;&gt;$I645,$L644-$L645&gt;25),$I644/POW(10,$J644)*MAXIFS(Token!$B:$B,Token!$A:$A,$K644)&gt;0.01),$L644/86400+DATE(1970,1,1)+$G$6,)</f>
        <v/>
      </c>
      <c r="B644" s="27" t="str">
        <f t="shared" si="1"/>
        <v/>
      </c>
      <c r="C644" s="14" t="str">
        <f>IF($A644&lt;&gt;"",MINIFS(Merchant!$A:$A,Merchant!$B:$B,$G$2),)</f>
        <v/>
      </c>
      <c r="D644" s="14" t="str">
        <f t="shared" si="2"/>
        <v/>
      </c>
      <c r="E644" s="14" t="str">
        <f t="shared" si="3"/>
        <v/>
      </c>
      <c r="F644" s="7" t="str">
        <f>IF($A644&lt;&gt;"",MAXIFS(Token!$B:$B,Token!$A:$A,$D644),)</f>
        <v/>
      </c>
    </row>
    <row r="645">
      <c r="A645" s="39" t="str">
        <f>IF(AND($L645*1&gt;=$G$3,$L645*1&lt;=$G$4,$I645*$J645&gt;0,OR($I645&lt;&gt;$I646,$L645-$L646&gt;25),$I645/POW(10,$J645)*MAXIFS(Token!$B:$B,Token!$A:$A,$K645)&gt;0.01),$L645/86400+DATE(1970,1,1)+$G$6,)</f>
        <v/>
      </c>
      <c r="B645" s="27" t="str">
        <f t="shared" si="1"/>
        <v/>
      </c>
      <c r="C645" s="14" t="str">
        <f>IF($A645&lt;&gt;"",MINIFS(Merchant!$A:$A,Merchant!$B:$B,$G$2),)</f>
        <v/>
      </c>
      <c r="D645" s="14" t="str">
        <f t="shared" si="2"/>
        <v/>
      </c>
      <c r="E645" s="14" t="str">
        <f t="shared" si="3"/>
        <v/>
      </c>
      <c r="F645" s="7" t="str">
        <f>IF($A645&lt;&gt;"",MAXIFS(Token!$B:$B,Token!$A:$A,$D645),)</f>
        <v/>
      </c>
    </row>
    <row r="646">
      <c r="A646" s="39" t="str">
        <f>IF(AND($L646*1&gt;=$G$3,$L646*1&lt;=$G$4,$I646*$J646&gt;0,OR($I646&lt;&gt;$I647,$L646-$L647&gt;25),$I646/POW(10,$J646)*MAXIFS(Token!$B:$B,Token!$A:$A,$K646)&gt;0.01),$L646/86400+DATE(1970,1,1)+$G$6,)</f>
        <v/>
      </c>
      <c r="B646" s="27" t="str">
        <f t="shared" si="1"/>
        <v/>
      </c>
      <c r="C646" s="14" t="str">
        <f>IF($A646&lt;&gt;"",MINIFS(Merchant!$A:$A,Merchant!$B:$B,$G$2),)</f>
        <v/>
      </c>
      <c r="D646" s="14" t="str">
        <f t="shared" si="2"/>
        <v/>
      </c>
      <c r="E646" s="14" t="str">
        <f t="shared" si="3"/>
        <v/>
      </c>
      <c r="F646" s="7" t="str">
        <f>IF($A646&lt;&gt;"",MAXIFS(Token!$B:$B,Token!$A:$A,$D646),)</f>
        <v/>
      </c>
    </row>
    <row r="647">
      <c r="A647" s="39" t="str">
        <f>IF(AND($L647*1&gt;=$G$3,$L647*1&lt;=$G$4,$I647*$J647&gt;0,OR($I647&lt;&gt;$I648,$L647-$L648&gt;25),$I647/POW(10,$J647)*MAXIFS(Token!$B:$B,Token!$A:$A,$K647)&gt;0.01),$L647/86400+DATE(1970,1,1)+$G$6,)</f>
        <v/>
      </c>
      <c r="B647" s="27" t="str">
        <f t="shared" si="1"/>
        <v/>
      </c>
      <c r="C647" s="14" t="str">
        <f>IF($A647&lt;&gt;"",MINIFS(Merchant!$A:$A,Merchant!$B:$B,$G$2),)</f>
        <v/>
      </c>
      <c r="D647" s="14" t="str">
        <f t="shared" si="2"/>
        <v/>
      </c>
      <c r="E647" s="14" t="str">
        <f t="shared" si="3"/>
        <v/>
      </c>
      <c r="F647" s="7" t="str">
        <f>IF($A647&lt;&gt;"",MAXIFS(Token!$B:$B,Token!$A:$A,$D647),)</f>
        <v/>
      </c>
    </row>
    <row r="648">
      <c r="A648" s="39" t="str">
        <f>IF(AND($L648*1&gt;=$G$3,$L648*1&lt;=$G$4,$I648*$J648&gt;0,OR($I648&lt;&gt;$I649,$L648-$L649&gt;25),$I648/POW(10,$J648)*MAXIFS(Token!$B:$B,Token!$A:$A,$K648)&gt;0.01),$L648/86400+DATE(1970,1,1)+$G$6,)</f>
        <v/>
      </c>
      <c r="B648" s="27" t="str">
        <f t="shared" si="1"/>
        <v/>
      </c>
      <c r="C648" s="14" t="str">
        <f>IF($A648&lt;&gt;"",MINIFS(Merchant!$A:$A,Merchant!$B:$B,$G$2),)</f>
        <v/>
      </c>
      <c r="D648" s="14" t="str">
        <f t="shared" si="2"/>
        <v/>
      </c>
      <c r="E648" s="14" t="str">
        <f t="shared" si="3"/>
        <v/>
      </c>
      <c r="F648" s="7" t="str">
        <f>IF($A648&lt;&gt;"",MAXIFS(Token!$B:$B,Token!$A:$A,$D648),)</f>
        <v/>
      </c>
    </row>
    <row r="649">
      <c r="A649" s="39" t="str">
        <f>IF(AND($L649*1&gt;=$G$3,$L649*1&lt;=$G$4,$I649*$J649&gt;0,OR($I649&lt;&gt;$I650,$L649-$L650&gt;25),$I649/POW(10,$J649)*MAXIFS(Token!$B:$B,Token!$A:$A,$K649)&gt;0.01),$L649/86400+DATE(1970,1,1)+$G$6,)</f>
        <v/>
      </c>
      <c r="B649" s="27" t="str">
        <f t="shared" si="1"/>
        <v/>
      </c>
      <c r="C649" s="14" t="str">
        <f>IF($A649&lt;&gt;"",MINIFS(Merchant!$A:$A,Merchant!$B:$B,$G$2),)</f>
        <v/>
      </c>
      <c r="D649" s="14" t="str">
        <f t="shared" si="2"/>
        <v/>
      </c>
      <c r="E649" s="14" t="str">
        <f t="shared" si="3"/>
        <v/>
      </c>
      <c r="F649" s="7" t="str">
        <f>IF($A649&lt;&gt;"",MAXIFS(Token!$B:$B,Token!$A:$A,$D649),)</f>
        <v/>
      </c>
    </row>
    <row r="650">
      <c r="A650" s="39" t="str">
        <f>IF(AND($L650*1&gt;=$G$3,$L650*1&lt;=$G$4,$I650*$J650&gt;0,OR($I650&lt;&gt;$I651,$L650-$L651&gt;25),$I650/POW(10,$J650)*MAXIFS(Token!$B:$B,Token!$A:$A,$K650)&gt;0.01),$L650/86400+DATE(1970,1,1)+$G$6,)</f>
        <v/>
      </c>
      <c r="B650" s="27" t="str">
        <f t="shared" si="1"/>
        <v/>
      </c>
      <c r="C650" s="14" t="str">
        <f>IF($A650&lt;&gt;"",MINIFS(Merchant!$A:$A,Merchant!$B:$B,$G$2),)</f>
        <v/>
      </c>
      <c r="D650" s="14" t="str">
        <f t="shared" si="2"/>
        <v/>
      </c>
      <c r="E650" s="14" t="str">
        <f t="shared" si="3"/>
        <v/>
      </c>
      <c r="F650" s="7" t="str">
        <f>IF($A650&lt;&gt;"",MAXIFS(Token!$B:$B,Token!$A:$A,$D650),)</f>
        <v/>
      </c>
    </row>
    <row r="651">
      <c r="A651" s="39" t="str">
        <f>IF(AND($L651*1&gt;=$G$3,$L651*1&lt;=$G$4,$I651*$J651&gt;0,OR($I651&lt;&gt;$I652,$L651-$L652&gt;25),$I651/POW(10,$J651)*MAXIFS(Token!$B:$B,Token!$A:$A,$K651)&gt;0.01),$L651/86400+DATE(1970,1,1)+$G$6,)</f>
        <v/>
      </c>
      <c r="B651" s="27" t="str">
        <f t="shared" si="1"/>
        <v/>
      </c>
      <c r="C651" s="14" t="str">
        <f>IF($A651&lt;&gt;"",MINIFS(Merchant!$A:$A,Merchant!$B:$B,$G$2),)</f>
        <v/>
      </c>
      <c r="D651" s="14" t="str">
        <f t="shared" si="2"/>
        <v/>
      </c>
      <c r="E651" s="14" t="str">
        <f t="shared" si="3"/>
        <v/>
      </c>
      <c r="F651" s="7" t="str">
        <f>IF($A651&lt;&gt;"",MAXIFS(Token!$B:$B,Token!$A:$A,$D651),)</f>
        <v/>
      </c>
    </row>
    <row r="652">
      <c r="A652" s="39" t="str">
        <f>IF(AND($L652*1&gt;=$G$3,$L652*1&lt;=$G$4,$I652*$J652&gt;0,OR($I652&lt;&gt;$I653,$L652-$L653&gt;25),$I652/POW(10,$J652)*MAXIFS(Token!$B:$B,Token!$A:$A,$K652)&gt;0.01),$L652/86400+DATE(1970,1,1)+$G$6,)</f>
        <v/>
      </c>
      <c r="B652" s="27" t="str">
        <f t="shared" si="1"/>
        <v/>
      </c>
      <c r="C652" s="14" t="str">
        <f>IF($A652&lt;&gt;"",MINIFS(Merchant!$A:$A,Merchant!$B:$B,$G$2),)</f>
        <v/>
      </c>
      <c r="D652" s="14" t="str">
        <f t="shared" si="2"/>
        <v/>
      </c>
      <c r="E652" s="14" t="str">
        <f t="shared" si="3"/>
        <v/>
      </c>
      <c r="F652" s="7" t="str">
        <f>IF($A652&lt;&gt;"",MAXIFS(Token!$B:$B,Token!$A:$A,$D652),)</f>
        <v/>
      </c>
    </row>
    <row r="653">
      <c r="A653" s="39" t="str">
        <f>IF(AND($L653*1&gt;=$G$3,$L653*1&lt;=$G$4,$I653*$J653&gt;0,OR($I653&lt;&gt;$I654,$L653-$L654&gt;25),$I653/POW(10,$J653)*MAXIFS(Token!$B:$B,Token!$A:$A,$K653)&gt;0.01),$L653/86400+DATE(1970,1,1)+$G$6,)</f>
        <v/>
      </c>
      <c r="B653" s="27" t="str">
        <f t="shared" si="1"/>
        <v/>
      </c>
      <c r="C653" s="14" t="str">
        <f>IF($A653&lt;&gt;"",MINIFS(Merchant!$A:$A,Merchant!$B:$B,$G$2),)</f>
        <v/>
      </c>
      <c r="D653" s="14" t="str">
        <f t="shared" si="2"/>
        <v/>
      </c>
      <c r="E653" s="14" t="str">
        <f t="shared" si="3"/>
        <v/>
      </c>
      <c r="F653" s="7" t="str">
        <f>IF($A653&lt;&gt;"",MAXIFS(Token!$B:$B,Token!$A:$A,$D653),)</f>
        <v/>
      </c>
    </row>
    <row r="654">
      <c r="A654" s="39" t="str">
        <f>IF(AND($L654*1&gt;=$G$3,$L654*1&lt;=$G$4,$I654*$J654&gt;0,OR($I654&lt;&gt;$I655,$L654-$L655&gt;25),$I654/POW(10,$J654)*MAXIFS(Token!$B:$B,Token!$A:$A,$K654)&gt;0.01),$L654/86400+DATE(1970,1,1)+$G$6,)</f>
        <v/>
      </c>
      <c r="B654" s="27" t="str">
        <f t="shared" si="1"/>
        <v/>
      </c>
      <c r="C654" s="14" t="str">
        <f>IF($A654&lt;&gt;"",MINIFS(Merchant!$A:$A,Merchant!$B:$B,$G$2),)</f>
        <v/>
      </c>
      <c r="D654" s="14" t="str">
        <f t="shared" si="2"/>
        <v/>
      </c>
      <c r="E654" s="14" t="str">
        <f t="shared" si="3"/>
        <v/>
      </c>
      <c r="F654" s="7" t="str">
        <f>IF($A654&lt;&gt;"",MAXIFS(Token!$B:$B,Token!$A:$A,$D654),)</f>
        <v/>
      </c>
    </row>
    <row r="655">
      <c r="A655" s="39" t="str">
        <f>IF(AND($L655*1&gt;=$G$3,$L655*1&lt;=$G$4,$I655*$J655&gt;0,OR($I655&lt;&gt;$I656,$L655-$L656&gt;25),$I655/POW(10,$J655)*MAXIFS(Token!$B:$B,Token!$A:$A,$K655)&gt;0.01),$L655/86400+DATE(1970,1,1)+$G$6,)</f>
        <v/>
      </c>
      <c r="B655" s="27" t="str">
        <f t="shared" si="1"/>
        <v/>
      </c>
      <c r="C655" s="14" t="str">
        <f>IF($A655&lt;&gt;"",MINIFS(Merchant!$A:$A,Merchant!$B:$B,$G$2),)</f>
        <v/>
      </c>
      <c r="D655" s="14" t="str">
        <f t="shared" si="2"/>
        <v/>
      </c>
      <c r="E655" s="14" t="str">
        <f t="shared" si="3"/>
        <v/>
      </c>
      <c r="F655" s="7" t="str">
        <f>IF($A655&lt;&gt;"",MAXIFS(Token!$B:$B,Token!$A:$A,$D655),)</f>
        <v/>
      </c>
    </row>
    <row r="656">
      <c r="A656" s="39" t="str">
        <f>IF(AND($L656*1&gt;=$G$3,$L656*1&lt;=$G$4,$I656*$J656&gt;0,OR($I656&lt;&gt;$I657,$L656-$L657&gt;25),$I656/POW(10,$J656)*MAXIFS(Token!$B:$B,Token!$A:$A,$K656)&gt;0.01),$L656/86400+DATE(1970,1,1)+$G$6,)</f>
        <v/>
      </c>
      <c r="B656" s="27" t="str">
        <f t="shared" si="1"/>
        <v/>
      </c>
      <c r="C656" s="14" t="str">
        <f>IF($A656&lt;&gt;"",MINIFS(Merchant!$A:$A,Merchant!$B:$B,$G$2),)</f>
        <v/>
      </c>
      <c r="D656" s="14" t="str">
        <f t="shared" si="2"/>
        <v/>
      </c>
      <c r="E656" s="14" t="str">
        <f t="shared" si="3"/>
        <v/>
      </c>
      <c r="F656" s="7" t="str">
        <f>IF($A656&lt;&gt;"",MAXIFS(Token!$B:$B,Token!$A:$A,$D656),)</f>
        <v/>
      </c>
    </row>
    <row r="657">
      <c r="A657" s="39" t="str">
        <f>IF(AND($L657*1&gt;=$G$3,$L657*1&lt;=$G$4,$I657*$J657&gt;0,OR($I657&lt;&gt;$I658,$L657-$L658&gt;25),$I657/POW(10,$J657)*MAXIFS(Token!$B:$B,Token!$A:$A,$K657)&gt;0.01),$L657/86400+DATE(1970,1,1)+$G$6,)</f>
        <v/>
      </c>
      <c r="B657" s="27" t="str">
        <f t="shared" si="1"/>
        <v/>
      </c>
      <c r="C657" s="14" t="str">
        <f>IF($A657&lt;&gt;"",MINIFS(Merchant!$A:$A,Merchant!$B:$B,$G$2),)</f>
        <v/>
      </c>
      <c r="D657" s="14" t="str">
        <f t="shared" si="2"/>
        <v/>
      </c>
      <c r="E657" s="14" t="str">
        <f t="shared" si="3"/>
        <v/>
      </c>
      <c r="F657" s="7" t="str">
        <f>IF($A657&lt;&gt;"",MAXIFS(Token!$B:$B,Token!$A:$A,$D657),)</f>
        <v/>
      </c>
    </row>
    <row r="658">
      <c r="A658" s="39" t="str">
        <f>IF(AND($L658*1&gt;=$G$3,$L658*1&lt;=$G$4,$I658*$J658&gt;0,OR($I658&lt;&gt;$I659,$L658-$L659&gt;25),$I658/POW(10,$J658)*MAXIFS(Token!$B:$B,Token!$A:$A,$K658)&gt;0.01),$L658/86400+DATE(1970,1,1)+$G$6,)</f>
        <v/>
      </c>
      <c r="B658" s="27" t="str">
        <f t="shared" si="1"/>
        <v/>
      </c>
      <c r="C658" s="14" t="str">
        <f>IF($A658&lt;&gt;"",MINIFS(Merchant!$A:$A,Merchant!$B:$B,$G$2),)</f>
        <v/>
      </c>
      <c r="D658" s="14" t="str">
        <f t="shared" si="2"/>
        <v/>
      </c>
      <c r="E658" s="14" t="str">
        <f t="shared" si="3"/>
        <v/>
      </c>
      <c r="F658" s="7" t="str">
        <f>IF($A658&lt;&gt;"",MAXIFS(Token!$B:$B,Token!$A:$A,$D658),)</f>
        <v/>
      </c>
    </row>
    <row r="659">
      <c r="A659" s="39" t="str">
        <f>IF(AND($L659*1&gt;=$G$3,$L659*1&lt;=$G$4,$I659*$J659&gt;0,OR($I659&lt;&gt;$I660,$L659-$L660&gt;25),$I659/POW(10,$J659)*MAXIFS(Token!$B:$B,Token!$A:$A,$K659)&gt;0.01),$L659/86400+DATE(1970,1,1)+$G$6,)</f>
        <v/>
      </c>
      <c r="B659" s="27" t="str">
        <f t="shared" si="1"/>
        <v/>
      </c>
      <c r="C659" s="14" t="str">
        <f>IF($A659&lt;&gt;"",MINIFS(Merchant!$A:$A,Merchant!$B:$B,$G$2),)</f>
        <v/>
      </c>
      <c r="D659" s="14" t="str">
        <f t="shared" si="2"/>
        <v/>
      </c>
      <c r="E659" s="14" t="str">
        <f t="shared" si="3"/>
        <v/>
      </c>
      <c r="F659" s="7" t="str">
        <f>IF($A659&lt;&gt;"",MAXIFS(Token!$B:$B,Token!$A:$A,$D659),)</f>
        <v/>
      </c>
    </row>
    <row r="660">
      <c r="A660" s="39" t="str">
        <f>IF(AND($L660*1&gt;=$G$3,$L660*1&lt;=$G$4,$I660*$J660&gt;0,OR($I660&lt;&gt;$I661,$L660-$L661&gt;25),$I660/POW(10,$J660)*MAXIFS(Token!$B:$B,Token!$A:$A,$K660)&gt;0.01),$L660/86400+DATE(1970,1,1)+$G$6,)</f>
        <v/>
      </c>
      <c r="B660" s="27" t="str">
        <f t="shared" si="1"/>
        <v/>
      </c>
      <c r="C660" s="14" t="str">
        <f>IF($A660&lt;&gt;"",MINIFS(Merchant!$A:$A,Merchant!$B:$B,$G$2),)</f>
        <v/>
      </c>
      <c r="D660" s="14" t="str">
        <f t="shared" si="2"/>
        <v/>
      </c>
      <c r="E660" s="14" t="str">
        <f t="shared" si="3"/>
        <v/>
      </c>
      <c r="F660" s="7" t="str">
        <f>IF($A660&lt;&gt;"",MAXIFS(Token!$B:$B,Token!$A:$A,$D660),)</f>
        <v/>
      </c>
    </row>
    <row r="661">
      <c r="A661" s="39" t="str">
        <f>IF(AND($L661*1&gt;=$G$3,$L661*1&lt;=$G$4,$I661*$J661&gt;0,OR($I661&lt;&gt;$I662,$L661-$L662&gt;25),$I661/POW(10,$J661)*MAXIFS(Token!$B:$B,Token!$A:$A,$K661)&gt;0.01),$L661/86400+DATE(1970,1,1)+$G$6,)</f>
        <v/>
      </c>
      <c r="B661" s="27" t="str">
        <f t="shared" si="1"/>
        <v/>
      </c>
      <c r="C661" s="14" t="str">
        <f>IF($A661&lt;&gt;"",MINIFS(Merchant!$A:$A,Merchant!$B:$B,$G$2),)</f>
        <v/>
      </c>
      <c r="D661" s="14" t="str">
        <f t="shared" si="2"/>
        <v/>
      </c>
      <c r="E661" s="14" t="str">
        <f t="shared" si="3"/>
        <v/>
      </c>
      <c r="F661" s="7" t="str">
        <f>IF($A661&lt;&gt;"",MAXIFS(Token!$B:$B,Token!$A:$A,$D661),)</f>
        <v/>
      </c>
    </row>
    <row r="662">
      <c r="A662" s="39" t="str">
        <f>IF(AND($L662*1&gt;=$G$3,$L662*1&lt;=$G$4,$I662*$J662&gt;0,OR($I662&lt;&gt;$I663,$L662-$L663&gt;25),$I662/POW(10,$J662)*MAXIFS(Token!$B:$B,Token!$A:$A,$K662)&gt;0.01),$L662/86400+DATE(1970,1,1)+$G$6,)</f>
        <v/>
      </c>
      <c r="B662" s="27" t="str">
        <f t="shared" si="1"/>
        <v/>
      </c>
      <c r="C662" s="14" t="str">
        <f>IF($A662&lt;&gt;"",MINIFS(Merchant!$A:$A,Merchant!$B:$B,$G$2),)</f>
        <v/>
      </c>
      <c r="D662" s="14" t="str">
        <f t="shared" si="2"/>
        <v/>
      </c>
      <c r="E662" s="14" t="str">
        <f t="shared" si="3"/>
        <v/>
      </c>
      <c r="F662" s="7" t="str">
        <f>IF($A662&lt;&gt;"",MAXIFS(Token!$B:$B,Token!$A:$A,$D662),)</f>
        <v/>
      </c>
    </row>
    <row r="663">
      <c r="A663" s="39" t="str">
        <f>IF(AND($L663*1&gt;=$G$3,$L663*1&lt;=$G$4,$I663*$J663&gt;0,OR($I663&lt;&gt;$I664,$L663-$L664&gt;25),$I663/POW(10,$J663)*MAXIFS(Token!$B:$B,Token!$A:$A,$K663)&gt;0.01),$L663/86400+DATE(1970,1,1)+$G$6,)</f>
        <v/>
      </c>
      <c r="B663" s="27" t="str">
        <f t="shared" si="1"/>
        <v/>
      </c>
      <c r="C663" s="14" t="str">
        <f>IF($A663&lt;&gt;"",MINIFS(Merchant!$A:$A,Merchant!$B:$B,$G$2),)</f>
        <v/>
      </c>
      <c r="D663" s="14" t="str">
        <f t="shared" si="2"/>
        <v/>
      </c>
      <c r="E663" s="14" t="str">
        <f t="shared" si="3"/>
        <v/>
      </c>
      <c r="F663" s="7" t="str">
        <f>IF($A663&lt;&gt;"",MAXIFS(Token!$B:$B,Token!$A:$A,$D663),)</f>
        <v/>
      </c>
    </row>
    <row r="664">
      <c r="A664" s="39" t="str">
        <f>IF(AND($L664*1&gt;=$G$3,$L664*1&lt;=$G$4,$I664*$J664&gt;0,OR($I664&lt;&gt;$I665,$L664-$L665&gt;25),$I664/POW(10,$J664)*MAXIFS(Token!$B:$B,Token!$A:$A,$K664)&gt;0.01),$L664/86400+DATE(1970,1,1)+$G$6,)</f>
        <v/>
      </c>
      <c r="B664" s="27" t="str">
        <f t="shared" si="1"/>
        <v/>
      </c>
      <c r="C664" s="14" t="str">
        <f>IF($A664&lt;&gt;"",MINIFS(Merchant!$A:$A,Merchant!$B:$B,$G$2),)</f>
        <v/>
      </c>
      <c r="D664" s="14" t="str">
        <f t="shared" si="2"/>
        <v/>
      </c>
      <c r="E664" s="14" t="str">
        <f t="shared" si="3"/>
        <v/>
      </c>
      <c r="F664" s="7" t="str">
        <f>IF($A664&lt;&gt;"",MAXIFS(Token!$B:$B,Token!$A:$A,$D664),)</f>
        <v/>
      </c>
    </row>
    <row r="665">
      <c r="A665" s="39" t="str">
        <f>IF(AND($L665*1&gt;=$G$3,$L665*1&lt;=$G$4,$I665*$J665&gt;0,OR($I665&lt;&gt;$I666,$L665-$L666&gt;25),$I665/POW(10,$J665)*MAXIFS(Token!$B:$B,Token!$A:$A,$K665)&gt;0.01),$L665/86400+DATE(1970,1,1)+$G$6,)</f>
        <v/>
      </c>
      <c r="B665" s="27" t="str">
        <f t="shared" si="1"/>
        <v/>
      </c>
      <c r="C665" s="14" t="str">
        <f>IF($A665&lt;&gt;"",MINIFS(Merchant!$A:$A,Merchant!$B:$B,$G$2),)</f>
        <v/>
      </c>
      <c r="D665" s="14" t="str">
        <f t="shared" si="2"/>
        <v/>
      </c>
      <c r="E665" s="14" t="str">
        <f t="shared" si="3"/>
        <v/>
      </c>
      <c r="F665" s="7" t="str">
        <f>IF($A665&lt;&gt;"",MAXIFS(Token!$B:$B,Token!$A:$A,$D665),)</f>
        <v/>
      </c>
    </row>
    <row r="666">
      <c r="A666" s="39" t="str">
        <f>IF(AND($L666*1&gt;=$G$3,$L666*1&lt;=$G$4,$I666*$J666&gt;0,OR($I666&lt;&gt;$I667,$L666-$L667&gt;25),$I666/POW(10,$J666)*MAXIFS(Token!$B:$B,Token!$A:$A,$K666)&gt;0.01),$L666/86400+DATE(1970,1,1)+$G$6,)</f>
        <v/>
      </c>
      <c r="B666" s="27" t="str">
        <f t="shared" si="1"/>
        <v/>
      </c>
      <c r="C666" s="14" t="str">
        <f>IF($A666&lt;&gt;"",MINIFS(Merchant!$A:$A,Merchant!$B:$B,$G$2),)</f>
        <v/>
      </c>
      <c r="D666" s="14" t="str">
        <f t="shared" si="2"/>
        <v/>
      </c>
      <c r="E666" s="14" t="str">
        <f t="shared" si="3"/>
        <v/>
      </c>
      <c r="F666" s="7" t="str">
        <f>IF($A666&lt;&gt;"",MAXIFS(Token!$B:$B,Token!$A:$A,$D666),)</f>
        <v/>
      </c>
    </row>
    <row r="667">
      <c r="A667" s="39" t="str">
        <f>IF(AND($L667*1&gt;=$G$3,$L667*1&lt;=$G$4,$I667*$J667&gt;0,OR($I667&lt;&gt;$I668,$L667-$L668&gt;25),$I667/POW(10,$J667)*MAXIFS(Token!$B:$B,Token!$A:$A,$K667)&gt;0.01),$L667/86400+DATE(1970,1,1)+$G$6,)</f>
        <v/>
      </c>
      <c r="B667" s="27" t="str">
        <f t="shared" si="1"/>
        <v/>
      </c>
      <c r="C667" s="14" t="str">
        <f>IF($A667&lt;&gt;"",MINIFS(Merchant!$A:$A,Merchant!$B:$B,$G$2),)</f>
        <v/>
      </c>
      <c r="D667" s="14" t="str">
        <f t="shared" si="2"/>
        <v/>
      </c>
      <c r="E667" s="14" t="str">
        <f t="shared" si="3"/>
        <v/>
      </c>
      <c r="F667" s="7" t="str">
        <f>IF($A667&lt;&gt;"",MAXIFS(Token!$B:$B,Token!$A:$A,$D667),)</f>
        <v/>
      </c>
    </row>
    <row r="668">
      <c r="A668" s="39" t="str">
        <f>IF(AND($L668*1&gt;=$G$3,$L668*1&lt;=$G$4,$I668*$J668&gt;0,OR($I668&lt;&gt;$I669,$L668-$L669&gt;25),$I668/POW(10,$J668)*MAXIFS(Token!$B:$B,Token!$A:$A,$K668)&gt;0.01),$L668/86400+DATE(1970,1,1)+$G$6,)</f>
        <v/>
      </c>
      <c r="B668" s="27" t="str">
        <f t="shared" si="1"/>
        <v/>
      </c>
      <c r="C668" s="14" t="str">
        <f>IF($A668&lt;&gt;"",MINIFS(Merchant!$A:$A,Merchant!$B:$B,$G$2),)</f>
        <v/>
      </c>
      <c r="D668" s="14" t="str">
        <f t="shared" si="2"/>
        <v/>
      </c>
      <c r="E668" s="14" t="str">
        <f t="shared" si="3"/>
        <v/>
      </c>
      <c r="F668" s="7" t="str">
        <f>IF($A668&lt;&gt;"",MAXIFS(Token!$B:$B,Token!$A:$A,$D668),)</f>
        <v/>
      </c>
    </row>
    <row r="669">
      <c r="A669" s="39" t="str">
        <f>IF(AND($L669*1&gt;=$G$3,$L669*1&lt;=$G$4,$I669*$J669&gt;0,OR($I669&lt;&gt;$I670,$L669-$L670&gt;25),$I669/POW(10,$J669)*MAXIFS(Token!$B:$B,Token!$A:$A,$K669)&gt;0.01),$L669/86400+DATE(1970,1,1)+$G$6,)</f>
        <v/>
      </c>
      <c r="B669" s="27" t="str">
        <f t="shared" si="1"/>
        <v/>
      </c>
      <c r="C669" s="14" t="str">
        <f>IF($A669&lt;&gt;"",MINIFS(Merchant!$A:$A,Merchant!$B:$B,$G$2),)</f>
        <v/>
      </c>
      <c r="D669" s="14" t="str">
        <f t="shared" si="2"/>
        <v/>
      </c>
      <c r="E669" s="14" t="str">
        <f t="shared" si="3"/>
        <v/>
      </c>
      <c r="F669" s="7" t="str">
        <f>IF($A669&lt;&gt;"",MAXIFS(Token!$B:$B,Token!$A:$A,$D669),)</f>
        <v/>
      </c>
    </row>
    <row r="670">
      <c r="A670" s="39" t="str">
        <f>IF(AND($L670*1&gt;=$G$3,$L670*1&lt;=$G$4,$I670*$J670&gt;0,OR($I670&lt;&gt;$I671,$L670-$L671&gt;25),$I670/POW(10,$J670)*MAXIFS(Token!$B:$B,Token!$A:$A,$K670)&gt;0.01),$L670/86400+DATE(1970,1,1)+$G$6,)</f>
        <v/>
      </c>
      <c r="B670" s="27" t="str">
        <f t="shared" si="1"/>
        <v/>
      </c>
      <c r="C670" s="14" t="str">
        <f>IF($A670&lt;&gt;"",MINIFS(Merchant!$A:$A,Merchant!$B:$B,$G$2),)</f>
        <v/>
      </c>
      <c r="D670" s="14" t="str">
        <f t="shared" si="2"/>
        <v/>
      </c>
      <c r="E670" s="14" t="str">
        <f t="shared" si="3"/>
        <v/>
      </c>
      <c r="F670" s="7" t="str">
        <f>IF($A670&lt;&gt;"",MAXIFS(Token!$B:$B,Token!$A:$A,$D670),)</f>
        <v/>
      </c>
    </row>
    <row r="671">
      <c r="A671" s="39" t="str">
        <f>IF(AND($L671*1&gt;=$G$3,$L671*1&lt;=$G$4,$I671*$J671&gt;0,OR($I671&lt;&gt;$I672,$L671-$L672&gt;25),$I671/POW(10,$J671)*MAXIFS(Token!$B:$B,Token!$A:$A,$K671)&gt;0.01),$L671/86400+DATE(1970,1,1)+$G$6,)</f>
        <v/>
      </c>
      <c r="B671" s="27" t="str">
        <f t="shared" si="1"/>
        <v/>
      </c>
      <c r="C671" s="14" t="str">
        <f>IF($A671&lt;&gt;"",MINIFS(Merchant!$A:$A,Merchant!$B:$B,$G$2),)</f>
        <v/>
      </c>
      <c r="D671" s="14" t="str">
        <f t="shared" si="2"/>
        <v/>
      </c>
      <c r="E671" s="14" t="str">
        <f t="shared" si="3"/>
        <v/>
      </c>
      <c r="F671" s="7" t="str">
        <f>IF($A671&lt;&gt;"",MAXIFS(Token!$B:$B,Token!$A:$A,$D671),)</f>
        <v/>
      </c>
    </row>
    <row r="672">
      <c r="A672" s="39" t="str">
        <f>IF(AND($L672*1&gt;=$G$3,$L672*1&lt;=$G$4,$I672*$J672&gt;0,OR($I672&lt;&gt;$I673,$L672-$L673&gt;25),$I672/POW(10,$J672)*MAXIFS(Token!$B:$B,Token!$A:$A,$K672)&gt;0.01),$L672/86400+DATE(1970,1,1)+$G$6,)</f>
        <v/>
      </c>
      <c r="B672" s="27" t="str">
        <f t="shared" si="1"/>
        <v/>
      </c>
      <c r="C672" s="14" t="str">
        <f>IF($A672&lt;&gt;"",MINIFS(Merchant!$A:$A,Merchant!$B:$B,$G$2),)</f>
        <v/>
      </c>
      <c r="D672" s="14" t="str">
        <f t="shared" si="2"/>
        <v/>
      </c>
      <c r="E672" s="14" t="str">
        <f t="shared" si="3"/>
        <v/>
      </c>
      <c r="F672" s="7" t="str">
        <f>IF($A672&lt;&gt;"",MAXIFS(Token!$B:$B,Token!$A:$A,$D672),)</f>
        <v/>
      </c>
    </row>
    <row r="673">
      <c r="A673" s="39" t="str">
        <f>IF(AND($L673*1&gt;=$G$3,$L673*1&lt;=$G$4,$I673*$J673&gt;0,OR($I673&lt;&gt;$I674,$L673-$L674&gt;25),$I673/POW(10,$J673)*MAXIFS(Token!$B:$B,Token!$A:$A,$K673)&gt;0.01),$L673/86400+DATE(1970,1,1)+$G$6,)</f>
        <v/>
      </c>
      <c r="B673" s="27" t="str">
        <f t="shared" si="1"/>
        <v/>
      </c>
      <c r="C673" s="14" t="str">
        <f>IF($A673&lt;&gt;"",MINIFS(Merchant!$A:$A,Merchant!$B:$B,$G$2),)</f>
        <v/>
      </c>
      <c r="D673" s="14" t="str">
        <f t="shared" si="2"/>
        <v/>
      </c>
      <c r="E673" s="14" t="str">
        <f t="shared" si="3"/>
        <v/>
      </c>
      <c r="F673" s="7" t="str">
        <f>IF($A673&lt;&gt;"",MAXIFS(Token!$B:$B,Token!$A:$A,$D673),)</f>
        <v/>
      </c>
    </row>
    <row r="674">
      <c r="A674" s="39" t="str">
        <f>IF(AND($L674*1&gt;=$G$3,$L674*1&lt;=$G$4,$I674*$J674&gt;0,OR($I674&lt;&gt;$I675,$L674-$L675&gt;25),$I674/POW(10,$J674)*MAXIFS(Token!$B:$B,Token!$A:$A,$K674)&gt;0.01),$L674/86400+DATE(1970,1,1)+$G$6,)</f>
        <v/>
      </c>
      <c r="B674" s="27" t="str">
        <f t="shared" si="1"/>
        <v/>
      </c>
      <c r="C674" s="14" t="str">
        <f>IF($A674&lt;&gt;"",MINIFS(Merchant!$A:$A,Merchant!$B:$B,$G$2),)</f>
        <v/>
      </c>
      <c r="D674" s="14" t="str">
        <f t="shared" si="2"/>
        <v/>
      </c>
      <c r="E674" s="14" t="str">
        <f t="shared" si="3"/>
        <v/>
      </c>
      <c r="F674" s="7" t="str">
        <f>IF($A674&lt;&gt;"",MAXIFS(Token!$B:$B,Token!$A:$A,$D674),)</f>
        <v/>
      </c>
    </row>
    <row r="675">
      <c r="A675" s="39" t="str">
        <f>IF(AND($L675*1&gt;=$G$3,$L675*1&lt;=$G$4,$I675*$J675&gt;0,OR($I675&lt;&gt;$I676,$L675-$L676&gt;25),$I675/POW(10,$J675)*MAXIFS(Token!$B:$B,Token!$A:$A,$K675)&gt;0.01),$L675/86400+DATE(1970,1,1)+$G$6,)</f>
        <v/>
      </c>
      <c r="B675" s="27" t="str">
        <f t="shared" si="1"/>
        <v/>
      </c>
      <c r="C675" s="14" t="str">
        <f>IF($A675&lt;&gt;"",MINIFS(Merchant!$A:$A,Merchant!$B:$B,$G$2),)</f>
        <v/>
      </c>
      <c r="D675" s="14" t="str">
        <f t="shared" si="2"/>
        <v/>
      </c>
      <c r="E675" s="14" t="str">
        <f t="shared" si="3"/>
        <v/>
      </c>
      <c r="F675" s="7" t="str">
        <f>IF($A675&lt;&gt;"",MAXIFS(Token!$B:$B,Token!$A:$A,$D675),)</f>
        <v/>
      </c>
    </row>
    <row r="676">
      <c r="A676" s="39" t="str">
        <f>IF(AND($L676*1&gt;=$G$3,$L676*1&lt;=$G$4,$I676*$J676&gt;0,OR($I676&lt;&gt;$I677,$L676-$L677&gt;25),$I676/POW(10,$J676)*MAXIFS(Token!$B:$B,Token!$A:$A,$K676)&gt;0.01),$L676/86400+DATE(1970,1,1)+$G$6,)</f>
        <v/>
      </c>
      <c r="B676" s="27" t="str">
        <f t="shared" si="1"/>
        <v/>
      </c>
      <c r="C676" s="14" t="str">
        <f>IF($A676&lt;&gt;"",MINIFS(Merchant!$A:$A,Merchant!$B:$B,$G$2),)</f>
        <v/>
      </c>
      <c r="D676" s="14" t="str">
        <f t="shared" si="2"/>
        <v/>
      </c>
      <c r="E676" s="14" t="str">
        <f t="shared" si="3"/>
        <v/>
      </c>
      <c r="F676" s="7" t="str">
        <f>IF($A676&lt;&gt;"",MAXIFS(Token!$B:$B,Token!$A:$A,$D676),)</f>
        <v/>
      </c>
    </row>
    <row r="677">
      <c r="A677" s="39" t="str">
        <f>IF(AND($L677*1&gt;=$G$3,$L677*1&lt;=$G$4,$I677*$J677&gt;0,OR($I677&lt;&gt;$I678,$L677-$L678&gt;25),$I677/POW(10,$J677)*MAXIFS(Token!$B:$B,Token!$A:$A,$K677)&gt;0.01),$L677/86400+DATE(1970,1,1)+$G$6,)</f>
        <v/>
      </c>
      <c r="B677" s="27" t="str">
        <f t="shared" si="1"/>
        <v/>
      </c>
      <c r="C677" s="14" t="str">
        <f>IF($A677&lt;&gt;"",MINIFS(Merchant!$A:$A,Merchant!$B:$B,$G$2),)</f>
        <v/>
      </c>
      <c r="D677" s="14" t="str">
        <f t="shared" si="2"/>
        <v/>
      </c>
      <c r="E677" s="14" t="str">
        <f t="shared" si="3"/>
        <v/>
      </c>
      <c r="F677" s="7" t="str">
        <f>IF($A677&lt;&gt;"",MAXIFS(Token!$B:$B,Token!$A:$A,$D677),)</f>
        <v/>
      </c>
    </row>
    <row r="678">
      <c r="A678" s="39" t="str">
        <f>IF(AND($L678*1&gt;=$G$3,$L678*1&lt;=$G$4,$I678*$J678&gt;0,OR($I678&lt;&gt;$I679,$L678-$L679&gt;25),$I678/POW(10,$J678)*MAXIFS(Token!$B:$B,Token!$A:$A,$K678)&gt;0.01),$L678/86400+DATE(1970,1,1)+$G$6,)</f>
        <v/>
      </c>
      <c r="B678" s="27" t="str">
        <f t="shared" si="1"/>
        <v/>
      </c>
      <c r="C678" s="14" t="str">
        <f>IF($A678&lt;&gt;"",MINIFS(Merchant!$A:$A,Merchant!$B:$B,$G$2),)</f>
        <v/>
      </c>
      <c r="D678" s="14" t="str">
        <f t="shared" si="2"/>
        <v/>
      </c>
      <c r="E678" s="14" t="str">
        <f t="shared" si="3"/>
        <v/>
      </c>
      <c r="F678" s="7" t="str">
        <f>IF($A678&lt;&gt;"",MAXIFS(Token!$B:$B,Token!$A:$A,$D678),)</f>
        <v/>
      </c>
    </row>
    <row r="679">
      <c r="A679" s="39" t="str">
        <f>IF(AND($L679*1&gt;=$G$3,$L679*1&lt;=$G$4,$I679*$J679&gt;0,OR($I679&lt;&gt;$I680,$L679-$L680&gt;25),$I679/POW(10,$J679)*MAXIFS(Token!$B:$B,Token!$A:$A,$K679)&gt;0.01),$L679/86400+DATE(1970,1,1)+$G$6,)</f>
        <v/>
      </c>
      <c r="B679" s="27" t="str">
        <f t="shared" si="1"/>
        <v/>
      </c>
      <c r="C679" s="14" t="str">
        <f>IF($A679&lt;&gt;"",MINIFS(Merchant!$A:$A,Merchant!$B:$B,$G$2),)</f>
        <v/>
      </c>
      <c r="D679" s="14" t="str">
        <f t="shared" si="2"/>
        <v/>
      </c>
      <c r="E679" s="14" t="str">
        <f t="shared" si="3"/>
        <v/>
      </c>
      <c r="F679" s="7" t="str">
        <f>IF($A679&lt;&gt;"",MAXIFS(Token!$B:$B,Token!$A:$A,$D679),)</f>
        <v/>
      </c>
    </row>
    <row r="680">
      <c r="A680" s="39" t="str">
        <f>IF(AND($L680*1&gt;=$G$3,$L680*1&lt;=$G$4,$I680*$J680&gt;0,OR($I680&lt;&gt;$I681,$L680-$L681&gt;25),$I680/POW(10,$J680)*MAXIFS(Token!$B:$B,Token!$A:$A,$K680)&gt;0.01),$L680/86400+DATE(1970,1,1)+$G$6,)</f>
        <v/>
      </c>
      <c r="B680" s="27" t="str">
        <f t="shared" si="1"/>
        <v/>
      </c>
      <c r="C680" s="14" t="str">
        <f>IF($A680&lt;&gt;"",MINIFS(Merchant!$A:$A,Merchant!$B:$B,$G$2),)</f>
        <v/>
      </c>
      <c r="D680" s="14" t="str">
        <f t="shared" si="2"/>
        <v/>
      </c>
      <c r="E680" s="14" t="str">
        <f t="shared" si="3"/>
        <v/>
      </c>
      <c r="F680" s="7" t="str">
        <f>IF($A680&lt;&gt;"",MAXIFS(Token!$B:$B,Token!$A:$A,$D680),)</f>
        <v/>
      </c>
    </row>
    <row r="681">
      <c r="A681" s="39" t="str">
        <f>IF(AND($L681*1&gt;=$G$3,$L681*1&lt;=$G$4,$I681*$J681&gt;0,OR($I681&lt;&gt;$I682,$L681-$L682&gt;25),$I681/POW(10,$J681)*MAXIFS(Token!$B:$B,Token!$A:$A,$K681)&gt;0.01),$L681/86400+DATE(1970,1,1)+$G$6,)</f>
        <v/>
      </c>
      <c r="B681" s="27" t="str">
        <f t="shared" si="1"/>
        <v/>
      </c>
      <c r="C681" s="14" t="str">
        <f>IF($A681&lt;&gt;"",MINIFS(Merchant!$A:$A,Merchant!$B:$B,$G$2),)</f>
        <v/>
      </c>
      <c r="D681" s="14" t="str">
        <f t="shared" si="2"/>
        <v/>
      </c>
      <c r="E681" s="14" t="str">
        <f t="shared" si="3"/>
        <v/>
      </c>
      <c r="F681" s="7" t="str">
        <f>IF($A681&lt;&gt;"",MAXIFS(Token!$B:$B,Token!$A:$A,$D681),)</f>
        <v/>
      </c>
    </row>
    <row r="682">
      <c r="A682" s="39" t="str">
        <f>IF(AND($L682*1&gt;=$G$3,$L682*1&lt;=$G$4,$I682*$J682&gt;0,OR($I682&lt;&gt;$I683,$L682-$L683&gt;25),$I682/POW(10,$J682)*MAXIFS(Token!$B:$B,Token!$A:$A,$K682)&gt;0.01),$L682/86400+DATE(1970,1,1)+$G$6,)</f>
        <v/>
      </c>
      <c r="B682" s="27" t="str">
        <f t="shared" si="1"/>
        <v/>
      </c>
      <c r="C682" s="14" t="str">
        <f>IF($A682&lt;&gt;"",MINIFS(Merchant!$A:$A,Merchant!$B:$B,$G$2),)</f>
        <v/>
      </c>
      <c r="D682" s="14" t="str">
        <f t="shared" si="2"/>
        <v/>
      </c>
      <c r="E682" s="14" t="str">
        <f t="shared" si="3"/>
        <v/>
      </c>
      <c r="F682" s="7" t="str">
        <f>IF($A682&lt;&gt;"",MAXIFS(Token!$B:$B,Token!$A:$A,$D682),)</f>
        <v/>
      </c>
    </row>
    <row r="683">
      <c r="A683" s="39" t="str">
        <f>IF(AND($L683*1&gt;=$G$3,$L683*1&lt;=$G$4,$I683*$J683&gt;0,OR($I683&lt;&gt;$I684,$L683-$L684&gt;25),$I683/POW(10,$J683)*MAXIFS(Token!$B:$B,Token!$A:$A,$K683)&gt;0.01),$L683/86400+DATE(1970,1,1)+$G$6,)</f>
        <v/>
      </c>
      <c r="B683" s="27" t="str">
        <f t="shared" si="1"/>
        <v/>
      </c>
      <c r="C683" s="14" t="str">
        <f>IF($A683&lt;&gt;"",MINIFS(Merchant!$A:$A,Merchant!$B:$B,$G$2),)</f>
        <v/>
      </c>
      <c r="D683" s="14" t="str">
        <f t="shared" si="2"/>
        <v/>
      </c>
      <c r="E683" s="14" t="str">
        <f t="shared" si="3"/>
        <v/>
      </c>
      <c r="F683" s="7" t="str">
        <f>IF($A683&lt;&gt;"",MAXIFS(Token!$B:$B,Token!$A:$A,$D683),)</f>
        <v/>
      </c>
    </row>
    <row r="684">
      <c r="A684" s="39" t="str">
        <f>IF(AND($L684*1&gt;=$G$3,$L684*1&lt;=$G$4,$I684*$J684&gt;0,OR($I684&lt;&gt;$I685,$L684-$L685&gt;25),$I684/POW(10,$J684)*MAXIFS(Token!$B:$B,Token!$A:$A,$K684)&gt;0.01),$L684/86400+DATE(1970,1,1)+$G$6,)</f>
        <v/>
      </c>
      <c r="B684" s="27" t="str">
        <f t="shared" si="1"/>
        <v/>
      </c>
      <c r="C684" s="14" t="str">
        <f>IF($A684&lt;&gt;"",MINIFS(Merchant!$A:$A,Merchant!$B:$B,$G$2),)</f>
        <v/>
      </c>
      <c r="D684" s="14" t="str">
        <f t="shared" si="2"/>
        <v/>
      </c>
      <c r="E684" s="14" t="str">
        <f t="shared" si="3"/>
        <v/>
      </c>
      <c r="F684" s="7" t="str">
        <f>IF($A684&lt;&gt;"",MAXIFS(Token!$B:$B,Token!$A:$A,$D684),)</f>
        <v/>
      </c>
    </row>
    <row r="685">
      <c r="A685" s="39" t="str">
        <f>IF(AND($L685*1&gt;=$G$3,$L685*1&lt;=$G$4,$I685*$J685&gt;0,OR($I685&lt;&gt;$I686,$L685-$L686&gt;25),$I685/POW(10,$J685)*MAXIFS(Token!$B:$B,Token!$A:$A,$K685)&gt;0.01),$L685/86400+DATE(1970,1,1)+$G$6,)</f>
        <v/>
      </c>
      <c r="B685" s="27" t="str">
        <f t="shared" si="1"/>
        <v/>
      </c>
      <c r="C685" s="14" t="str">
        <f>IF($A685&lt;&gt;"",MINIFS(Merchant!$A:$A,Merchant!$B:$B,$G$2),)</f>
        <v/>
      </c>
      <c r="D685" s="14" t="str">
        <f t="shared" si="2"/>
        <v/>
      </c>
      <c r="E685" s="14" t="str">
        <f t="shared" si="3"/>
        <v/>
      </c>
      <c r="F685" s="7" t="str">
        <f>IF($A685&lt;&gt;"",MAXIFS(Token!$B:$B,Token!$A:$A,$D685),)</f>
        <v/>
      </c>
    </row>
    <row r="686">
      <c r="A686" s="39" t="str">
        <f>IF(AND($L686*1&gt;=$G$3,$L686*1&lt;=$G$4,$I686*$J686&gt;0,OR($I686&lt;&gt;$I687,$L686-$L687&gt;25),$I686/POW(10,$J686)*MAXIFS(Token!$B:$B,Token!$A:$A,$K686)&gt;0.01),$L686/86400+DATE(1970,1,1)+$G$6,)</f>
        <v/>
      </c>
      <c r="B686" s="27" t="str">
        <f t="shared" si="1"/>
        <v/>
      </c>
      <c r="C686" s="14" t="str">
        <f>IF($A686&lt;&gt;"",MINIFS(Merchant!$A:$A,Merchant!$B:$B,$G$2),)</f>
        <v/>
      </c>
      <c r="D686" s="14" t="str">
        <f t="shared" si="2"/>
        <v/>
      </c>
      <c r="E686" s="14" t="str">
        <f t="shared" si="3"/>
        <v/>
      </c>
      <c r="F686" s="7" t="str">
        <f>IF($A686&lt;&gt;"",MAXIFS(Token!$B:$B,Token!$A:$A,$D686),)</f>
        <v/>
      </c>
    </row>
    <row r="687">
      <c r="A687" s="39" t="str">
        <f>IF(AND($L687*1&gt;=$G$3,$L687*1&lt;=$G$4,$I687*$J687&gt;0,OR($I687&lt;&gt;$I688,$L687-$L688&gt;25),$I687/POW(10,$J687)*MAXIFS(Token!$B:$B,Token!$A:$A,$K687)&gt;0.01),$L687/86400+DATE(1970,1,1)+$G$6,)</f>
        <v/>
      </c>
      <c r="B687" s="27" t="str">
        <f t="shared" si="1"/>
        <v/>
      </c>
      <c r="C687" s="14" t="str">
        <f>IF($A687&lt;&gt;"",MINIFS(Merchant!$A:$A,Merchant!$B:$B,$G$2),)</f>
        <v/>
      </c>
      <c r="D687" s="14" t="str">
        <f t="shared" si="2"/>
        <v/>
      </c>
      <c r="E687" s="14" t="str">
        <f t="shared" si="3"/>
        <v/>
      </c>
      <c r="F687" s="7" t="str">
        <f>IF($A687&lt;&gt;"",MAXIFS(Token!$B:$B,Token!$A:$A,$D687),)</f>
        <v/>
      </c>
    </row>
    <row r="688">
      <c r="A688" s="39" t="str">
        <f>IF(AND($L688*1&gt;=$G$3,$L688*1&lt;=$G$4,$I688*$J688&gt;0,OR($I688&lt;&gt;$I689,$L688-$L689&gt;25),$I688/POW(10,$J688)*MAXIFS(Token!$B:$B,Token!$A:$A,$K688)&gt;0.01),$L688/86400+DATE(1970,1,1)+$G$6,)</f>
        <v/>
      </c>
      <c r="B688" s="27" t="str">
        <f t="shared" si="1"/>
        <v/>
      </c>
      <c r="C688" s="14" t="str">
        <f>IF($A688&lt;&gt;"",MINIFS(Merchant!$A:$A,Merchant!$B:$B,$G$2),)</f>
        <v/>
      </c>
      <c r="D688" s="14" t="str">
        <f t="shared" si="2"/>
        <v/>
      </c>
      <c r="E688" s="14" t="str">
        <f t="shared" si="3"/>
        <v/>
      </c>
      <c r="F688" s="7" t="str">
        <f>IF($A688&lt;&gt;"",MAXIFS(Token!$B:$B,Token!$A:$A,$D688),)</f>
        <v/>
      </c>
    </row>
    <row r="689">
      <c r="A689" s="39" t="str">
        <f>IF(AND($L689*1&gt;=$G$3,$L689*1&lt;=$G$4,$I689*$J689&gt;0,OR($I689&lt;&gt;$I690,$L689-$L690&gt;25),$I689/POW(10,$J689)*MAXIFS(Token!$B:$B,Token!$A:$A,$K689)&gt;0.01),$L689/86400+DATE(1970,1,1)+$G$6,)</f>
        <v/>
      </c>
      <c r="B689" s="27" t="str">
        <f t="shared" si="1"/>
        <v/>
      </c>
      <c r="C689" s="14" t="str">
        <f>IF($A689&lt;&gt;"",MINIFS(Merchant!$A:$A,Merchant!$B:$B,$G$2),)</f>
        <v/>
      </c>
      <c r="D689" s="14" t="str">
        <f t="shared" si="2"/>
        <v/>
      </c>
      <c r="E689" s="14" t="str">
        <f t="shared" si="3"/>
        <v/>
      </c>
      <c r="F689" s="7" t="str">
        <f>IF($A689&lt;&gt;"",MAXIFS(Token!$B:$B,Token!$A:$A,$D689),)</f>
        <v/>
      </c>
    </row>
    <row r="690">
      <c r="A690" s="39" t="str">
        <f>IF(AND($L690*1&gt;=$G$3,$L690*1&lt;=$G$4,$I690*$J690&gt;0,OR($I690&lt;&gt;$I691,$L690-$L691&gt;25),$I690/POW(10,$J690)*MAXIFS(Token!$B:$B,Token!$A:$A,$K690)&gt;0.01),$L690/86400+DATE(1970,1,1)+$G$6,)</f>
        <v/>
      </c>
      <c r="B690" s="27" t="str">
        <f t="shared" si="1"/>
        <v/>
      </c>
      <c r="C690" s="14" t="str">
        <f>IF($A690&lt;&gt;"",MINIFS(Merchant!$A:$A,Merchant!$B:$B,$G$2),)</f>
        <v/>
      </c>
      <c r="D690" s="14" t="str">
        <f t="shared" si="2"/>
        <v/>
      </c>
      <c r="E690" s="14" t="str">
        <f t="shared" si="3"/>
        <v/>
      </c>
      <c r="F690" s="7" t="str">
        <f>IF($A690&lt;&gt;"",MAXIFS(Token!$B:$B,Token!$A:$A,$D690),)</f>
        <v/>
      </c>
    </row>
    <row r="691">
      <c r="A691" s="39" t="str">
        <f>IF(AND($L691*1&gt;=$G$3,$L691*1&lt;=$G$4,$I691*$J691&gt;0,OR($I691&lt;&gt;$I692,$L691-$L692&gt;25),$I691/POW(10,$J691)*MAXIFS(Token!$B:$B,Token!$A:$A,$K691)&gt;0.01),$L691/86400+DATE(1970,1,1)+$G$6,)</f>
        <v/>
      </c>
      <c r="B691" s="27" t="str">
        <f t="shared" si="1"/>
        <v/>
      </c>
      <c r="C691" s="14" t="str">
        <f>IF($A691&lt;&gt;"",MINIFS(Merchant!$A:$A,Merchant!$B:$B,$G$2),)</f>
        <v/>
      </c>
      <c r="D691" s="14" t="str">
        <f t="shared" si="2"/>
        <v/>
      </c>
      <c r="E691" s="14" t="str">
        <f t="shared" si="3"/>
        <v/>
      </c>
      <c r="F691" s="7" t="str">
        <f>IF($A691&lt;&gt;"",MAXIFS(Token!$B:$B,Token!$A:$A,$D691),)</f>
        <v/>
      </c>
    </row>
    <row r="692">
      <c r="A692" s="39" t="str">
        <f>IF(AND($L692*1&gt;=$G$3,$L692*1&lt;=$G$4,$I692*$J692&gt;0,OR($I692&lt;&gt;$I693,$L692-$L693&gt;25),$I692/POW(10,$J692)*MAXIFS(Token!$B:$B,Token!$A:$A,$K692)&gt;0.01),$L692/86400+DATE(1970,1,1)+$G$6,)</f>
        <v/>
      </c>
      <c r="B692" s="27" t="str">
        <f t="shared" si="1"/>
        <v/>
      </c>
      <c r="C692" s="14" t="str">
        <f>IF($A692&lt;&gt;"",MINIFS(Merchant!$A:$A,Merchant!$B:$B,$G$2),)</f>
        <v/>
      </c>
      <c r="D692" s="14" t="str">
        <f t="shared" si="2"/>
        <v/>
      </c>
      <c r="E692" s="14" t="str">
        <f t="shared" si="3"/>
        <v/>
      </c>
      <c r="F692" s="7" t="str">
        <f>IF($A692&lt;&gt;"",MAXIFS(Token!$B:$B,Token!$A:$A,$D692),)</f>
        <v/>
      </c>
    </row>
    <row r="693">
      <c r="A693" s="39" t="str">
        <f>IF(AND($L693*1&gt;=$G$3,$L693*1&lt;=$G$4,$I693*$J693&gt;0,OR($I693&lt;&gt;$I694,$L693-$L694&gt;25),$I693/POW(10,$J693)*MAXIFS(Token!$B:$B,Token!$A:$A,$K693)&gt;0.01),$L693/86400+DATE(1970,1,1)+$G$6,)</f>
        <v/>
      </c>
      <c r="B693" s="27" t="str">
        <f t="shared" si="1"/>
        <v/>
      </c>
      <c r="C693" s="14" t="str">
        <f>IF($A693&lt;&gt;"",MINIFS(Merchant!$A:$A,Merchant!$B:$B,$G$2),)</f>
        <v/>
      </c>
      <c r="D693" s="14" t="str">
        <f t="shared" si="2"/>
        <v/>
      </c>
      <c r="E693" s="14" t="str">
        <f t="shared" si="3"/>
        <v/>
      </c>
      <c r="F693" s="7" t="str">
        <f>IF($A693&lt;&gt;"",MAXIFS(Token!$B:$B,Token!$A:$A,$D693),)</f>
        <v/>
      </c>
    </row>
    <row r="694">
      <c r="A694" s="39" t="str">
        <f>IF(AND($L694*1&gt;=$G$3,$L694*1&lt;=$G$4,$I694*$J694&gt;0,OR($I694&lt;&gt;$I695,$L694-$L695&gt;25),$I694/POW(10,$J694)*MAXIFS(Token!$B:$B,Token!$A:$A,$K694)&gt;0.01),$L694/86400+DATE(1970,1,1)+$G$6,)</f>
        <v/>
      </c>
      <c r="B694" s="27" t="str">
        <f t="shared" si="1"/>
        <v/>
      </c>
      <c r="C694" s="14" t="str">
        <f>IF($A694&lt;&gt;"",MINIFS(Merchant!$A:$A,Merchant!$B:$B,$G$2),)</f>
        <v/>
      </c>
      <c r="D694" s="14" t="str">
        <f t="shared" si="2"/>
        <v/>
      </c>
      <c r="E694" s="14" t="str">
        <f t="shared" si="3"/>
        <v/>
      </c>
      <c r="F694" s="7" t="str">
        <f>IF($A694&lt;&gt;"",MAXIFS(Token!$B:$B,Token!$A:$A,$D694),)</f>
        <v/>
      </c>
    </row>
    <row r="695">
      <c r="A695" s="39" t="str">
        <f>IF(AND($L695*1&gt;=$G$3,$L695*1&lt;=$G$4,$I695*$J695&gt;0,OR($I695&lt;&gt;$I696,$L695-$L696&gt;25),$I695/POW(10,$J695)*MAXIFS(Token!$B:$B,Token!$A:$A,$K695)&gt;0.01),$L695/86400+DATE(1970,1,1)+$G$6,)</f>
        <v/>
      </c>
      <c r="B695" s="27" t="str">
        <f t="shared" si="1"/>
        <v/>
      </c>
      <c r="C695" s="14" t="str">
        <f>IF($A695&lt;&gt;"",MINIFS(Merchant!$A:$A,Merchant!$B:$B,$G$2),)</f>
        <v/>
      </c>
      <c r="D695" s="14" t="str">
        <f t="shared" si="2"/>
        <v/>
      </c>
      <c r="E695" s="14" t="str">
        <f t="shared" si="3"/>
        <v/>
      </c>
      <c r="F695" s="7" t="str">
        <f>IF($A695&lt;&gt;"",MAXIFS(Token!$B:$B,Token!$A:$A,$D695),)</f>
        <v/>
      </c>
    </row>
    <row r="696">
      <c r="A696" s="39" t="str">
        <f>IF(AND($L696*1&gt;=$G$3,$L696*1&lt;=$G$4,$I696*$J696&gt;0,OR($I696&lt;&gt;$I697,$L696-$L697&gt;25),$I696/POW(10,$J696)*MAXIFS(Token!$B:$B,Token!$A:$A,$K696)&gt;0.01),$L696/86400+DATE(1970,1,1)+$G$6,)</f>
        <v/>
      </c>
      <c r="B696" s="27" t="str">
        <f t="shared" si="1"/>
        <v/>
      </c>
      <c r="C696" s="14" t="str">
        <f>IF($A696&lt;&gt;"",MINIFS(Merchant!$A:$A,Merchant!$B:$B,$G$2),)</f>
        <v/>
      </c>
      <c r="D696" s="14" t="str">
        <f t="shared" si="2"/>
        <v/>
      </c>
      <c r="E696" s="14" t="str">
        <f t="shared" si="3"/>
        <v/>
      </c>
      <c r="F696" s="7" t="str">
        <f>IF($A696&lt;&gt;"",MAXIFS(Token!$B:$B,Token!$A:$A,$D696),)</f>
        <v/>
      </c>
    </row>
    <row r="697">
      <c r="A697" s="39" t="str">
        <f>IF(AND($L697*1&gt;=$G$3,$L697*1&lt;=$G$4,$I697*$J697&gt;0,OR($I697&lt;&gt;$I698,$L697-$L698&gt;25),$I697/POW(10,$J697)*MAXIFS(Token!$B:$B,Token!$A:$A,$K697)&gt;0.01),$L697/86400+DATE(1970,1,1)+$G$6,)</f>
        <v/>
      </c>
      <c r="B697" s="27" t="str">
        <f t="shared" si="1"/>
        <v/>
      </c>
      <c r="C697" s="14" t="str">
        <f>IF($A697&lt;&gt;"",MINIFS(Merchant!$A:$A,Merchant!$B:$B,$G$2),)</f>
        <v/>
      </c>
      <c r="D697" s="14" t="str">
        <f t="shared" si="2"/>
        <v/>
      </c>
      <c r="E697" s="14" t="str">
        <f t="shared" si="3"/>
        <v/>
      </c>
      <c r="F697" s="7" t="str">
        <f>IF($A697&lt;&gt;"",MAXIFS(Token!$B:$B,Token!$A:$A,$D697),)</f>
        <v/>
      </c>
    </row>
    <row r="698">
      <c r="A698" s="39" t="str">
        <f>IF(AND($L698*1&gt;=$G$3,$L698*1&lt;=$G$4,$I698*$J698&gt;0,OR($I698&lt;&gt;$I699,$L698-$L699&gt;25),$I698/POW(10,$J698)*MAXIFS(Token!$B:$B,Token!$A:$A,$K698)&gt;0.01),$L698/86400+DATE(1970,1,1)+$G$6,)</f>
        <v/>
      </c>
      <c r="B698" s="27" t="str">
        <f t="shared" si="1"/>
        <v/>
      </c>
      <c r="C698" s="14" t="str">
        <f>IF($A698&lt;&gt;"",MINIFS(Merchant!$A:$A,Merchant!$B:$B,$G$2),)</f>
        <v/>
      </c>
      <c r="D698" s="14" t="str">
        <f t="shared" si="2"/>
        <v/>
      </c>
      <c r="E698" s="14" t="str">
        <f t="shared" si="3"/>
        <v/>
      </c>
      <c r="F698" s="7" t="str">
        <f>IF($A698&lt;&gt;"",MAXIFS(Token!$B:$B,Token!$A:$A,$D698),)</f>
        <v/>
      </c>
    </row>
    <row r="699">
      <c r="A699" s="39" t="str">
        <f>IF(AND($L699*1&gt;=$G$3,$L699*1&lt;=$G$4,$I699*$J699&gt;0,OR($I699&lt;&gt;$I700,$L699-$L700&gt;25),$I699/POW(10,$J699)*MAXIFS(Token!$B:$B,Token!$A:$A,$K699)&gt;0.01),$L699/86400+DATE(1970,1,1)+$G$6,)</f>
        <v/>
      </c>
      <c r="B699" s="27" t="str">
        <f t="shared" si="1"/>
        <v/>
      </c>
      <c r="C699" s="14" t="str">
        <f>IF($A699&lt;&gt;"",MINIFS(Merchant!$A:$A,Merchant!$B:$B,$G$2),)</f>
        <v/>
      </c>
      <c r="D699" s="14" t="str">
        <f t="shared" si="2"/>
        <v/>
      </c>
      <c r="E699" s="14" t="str">
        <f t="shared" si="3"/>
        <v/>
      </c>
      <c r="F699" s="7" t="str">
        <f>IF($A699&lt;&gt;"",MAXIFS(Token!$B:$B,Token!$A:$A,$D699),)</f>
        <v/>
      </c>
    </row>
    <row r="700">
      <c r="A700" s="39" t="str">
        <f>IF(AND($L700*1&gt;=$G$3,$L700*1&lt;=$G$4,$I700*$J700&gt;0,OR($I700&lt;&gt;$I701,$L700-$L701&gt;25),$I700/POW(10,$J700)*MAXIFS(Token!$B:$B,Token!$A:$A,$K700)&gt;0.01),$L700/86400+DATE(1970,1,1)+$G$6,)</f>
        <v/>
      </c>
      <c r="B700" s="27" t="str">
        <f t="shared" si="1"/>
        <v/>
      </c>
      <c r="C700" s="14" t="str">
        <f>IF($A700&lt;&gt;"",MINIFS(Merchant!$A:$A,Merchant!$B:$B,$G$2),)</f>
        <v/>
      </c>
      <c r="D700" s="14" t="str">
        <f t="shared" si="2"/>
        <v/>
      </c>
      <c r="E700" s="14" t="str">
        <f t="shared" si="3"/>
        <v/>
      </c>
      <c r="F700" s="7" t="str">
        <f>IF($A700&lt;&gt;"",MAXIFS(Token!$B:$B,Token!$A:$A,$D700),)</f>
        <v/>
      </c>
    </row>
    <row r="701">
      <c r="A701" s="39" t="str">
        <f>IF(AND($L701*1&gt;=$G$3,$L701*1&lt;=$G$4,$I701*$J701&gt;0,OR($I701&lt;&gt;$I702,$L701-$L702&gt;25),$I701/POW(10,$J701)*MAXIFS(Token!$B:$B,Token!$A:$A,$K701)&gt;0.01),$L701/86400+DATE(1970,1,1)+$G$6,)</f>
        <v/>
      </c>
      <c r="B701" s="27" t="str">
        <f t="shared" si="1"/>
        <v/>
      </c>
      <c r="C701" s="14" t="str">
        <f>IF($A701&lt;&gt;"",MINIFS(Merchant!$A:$A,Merchant!$B:$B,$G$2),)</f>
        <v/>
      </c>
      <c r="D701" s="14" t="str">
        <f t="shared" si="2"/>
        <v/>
      </c>
      <c r="E701" s="14" t="str">
        <f t="shared" si="3"/>
        <v/>
      </c>
      <c r="F701" s="7" t="str">
        <f>IF($A701&lt;&gt;"",MAXIFS(Token!$B:$B,Token!$A:$A,$D701),)</f>
        <v/>
      </c>
    </row>
    <row r="702">
      <c r="A702" s="39" t="str">
        <f>IF(AND($L702*1&gt;=$G$3,$L702*1&lt;=$G$4,$I702*$J702&gt;0,OR($I702&lt;&gt;$I703,$L702-$L703&gt;25),$I702/POW(10,$J702)*MAXIFS(Token!$B:$B,Token!$A:$A,$K702)&gt;0.01),$L702/86400+DATE(1970,1,1)+$G$6,)</f>
        <v/>
      </c>
      <c r="B702" s="27" t="str">
        <f t="shared" si="1"/>
        <v/>
      </c>
      <c r="C702" s="14" t="str">
        <f>IF($A702&lt;&gt;"",MINIFS(Merchant!$A:$A,Merchant!$B:$B,$G$2),)</f>
        <v/>
      </c>
      <c r="D702" s="14" t="str">
        <f t="shared" si="2"/>
        <v/>
      </c>
      <c r="E702" s="14" t="str">
        <f t="shared" si="3"/>
        <v/>
      </c>
      <c r="F702" s="7" t="str">
        <f>IF($A702&lt;&gt;"",MAXIFS(Token!$B:$B,Token!$A:$A,$D702),)</f>
        <v/>
      </c>
    </row>
    <row r="703">
      <c r="A703" s="39" t="str">
        <f>IF(AND($L703*1&gt;=$G$3,$L703*1&lt;=$G$4,$I703*$J703&gt;0,OR($I703&lt;&gt;$I704,$L703-$L704&gt;25),$I703/POW(10,$J703)*MAXIFS(Token!$B:$B,Token!$A:$A,$K703)&gt;0.01),$L703/86400+DATE(1970,1,1)+$G$6,)</f>
        <v/>
      </c>
      <c r="B703" s="27" t="str">
        <f t="shared" si="1"/>
        <v/>
      </c>
      <c r="C703" s="14" t="str">
        <f>IF($A703&lt;&gt;"",MINIFS(Merchant!$A:$A,Merchant!$B:$B,$G$2),)</f>
        <v/>
      </c>
      <c r="D703" s="14" t="str">
        <f t="shared" si="2"/>
        <v/>
      </c>
      <c r="E703" s="14" t="str">
        <f t="shared" si="3"/>
        <v/>
      </c>
      <c r="F703" s="7" t="str">
        <f>IF($A703&lt;&gt;"",MAXIFS(Token!$B:$B,Token!$A:$A,$D703),)</f>
        <v/>
      </c>
    </row>
    <row r="704">
      <c r="A704" s="39" t="str">
        <f>IF(AND($L704*1&gt;=$G$3,$L704*1&lt;=$G$4,$I704*$J704&gt;0,OR($I704&lt;&gt;$I705,$L704-$L705&gt;25),$I704/POW(10,$J704)*MAXIFS(Token!$B:$B,Token!$A:$A,$K704)&gt;0.01),$L704/86400+DATE(1970,1,1)+$G$6,)</f>
        <v/>
      </c>
      <c r="B704" s="27" t="str">
        <f t="shared" si="1"/>
        <v/>
      </c>
      <c r="C704" s="14" t="str">
        <f>IF($A704&lt;&gt;"",MINIFS(Merchant!$A:$A,Merchant!$B:$B,$G$2),)</f>
        <v/>
      </c>
      <c r="D704" s="14" t="str">
        <f t="shared" si="2"/>
        <v/>
      </c>
      <c r="E704" s="14" t="str">
        <f t="shared" si="3"/>
        <v/>
      </c>
      <c r="F704" s="7" t="str">
        <f>IF($A704&lt;&gt;"",MAXIFS(Token!$B:$B,Token!$A:$A,$D704),)</f>
        <v/>
      </c>
    </row>
    <row r="705">
      <c r="A705" s="39" t="str">
        <f>IF(AND($L705*1&gt;=$G$3,$L705*1&lt;=$G$4,$I705*$J705&gt;0,OR($I705&lt;&gt;$I706,$L705-$L706&gt;25),$I705/POW(10,$J705)*MAXIFS(Token!$B:$B,Token!$A:$A,$K705)&gt;0.01),$L705/86400+DATE(1970,1,1)+$G$6,)</f>
        <v/>
      </c>
      <c r="B705" s="27" t="str">
        <f t="shared" si="1"/>
        <v/>
      </c>
      <c r="C705" s="14" t="str">
        <f>IF($A705&lt;&gt;"",MINIFS(Merchant!$A:$A,Merchant!$B:$B,$G$2),)</f>
        <v/>
      </c>
      <c r="D705" s="14" t="str">
        <f t="shared" si="2"/>
        <v/>
      </c>
      <c r="E705" s="14" t="str">
        <f t="shared" si="3"/>
        <v/>
      </c>
      <c r="F705" s="7" t="str">
        <f>IF($A705&lt;&gt;"",MAXIFS(Token!$B:$B,Token!$A:$A,$D705),)</f>
        <v/>
      </c>
    </row>
    <row r="706">
      <c r="A706" s="39" t="str">
        <f>IF(AND($L706*1&gt;=$G$3,$L706*1&lt;=$G$4,$I706*$J706&gt;0,OR($I706&lt;&gt;$I707,$L706-$L707&gt;25),$I706/POW(10,$J706)*MAXIFS(Token!$B:$B,Token!$A:$A,$K706)&gt;0.01),$L706/86400+DATE(1970,1,1)+$G$6,)</f>
        <v/>
      </c>
      <c r="B706" s="27" t="str">
        <f t="shared" si="1"/>
        <v/>
      </c>
      <c r="C706" s="14" t="str">
        <f>IF($A706&lt;&gt;"",MINIFS(Merchant!$A:$A,Merchant!$B:$B,$G$2),)</f>
        <v/>
      </c>
      <c r="D706" s="14" t="str">
        <f t="shared" si="2"/>
        <v/>
      </c>
      <c r="E706" s="14" t="str">
        <f t="shared" si="3"/>
        <v/>
      </c>
      <c r="F706" s="7" t="str">
        <f>IF($A706&lt;&gt;"",MAXIFS(Token!$B:$B,Token!$A:$A,$D706),)</f>
        <v/>
      </c>
    </row>
    <row r="707">
      <c r="A707" s="39" t="str">
        <f>IF(AND($L707*1&gt;=$G$3,$L707*1&lt;=$G$4,$I707*$J707&gt;0,OR($I707&lt;&gt;$I708,$L707-$L708&gt;25),$I707/POW(10,$J707)*MAXIFS(Token!$B:$B,Token!$A:$A,$K707)&gt;0.01),$L707/86400+DATE(1970,1,1)+$G$6,)</f>
        <v/>
      </c>
      <c r="B707" s="27" t="str">
        <f t="shared" si="1"/>
        <v/>
      </c>
      <c r="C707" s="14" t="str">
        <f>IF($A707&lt;&gt;"",MINIFS(Merchant!$A:$A,Merchant!$B:$B,$G$2),)</f>
        <v/>
      </c>
      <c r="D707" s="14" t="str">
        <f t="shared" si="2"/>
        <v/>
      </c>
      <c r="E707" s="14" t="str">
        <f t="shared" si="3"/>
        <v/>
      </c>
      <c r="F707" s="7" t="str">
        <f>IF($A707&lt;&gt;"",MAXIFS(Token!$B:$B,Token!$A:$A,$D707),)</f>
        <v/>
      </c>
    </row>
    <row r="708">
      <c r="A708" s="39" t="str">
        <f>IF(AND($L708*1&gt;=$G$3,$L708*1&lt;=$G$4,$I708*$J708&gt;0,OR($I708&lt;&gt;$I709,$L708-$L709&gt;25),$I708/POW(10,$J708)*MAXIFS(Token!$B:$B,Token!$A:$A,$K708)&gt;0.01),$L708/86400+DATE(1970,1,1)+$G$6,)</f>
        <v/>
      </c>
      <c r="B708" s="27" t="str">
        <f t="shared" si="1"/>
        <v/>
      </c>
      <c r="C708" s="14" t="str">
        <f>IF($A708&lt;&gt;"",MINIFS(Merchant!$A:$A,Merchant!$B:$B,$G$2),)</f>
        <v/>
      </c>
      <c r="D708" s="14" t="str">
        <f t="shared" si="2"/>
        <v/>
      </c>
      <c r="E708" s="14" t="str">
        <f t="shared" si="3"/>
        <v/>
      </c>
      <c r="F708" s="7" t="str">
        <f>IF($A708&lt;&gt;"",MAXIFS(Token!$B:$B,Token!$A:$A,$D708),)</f>
        <v/>
      </c>
    </row>
    <row r="709">
      <c r="A709" s="39" t="str">
        <f>IF(AND($L709*1&gt;=$G$3,$L709*1&lt;=$G$4,$I709*$J709&gt;0,OR($I709&lt;&gt;$I710,$L709-$L710&gt;25),$I709/POW(10,$J709)*MAXIFS(Token!$B:$B,Token!$A:$A,$K709)&gt;0.01),$L709/86400+DATE(1970,1,1)+$G$6,)</f>
        <v/>
      </c>
      <c r="B709" s="27" t="str">
        <f t="shared" si="1"/>
        <v/>
      </c>
      <c r="C709" s="14" t="str">
        <f>IF($A709&lt;&gt;"",MINIFS(Merchant!$A:$A,Merchant!$B:$B,$G$2),)</f>
        <v/>
      </c>
      <c r="D709" s="14" t="str">
        <f t="shared" si="2"/>
        <v/>
      </c>
      <c r="E709" s="14" t="str">
        <f t="shared" si="3"/>
        <v/>
      </c>
      <c r="F709" s="7" t="str">
        <f>IF($A709&lt;&gt;"",MAXIFS(Token!$B:$B,Token!$A:$A,$D709),)</f>
        <v/>
      </c>
    </row>
    <row r="710">
      <c r="A710" s="39" t="str">
        <f>IF(AND($L710*1&gt;=$G$3,$L710*1&lt;=$G$4,$I710*$J710&gt;0,OR($I710&lt;&gt;$I711,$L710-$L711&gt;25),$I710/POW(10,$J710)*MAXIFS(Token!$B:$B,Token!$A:$A,$K710)&gt;0.01),$L710/86400+DATE(1970,1,1)+$G$6,)</f>
        <v/>
      </c>
      <c r="B710" s="27" t="str">
        <f t="shared" si="1"/>
        <v/>
      </c>
      <c r="C710" s="14" t="str">
        <f>IF($A710&lt;&gt;"",MINIFS(Merchant!$A:$A,Merchant!$B:$B,$G$2),)</f>
        <v/>
      </c>
      <c r="D710" s="14" t="str">
        <f t="shared" si="2"/>
        <v/>
      </c>
      <c r="E710" s="14" t="str">
        <f t="shared" si="3"/>
        <v/>
      </c>
      <c r="F710" s="7" t="str">
        <f>IF($A710&lt;&gt;"",MAXIFS(Token!$B:$B,Token!$A:$A,$D710),)</f>
        <v/>
      </c>
    </row>
    <row r="711">
      <c r="A711" s="39" t="str">
        <f>IF(AND($L711*1&gt;=$G$3,$L711*1&lt;=$G$4,$I711*$J711&gt;0,OR($I711&lt;&gt;$I712,$L711-$L712&gt;25),$I711/POW(10,$J711)*MAXIFS(Token!$B:$B,Token!$A:$A,$K711)&gt;0.01),$L711/86400+DATE(1970,1,1)+$G$6,)</f>
        <v/>
      </c>
      <c r="B711" s="27" t="str">
        <f t="shared" si="1"/>
        <v/>
      </c>
      <c r="C711" s="14" t="str">
        <f>IF($A711&lt;&gt;"",MINIFS(Merchant!$A:$A,Merchant!$B:$B,$G$2),)</f>
        <v/>
      </c>
      <c r="D711" s="14" t="str">
        <f t="shared" si="2"/>
        <v/>
      </c>
      <c r="E711" s="14" t="str">
        <f t="shared" si="3"/>
        <v/>
      </c>
      <c r="F711" s="7" t="str">
        <f>IF($A711&lt;&gt;"",MAXIFS(Token!$B:$B,Token!$A:$A,$D711),)</f>
        <v/>
      </c>
    </row>
    <row r="712">
      <c r="A712" s="39" t="str">
        <f>IF(AND($L712*1&gt;=$G$3,$L712*1&lt;=$G$4,$I712*$J712&gt;0,OR($I712&lt;&gt;$I713,$L712-$L713&gt;25),$I712/POW(10,$J712)*MAXIFS(Token!$B:$B,Token!$A:$A,$K712)&gt;0.01),$L712/86400+DATE(1970,1,1)+$G$6,)</f>
        <v/>
      </c>
      <c r="B712" s="27" t="str">
        <f t="shared" si="1"/>
        <v/>
      </c>
      <c r="C712" s="14" t="str">
        <f>IF($A712&lt;&gt;"",MINIFS(Merchant!$A:$A,Merchant!$B:$B,$G$2),)</f>
        <v/>
      </c>
      <c r="D712" s="14" t="str">
        <f t="shared" si="2"/>
        <v/>
      </c>
      <c r="E712" s="14" t="str">
        <f t="shared" si="3"/>
        <v/>
      </c>
      <c r="F712" s="7" t="str">
        <f>IF($A712&lt;&gt;"",MAXIFS(Token!$B:$B,Token!$A:$A,$D712),)</f>
        <v/>
      </c>
    </row>
    <row r="713">
      <c r="A713" s="39" t="str">
        <f>IF(AND($L713*1&gt;=$G$3,$L713*1&lt;=$G$4,$I713*$J713&gt;0,OR($I713&lt;&gt;$I714,$L713-$L714&gt;25),$I713/POW(10,$J713)*MAXIFS(Token!$B:$B,Token!$A:$A,$K713)&gt;0.01),$L713/86400+DATE(1970,1,1)+$G$6,)</f>
        <v/>
      </c>
      <c r="B713" s="27" t="str">
        <f t="shared" si="1"/>
        <v/>
      </c>
      <c r="C713" s="14" t="str">
        <f>IF($A713&lt;&gt;"",MINIFS(Merchant!$A:$A,Merchant!$B:$B,$G$2),)</f>
        <v/>
      </c>
      <c r="D713" s="14" t="str">
        <f t="shared" si="2"/>
        <v/>
      </c>
      <c r="E713" s="14" t="str">
        <f t="shared" si="3"/>
        <v/>
      </c>
      <c r="F713" s="7" t="str">
        <f>IF($A713&lt;&gt;"",MAXIFS(Token!$B:$B,Token!$A:$A,$D713),)</f>
        <v/>
      </c>
    </row>
    <row r="714">
      <c r="A714" s="39" t="str">
        <f>IF(AND($L714*1&gt;=$G$3,$L714*1&lt;=$G$4,$I714*$J714&gt;0,OR($I714&lt;&gt;$I715,$L714-$L715&gt;25),$I714/POW(10,$J714)*MAXIFS(Token!$B:$B,Token!$A:$A,$K714)&gt;0.01),$L714/86400+DATE(1970,1,1)+$G$6,)</f>
        <v/>
      </c>
      <c r="B714" s="27" t="str">
        <f t="shared" si="1"/>
        <v/>
      </c>
      <c r="C714" s="14" t="str">
        <f>IF($A714&lt;&gt;"",MINIFS(Merchant!$A:$A,Merchant!$B:$B,$G$2),)</f>
        <v/>
      </c>
      <c r="D714" s="14" t="str">
        <f t="shared" si="2"/>
        <v/>
      </c>
      <c r="E714" s="14" t="str">
        <f t="shared" si="3"/>
        <v/>
      </c>
      <c r="F714" s="7" t="str">
        <f>IF($A714&lt;&gt;"",MAXIFS(Token!$B:$B,Token!$A:$A,$D714),)</f>
        <v/>
      </c>
    </row>
    <row r="715">
      <c r="A715" s="39" t="str">
        <f>IF(AND($L715*1&gt;=$G$3,$L715*1&lt;=$G$4,$I715*$J715&gt;0,OR($I715&lt;&gt;$I716,$L715-$L716&gt;25),$I715/POW(10,$J715)*MAXIFS(Token!$B:$B,Token!$A:$A,$K715)&gt;0.01),$L715/86400+DATE(1970,1,1)+$G$6,)</f>
        <v/>
      </c>
      <c r="B715" s="27" t="str">
        <f t="shared" si="1"/>
        <v/>
      </c>
      <c r="C715" s="14" t="str">
        <f>IF($A715&lt;&gt;"",MINIFS(Merchant!$A:$A,Merchant!$B:$B,$G$2),)</f>
        <v/>
      </c>
      <c r="D715" s="14" t="str">
        <f t="shared" si="2"/>
        <v/>
      </c>
      <c r="E715" s="14" t="str">
        <f t="shared" si="3"/>
        <v/>
      </c>
      <c r="F715" s="7" t="str">
        <f>IF($A715&lt;&gt;"",MAXIFS(Token!$B:$B,Token!$A:$A,$D715),)</f>
        <v/>
      </c>
    </row>
    <row r="716">
      <c r="A716" s="39" t="str">
        <f>IF(AND($L716*1&gt;=$G$3,$L716*1&lt;=$G$4,$I716*$J716&gt;0,OR($I716&lt;&gt;$I717,$L716-$L717&gt;25),$I716/POW(10,$J716)*MAXIFS(Token!$B:$B,Token!$A:$A,$K716)&gt;0.01),$L716/86400+DATE(1970,1,1)+$G$6,)</f>
        <v/>
      </c>
      <c r="B716" s="27" t="str">
        <f t="shared" si="1"/>
        <v/>
      </c>
      <c r="C716" s="14" t="str">
        <f>IF($A716&lt;&gt;"",MINIFS(Merchant!$A:$A,Merchant!$B:$B,$G$2),)</f>
        <v/>
      </c>
      <c r="D716" s="14" t="str">
        <f t="shared" si="2"/>
        <v/>
      </c>
      <c r="E716" s="14" t="str">
        <f t="shared" si="3"/>
        <v/>
      </c>
      <c r="F716" s="7" t="str">
        <f>IF($A716&lt;&gt;"",MAXIFS(Token!$B:$B,Token!$A:$A,$D716),)</f>
        <v/>
      </c>
    </row>
    <row r="717">
      <c r="A717" s="39" t="str">
        <f>IF(AND($L717*1&gt;=$G$3,$L717*1&lt;=$G$4,$I717*$J717&gt;0,OR($I717&lt;&gt;$I718,$L717-$L718&gt;25),$I717/POW(10,$J717)*MAXIFS(Token!$B:$B,Token!$A:$A,$K717)&gt;0.01),$L717/86400+DATE(1970,1,1)+$G$6,)</f>
        <v/>
      </c>
      <c r="B717" s="27" t="str">
        <f t="shared" si="1"/>
        <v/>
      </c>
      <c r="C717" s="14" t="str">
        <f>IF($A717&lt;&gt;"",MINIFS(Merchant!$A:$A,Merchant!$B:$B,$G$2),)</f>
        <v/>
      </c>
      <c r="D717" s="14" t="str">
        <f t="shared" si="2"/>
        <v/>
      </c>
      <c r="E717" s="14" t="str">
        <f t="shared" si="3"/>
        <v/>
      </c>
      <c r="F717" s="7" t="str">
        <f>IF($A717&lt;&gt;"",MAXIFS(Token!$B:$B,Token!$A:$A,$D717),)</f>
        <v/>
      </c>
    </row>
    <row r="718">
      <c r="A718" s="39" t="str">
        <f>IF(AND($L718*1&gt;=$G$3,$L718*1&lt;=$G$4,$I718*$J718&gt;0,OR($I718&lt;&gt;$I719,$L718-$L719&gt;25),$I718/POW(10,$J718)*MAXIFS(Token!$B:$B,Token!$A:$A,$K718)&gt;0.01),$L718/86400+DATE(1970,1,1)+$G$6,)</f>
        <v/>
      </c>
      <c r="B718" s="27" t="str">
        <f t="shared" si="1"/>
        <v/>
      </c>
      <c r="C718" s="14" t="str">
        <f>IF($A718&lt;&gt;"",MINIFS(Merchant!$A:$A,Merchant!$B:$B,$G$2),)</f>
        <v/>
      </c>
      <c r="D718" s="14" t="str">
        <f t="shared" si="2"/>
        <v/>
      </c>
      <c r="E718" s="14" t="str">
        <f t="shared" si="3"/>
        <v/>
      </c>
      <c r="F718" s="7" t="str">
        <f>IF($A718&lt;&gt;"",MAXIFS(Token!$B:$B,Token!$A:$A,$D718),)</f>
        <v/>
      </c>
    </row>
    <row r="719">
      <c r="A719" s="39" t="str">
        <f>IF(AND($L719*1&gt;=$G$3,$L719*1&lt;=$G$4,$I719*$J719&gt;0,OR($I719&lt;&gt;$I720,$L719-$L720&gt;25),$I719/POW(10,$J719)*MAXIFS(Token!$B:$B,Token!$A:$A,$K719)&gt;0.01),$L719/86400+DATE(1970,1,1)+$G$6,)</f>
        <v/>
      </c>
      <c r="B719" s="27" t="str">
        <f t="shared" si="1"/>
        <v/>
      </c>
      <c r="C719" s="14" t="str">
        <f>IF($A719&lt;&gt;"",MINIFS(Merchant!$A:$A,Merchant!$B:$B,$G$2),)</f>
        <v/>
      </c>
      <c r="D719" s="14" t="str">
        <f t="shared" si="2"/>
        <v/>
      </c>
      <c r="E719" s="14" t="str">
        <f t="shared" si="3"/>
        <v/>
      </c>
      <c r="F719" s="7" t="str">
        <f>IF($A719&lt;&gt;"",MAXIFS(Token!$B:$B,Token!$A:$A,$D719),)</f>
        <v/>
      </c>
    </row>
    <row r="720">
      <c r="A720" s="39" t="str">
        <f>IF(AND($L720*1&gt;=$G$3,$L720*1&lt;=$G$4,$I720*$J720&gt;0,OR($I720&lt;&gt;$I721,$L720-$L721&gt;25),$I720/POW(10,$J720)*MAXIFS(Token!$B:$B,Token!$A:$A,$K720)&gt;0.01),$L720/86400+DATE(1970,1,1)+$G$6,)</f>
        <v/>
      </c>
      <c r="B720" s="27" t="str">
        <f t="shared" si="1"/>
        <v/>
      </c>
      <c r="C720" s="14" t="str">
        <f>IF($A720&lt;&gt;"",MINIFS(Merchant!$A:$A,Merchant!$B:$B,$G$2),)</f>
        <v/>
      </c>
      <c r="D720" s="14" t="str">
        <f t="shared" si="2"/>
        <v/>
      </c>
      <c r="E720" s="14" t="str">
        <f t="shared" si="3"/>
        <v/>
      </c>
      <c r="F720" s="7" t="str">
        <f>IF($A720&lt;&gt;"",MAXIFS(Token!$B:$B,Token!$A:$A,$D720),)</f>
        <v/>
      </c>
    </row>
    <row r="721">
      <c r="A721" s="39" t="str">
        <f>IF(AND($L721*1&gt;=$G$3,$L721*1&lt;=$G$4,$I721*$J721&gt;0,OR($I721&lt;&gt;$I722,$L721-$L722&gt;25),$I721/POW(10,$J721)*MAXIFS(Token!$B:$B,Token!$A:$A,$K721)&gt;0.01),$L721/86400+DATE(1970,1,1)+$G$6,)</f>
        <v/>
      </c>
      <c r="B721" s="27" t="str">
        <f t="shared" si="1"/>
        <v/>
      </c>
      <c r="C721" s="14" t="str">
        <f>IF($A721&lt;&gt;"",MINIFS(Merchant!$A:$A,Merchant!$B:$B,$G$2),)</f>
        <v/>
      </c>
      <c r="D721" s="14" t="str">
        <f t="shared" si="2"/>
        <v/>
      </c>
      <c r="E721" s="14" t="str">
        <f t="shared" si="3"/>
        <v/>
      </c>
      <c r="F721" s="7" t="str">
        <f>IF($A721&lt;&gt;"",MAXIFS(Token!$B:$B,Token!$A:$A,$D721),)</f>
        <v/>
      </c>
    </row>
    <row r="722">
      <c r="A722" s="39" t="str">
        <f>IF(AND($L722*1&gt;=$G$3,$L722*1&lt;=$G$4,$I722*$J722&gt;0,OR($I722&lt;&gt;$I723,$L722-$L723&gt;25),$I722/POW(10,$J722)*MAXIFS(Token!$B:$B,Token!$A:$A,$K722)&gt;0.01),$L722/86400+DATE(1970,1,1)+$G$6,)</f>
        <v/>
      </c>
      <c r="B722" s="27" t="str">
        <f t="shared" si="1"/>
        <v/>
      </c>
      <c r="C722" s="14" t="str">
        <f>IF($A722&lt;&gt;"",MINIFS(Merchant!$A:$A,Merchant!$B:$B,$G$2),)</f>
        <v/>
      </c>
      <c r="D722" s="14" t="str">
        <f t="shared" si="2"/>
        <v/>
      </c>
      <c r="E722" s="14" t="str">
        <f t="shared" si="3"/>
        <v/>
      </c>
      <c r="F722" s="7" t="str">
        <f>IF($A722&lt;&gt;"",MAXIFS(Token!$B:$B,Token!$A:$A,$D722),)</f>
        <v/>
      </c>
    </row>
    <row r="723">
      <c r="A723" s="39" t="str">
        <f>IF(AND($L723*1&gt;=$G$3,$L723*1&lt;=$G$4,$I723*$J723&gt;0,OR($I723&lt;&gt;$I724,$L723-$L724&gt;25),$I723/POW(10,$J723)*MAXIFS(Token!$B:$B,Token!$A:$A,$K723)&gt;0.01),$L723/86400+DATE(1970,1,1)+$G$6,)</f>
        <v/>
      </c>
      <c r="B723" s="27" t="str">
        <f t="shared" si="1"/>
        <v/>
      </c>
      <c r="C723" s="14" t="str">
        <f>IF($A723&lt;&gt;"",MINIFS(Merchant!$A:$A,Merchant!$B:$B,$G$2),)</f>
        <v/>
      </c>
      <c r="D723" s="14" t="str">
        <f t="shared" si="2"/>
        <v/>
      </c>
      <c r="E723" s="14" t="str">
        <f t="shared" si="3"/>
        <v/>
      </c>
      <c r="F723" s="7" t="str">
        <f>IF($A723&lt;&gt;"",MAXIFS(Token!$B:$B,Token!$A:$A,$D723),)</f>
        <v/>
      </c>
    </row>
    <row r="724">
      <c r="A724" s="39" t="str">
        <f>IF(AND($L724*1&gt;=$G$3,$L724*1&lt;=$G$4,$I724*$J724&gt;0,OR($I724&lt;&gt;$I725,$L724-$L725&gt;25),$I724/POW(10,$J724)*MAXIFS(Token!$B:$B,Token!$A:$A,$K724)&gt;0.01),$L724/86400+DATE(1970,1,1)+$G$6,)</f>
        <v/>
      </c>
      <c r="B724" s="27" t="str">
        <f t="shared" si="1"/>
        <v/>
      </c>
      <c r="C724" s="14" t="str">
        <f>IF($A724&lt;&gt;"",MINIFS(Merchant!$A:$A,Merchant!$B:$B,$G$2),)</f>
        <v/>
      </c>
      <c r="D724" s="14" t="str">
        <f t="shared" si="2"/>
        <v/>
      </c>
      <c r="E724" s="14" t="str">
        <f t="shared" si="3"/>
        <v/>
      </c>
      <c r="F724" s="7" t="str">
        <f>IF($A724&lt;&gt;"",MAXIFS(Token!$B:$B,Token!$A:$A,$D724),)</f>
        <v/>
      </c>
    </row>
    <row r="725">
      <c r="A725" s="39" t="str">
        <f>IF(AND($L725*1&gt;=$G$3,$L725*1&lt;=$G$4,$I725*$J725&gt;0,OR($I725&lt;&gt;$I726,$L725-$L726&gt;25),$I725/POW(10,$J725)*MAXIFS(Token!$B:$B,Token!$A:$A,$K725)&gt;0.01),$L725/86400+DATE(1970,1,1)+$G$6,)</f>
        <v/>
      </c>
      <c r="B725" s="27" t="str">
        <f t="shared" si="1"/>
        <v/>
      </c>
      <c r="C725" s="14" t="str">
        <f>IF($A725&lt;&gt;"",MINIFS(Merchant!$A:$A,Merchant!$B:$B,$G$2),)</f>
        <v/>
      </c>
      <c r="D725" s="14" t="str">
        <f t="shared" si="2"/>
        <v/>
      </c>
      <c r="E725" s="14" t="str">
        <f t="shared" si="3"/>
        <v/>
      </c>
      <c r="F725" s="7" t="str">
        <f>IF($A725&lt;&gt;"",MAXIFS(Token!$B:$B,Token!$A:$A,$D725),)</f>
        <v/>
      </c>
    </row>
    <row r="726">
      <c r="A726" s="39" t="str">
        <f>IF(AND($L726*1&gt;=$G$3,$L726*1&lt;=$G$4,$I726*$J726&gt;0,OR($I726&lt;&gt;$I727,$L726-$L727&gt;25),$I726/POW(10,$J726)*MAXIFS(Token!$B:$B,Token!$A:$A,$K726)&gt;0.01),$L726/86400+DATE(1970,1,1)+$G$6,)</f>
        <v/>
      </c>
      <c r="B726" s="27" t="str">
        <f t="shared" si="1"/>
        <v/>
      </c>
      <c r="C726" s="14" t="str">
        <f>IF($A726&lt;&gt;"",MINIFS(Merchant!$A:$A,Merchant!$B:$B,$G$2),)</f>
        <v/>
      </c>
      <c r="D726" s="14" t="str">
        <f t="shared" si="2"/>
        <v/>
      </c>
      <c r="E726" s="14" t="str">
        <f t="shared" si="3"/>
        <v/>
      </c>
      <c r="F726" s="7" t="str">
        <f>IF($A726&lt;&gt;"",MAXIFS(Token!$B:$B,Token!$A:$A,$D726),)</f>
        <v/>
      </c>
    </row>
    <row r="727">
      <c r="A727" s="39" t="str">
        <f>IF(AND($L727*1&gt;=$G$3,$L727*1&lt;=$G$4,$I727*$J727&gt;0,OR($I727&lt;&gt;$I728,$L727-$L728&gt;25),$I727/POW(10,$J727)*MAXIFS(Token!$B:$B,Token!$A:$A,$K727)&gt;0.01),$L727/86400+DATE(1970,1,1)+$G$6,)</f>
        <v/>
      </c>
      <c r="B727" s="27" t="str">
        <f t="shared" si="1"/>
        <v/>
      </c>
      <c r="C727" s="14" t="str">
        <f>IF($A727&lt;&gt;"",MINIFS(Merchant!$A:$A,Merchant!$B:$B,$G$2),)</f>
        <v/>
      </c>
      <c r="D727" s="14" t="str">
        <f t="shared" si="2"/>
        <v/>
      </c>
      <c r="E727" s="14" t="str">
        <f t="shared" si="3"/>
        <v/>
      </c>
      <c r="F727" s="7" t="str">
        <f>IF($A727&lt;&gt;"",MAXIFS(Token!$B:$B,Token!$A:$A,$D727),)</f>
        <v/>
      </c>
    </row>
    <row r="728">
      <c r="A728" s="39" t="str">
        <f>IF(AND($L728*1&gt;=$G$3,$L728*1&lt;=$G$4,$I728*$J728&gt;0,OR($I728&lt;&gt;$I729,$L728-$L729&gt;25),$I728/POW(10,$J728)*MAXIFS(Token!$B:$B,Token!$A:$A,$K728)&gt;0.01),$L728/86400+DATE(1970,1,1)+$G$6,)</f>
        <v/>
      </c>
      <c r="B728" s="27" t="str">
        <f t="shared" si="1"/>
        <v/>
      </c>
      <c r="C728" s="14" t="str">
        <f>IF($A728&lt;&gt;"",MINIFS(Merchant!$A:$A,Merchant!$B:$B,$G$2),)</f>
        <v/>
      </c>
      <c r="D728" s="14" t="str">
        <f t="shared" si="2"/>
        <v/>
      </c>
      <c r="E728" s="14" t="str">
        <f t="shared" si="3"/>
        <v/>
      </c>
      <c r="F728" s="7" t="str">
        <f>IF($A728&lt;&gt;"",MAXIFS(Token!$B:$B,Token!$A:$A,$D728),)</f>
        <v/>
      </c>
    </row>
    <row r="729">
      <c r="A729" s="39" t="str">
        <f>IF(AND($L729*1&gt;=$G$3,$L729*1&lt;=$G$4,$I729*$J729&gt;0,OR($I729&lt;&gt;$I730,$L729-$L730&gt;25),$I729/POW(10,$J729)*MAXIFS(Token!$B:$B,Token!$A:$A,$K729)&gt;0.01),$L729/86400+DATE(1970,1,1)+$G$6,)</f>
        <v/>
      </c>
      <c r="B729" s="27" t="str">
        <f t="shared" si="1"/>
        <v/>
      </c>
      <c r="C729" s="14" t="str">
        <f>IF($A729&lt;&gt;"",MINIFS(Merchant!$A:$A,Merchant!$B:$B,$G$2),)</f>
        <v/>
      </c>
      <c r="D729" s="14" t="str">
        <f t="shared" si="2"/>
        <v/>
      </c>
      <c r="E729" s="14" t="str">
        <f t="shared" si="3"/>
        <v/>
      </c>
      <c r="F729" s="7" t="str">
        <f>IF($A729&lt;&gt;"",MAXIFS(Token!$B:$B,Token!$A:$A,$D729),)</f>
        <v/>
      </c>
    </row>
    <row r="730">
      <c r="A730" s="39" t="str">
        <f>IF(AND($L730*1&gt;=$G$3,$L730*1&lt;=$G$4,$I730*$J730&gt;0,OR($I730&lt;&gt;$I731,$L730-$L731&gt;25),$I730/POW(10,$J730)*MAXIFS(Token!$B:$B,Token!$A:$A,$K730)&gt;0.01),$L730/86400+DATE(1970,1,1)+$G$6,)</f>
        <v/>
      </c>
      <c r="B730" s="27" t="str">
        <f t="shared" si="1"/>
        <v/>
      </c>
      <c r="C730" s="14" t="str">
        <f>IF($A730&lt;&gt;"",MINIFS(Merchant!$A:$A,Merchant!$B:$B,$G$2),)</f>
        <v/>
      </c>
      <c r="D730" s="14" t="str">
        <f t="shared" si="2"/>
        <v/>
      </c>
      <c r="E730" s="14" t="str">
        <f t="shared" si="3"/>
        <v/>
      </c>
      <c r="F730" s="7" t="str">
        <f>IF($A730&lt;&gt;"",MAXIFS(Token!$B:$B,Token!$A:$A,$D730),)</f>
        <v/>
      </c>
    </row>
    <row r="731">
      <c r="A731" s="39" t="str">
        <f>IF(AND($L731*1&gt;=$G$3,$L731*1&lt;=$G$4,$I731*$J731&gt;0,OR($I731&lt;&gt;$I732,$L731-$L732&gt;25),$I731/POW(10,$J731)*MAXIFS(Token!$B:$B,Token!$A:$A,$K731)&gt;0.01),$L731/86400+DATE(1970,1,1)+$G$6,)</f>
        <v/>
      </c>
      <c r="B731" s="27" t="str">
        <f t="shared" si="1"/>
        <v/>
      </c>
      <c r="C731" s="14" t="str">
        <f>IF($A731&lt;&gt;"",MINIFS(Merchant!$A:$A,Merchant!$B:$B,$G$2),)</f>
        <v/>
      </c>
      <c r="D731" s="14" t="str">
        <f t="shared" si="2"/>
        <v/>
      </c>
      <c r="E731" s="14" t="str">
        <f t="shared" si="3"/>
        <v/>
      </c>
      <c r="F731" s="7" t="str">
        <f>IF($A731&lt;&gt;"",MAXIFS(Token!$B:$B,Token!$A:$A,$D731),)</f>
        <v/>
      </c>
    </row>
    <row r="732">
      <c r="A732" s="39" t="str">
        <f>IF(AND($L732*1&gt;=$G$3,$L732*1&lt;=$G$4,$I732*$J732&gt;0,OR($I732&lt;&gt;$I733,$L732-$L733&gt;25),$I732/POW(10,$J732)*MAXIFS(Token!$B:$B,Token!$A:$A,$K732)&gt;0.01),$L732/86400+DATE(1970,1,1)+$G$6,)</f>
        <v/>
      </c>
      <c r="B732" s="27" t="str">
        <f t="shared" si="1"/>
        <v/>
      </c>
      <c r="C732" s="14" t="str">
        <f>IF($A732&lt;&gt;"",MINIFS(Merchant!$A:$A,Merchant!$B:$B,$G$2),)</f>
        <v/>
      </c>
      <c r="D732" s="14" t="str">
        <f t="shared" si="2"/>
        <v/>
      </c>
      <c r="E732" s="14" t="str">
        <f t="shared" si="3"/>
        <v/>
      </c>
      <c r="F732" s="7" t="str">
        <f>IF($A732&lt;&gt;"",MAXIFS(Token!$B:$B,Token!$A:$A,$D732),)</f>
        <v/>
      </c>
    </row>
    <row r="733">
      <c r="A733" s="39" t="str">
        <f>IF(AND($L733*1&gt;=$G$3,$L733*1&lt;=$G$4,$I733*$J733&gt;0,OR($I733&lt;&gt;$I734,$L733-$L734&gt;25),$I733/POW(10,$J733)*MAXIFS(Token!$B:$B,Token!$A:$A,$K733)&gt;0.01),$L733/86400+DATE(1970,1,1)+$G$6,)</f>
        <v/>
      </c>
      <c r="B733" s="27" t="str">
        <f t="shared" si="1"/>
        <v/>
      </c>
      <c r="C733" s="14" t="str">
        <f>IF($A733&lt;&gt;"",MINIFS(Merchant!$A:$A,Merchant!$B:$B,$G$2),)</f>
        <v/>
      </c>
      <c r="D733" s="14" t="str">
        <f t="shared" si="2"/>
        <v/>
      </c>
      <c r="E733" s="14" t="str">
        <f t="shared" si="3"/>
        <v/>
      </c>
      <c r="F733" s="7" t="str">
        <f>IF($A733&lt;&gt;"",MAXIFS(Token!$B:$B,Token!$A:$A,$D733),)</f>
        <v/>
      </c>
    </row>
    <row r="734">
      <c r="A734" s="39" t="str">
        <f>IF(AND($L734*1&gt;=$G$3,$L734*1&lt;=$G$4,$I734*$J734&gt;0,OR($I734&lt;&gt;$I735,$L734-$L735&gt;25),$I734/POW(10,$J734)*MAXIFS(Token!$B:$B,Token!$A:$A,$K734)&gt;0.01),$L734/86400+DATE(1970,1,1)+$G$6,)</f>
        <v/>
      </c>
      <c r="B734" s="27" t="str">
        <f t="shared" si="1"/>
        <v/>
      </c>
      <c r="C734" s="14" t="str">
        <f>IF($A734&lt;&gt;"",MINIFS(Merchant!$A:$A,Merchant!$B:$B,$G$2),)</f>
        <v/>
      </c>
      <c r="D734" s="14" t="str">
        <f t="shared" si="2"/>
        <v/>
      </c>
      <c r="E734" s="14" t="str">
        <f t="shared" si="3"/>
        <v/>
      </c>
      <c r="F734" s="7" t="str">
        <f>IF($A734&lt;&gt;"",MAXIFS(Token!$B:$B,Token!$A:$A,$D734),)</f>
        <v/>
      </c>
    </row>
    <row r="735">
      <c r="A735" s="39" t="str">
        <f>IF(AND($L735*1&gt;=$G$3,$L735*1&lt;=$G$4,$I735*$J735&gt;0,OR($I735&lt;&gt;$I736,$L735-$L736&gt;25),$I735/POW(10,$J735)*MAXIFS(Token!$B:$B,Token!$A:$A,$K735)&gt;0.01),$L735/86400+DATE(1970,1,1)+$G$6,)</f>
        <v/>
      </c>
      <c r="B735" s="27" t="str">
        <f t="shared" si="1"/>
        <v/>
      </c>
      <c r="C735" s="14" t="str">
        <f>IF($A735&lt;&gt;"",MINIFS(Merchant!$A:$A,Merchant!$B:$B,$G$2),)</f>
        <v/>
      </c>
      <c r="D735" s="14" t="str">
        <f t="shared" si="2"/>
        <v/>
      </c>
      <c r="E735" s="14" t="str">
        <f t="shared" si="3"/>
        <v/>
      </c>
      <c r="F735" s="7" t="str">
        <f>IF($A735&lt;&gt;"",MAXIFS(Token!$B:$B,Token!$A:$A,$D735),)</f>
        <v/>
      </c>
    </row>
    <row r="736">
      <c r="A736" s="39" t="str">
        <f>IF(AND($L736*1&gt;=$G$3,$L736*1&lt;=$G$4,$I736*$J736&gt;0,OR($I736&lt;&gt;$I737,$L736-$L737&gt;25),$I736/POW(10,$J736)*MAXIFS(Token!$B:$B,Token!$A:$A,$K736)&gt;0.01),$L736/86400+DATE(1970,1,1)+$G$6,)</f>
        <v/>
      </c>
      <c r="B736" s="27" t="str">
        <f t="shared" si="1"/>
        <v/>
      </c>
      <c r="C736" s="14" t="str">
        <f>IF($A736&lt;&gt;"",MINIFS(Merchant!$A:$A,Merchant!$B:$B,$G$2),)</f>
        <v/>
      </c>
      <c r="D736" s="14" t="str">
        <f t="shared" si="2"/>
        <v/>
      </c>
      <c r="E736" s="14" t="str">
        <f t="shared" si="3"/>
        <v/>
      </c>
      <c r="F736" s="7" t="str">
        <f>IF($A736&lt;&gt;"",MAXIFS(Token!$B:$B,Token!$A:$A,$D736),)</f>
        <v/>
      </c>
    </row>
    <row r="737">
      <c r="A737" s="39" t="str">
        <f>IF(AND($L737*1&gt;=$G$3,$L737*1&lt;=$G$4,$I737*$J737&gt;0,OR($I737&lt;&gt;$I738,$L737-$L738&gt;25),$I737/POW(10,$J737)*MAXIFS(Token!$B:$B,Token!$A:$A,$K737)&gt;0.01),$L737/86400+DATE(1970,1,1)+$G$6,)</f>
        <v/>
      </c>
      <c r="B737" s="27" t="str">
        <f t="shared" si="1"/>
        <v/>
      </c>
      <c r="C737" s="14" t="str">
        <f>IF($A737&lt;&gt;"",MINIFS(Merchant!$A:$A,Merchant!$B:$B,$G$2),)</f>
        <v/>
      </c>
      <c r="D737" s="14" t="str">
        <f t="shared" si="2"/>
        <v/>
      </c>
      <c r="E737" s="14" t="str">
        <f t="shared" si="3"/>
        <v/>
      </c>
      <c r="F737" s="7" t="str">
        <f>IF($A737&lt;&gt;"",MAXIFS(Token!$B:$B,Token!$A:$A,$D737),)</f>
        <v/>
      </c>
    </row>
    <row r="738">
      <c r="A738" s="39" t="str">
        <f>IF(AND($L738*1&gt;=$G$3,$L738*1&lt;=$G$4,$I738*$J738&gt;0,OR($I738&lt;&gt;$I739,$L738-$L739&gt;25),$I738/POW(10,$J738)*MAXIFS(Token!$B:$B,Token!$A:$A,$K738)&gt;0.01),$L738/86400+DATE(1970,1,1)+$G$6,)</f>
        <v/>
      </c>
      <c r="B738" s="27" t="str">
        <f t="shared" si="1"/>
        <v/>
      </c>
      <c r="C738" s="14" t="str">
        <f>IF($A738&lt;&gt;"",MINIFS(Merchant!$A:$A,Merchant!$B:$B,$G$2),)</f>
        <v/>
      </c>
      <c r="D738" s="14" t="str">
        <f t="shared" si="2"/>
        <v/>
      </c>
      <c r="E738" s="14" t="str">
        <f t="shared" si="3"/>
        <v/>
      </c>
      <c r="F738" s="7" t="str">
        <f>IF($A738&lt;&gt;"",MAXIFS(Token!$B:$B,Token!$A:$A,$D738),)</f>
        <v/>
      </c>
    </row>
    <row r="739">
      <c r="A739" s="39" t="str">
        <f>IF(AND($L739*1&gt;=$G$3,$L739*1&lt;=$G$4,$I739*$J739&gt;0,OR($I739&lt;&gt;$I740,$L739-$L740&gt;25),$I739/POW(10,$J739)*MAXIFS(Token!$B:$B,Token!$A:$A,$K739)&gt;0.01),$L739/86400+DATE(1970,1,1)+$G$6,)</f>
        <v/>
      </c>
      <c r="B739" s="27" t="str">
        <f t="shared" si="1"/>
        <v/>
      </c>
      <c r="C739" s="14" t="str">
        <f>IF($A739&lt;&gt;"",MINIFS(Merchant!$A:$A,Merchant!$B:$B,$G$2),)</f>
        <v/>
      </c>
      <c r="D739" s="14" t="str">
        <f t="shared" si="2"/>
        <v/>
      </c>
      <c r="E739" s="14" t="str">
        <f t="shared" si="3"/>
        <v/>
      </c>
      <c r="F739" s="7" t="str">
        <f>IF($A739&lt;&gt;"",MAXIFS(Token!$B:$B,Token!$A:$A,$D739),)</f>
        <v/>
      </c>
    </row>
    <row r="740">
      <c r="A740" s="39" t="str">
        <f>IF(AND($L740*1&gt;=$G$3,$L740*1&lt;=$G$4,$I740*$J740&gt;0,OR($I740&lt;&gt;$I741,$L740-$L741&gt;25),$I740/POW(10,$J740)*MAXIFS(Token!$B:$B,Token!$A:$A,$K740)&gt;0.01),$L740/86400+DATE(1970,1,1)+$G$6,)</f>
        <v/>
      </c>
      <c r="B740" s="27" t="str">
        <f t="shared" si="1"/>
        <v/>
      </c>
      <c r="C740" s="14" t="str">
        <f>IF($A740&lt;&gt;"",MINIFS(Merchant!$A:$A,Merchant!$B:$B,$G$2),)</f>
        <v/>
      </c>
      <c r="D740" s="14" t="str">
        <f t="shared" si="2"/>
        <v/>
      </c>
      <c r="E740" s="14" t="str">
        <f t="shared" si="3"/>
        <v/>
      </c>
      <c r="F740" s="7" t="str">
        <f>IF($A740&lt;&gt;"",MAXIFS(Token!$B:$B,Token!$A:$A,$D740),)</f>
        <v/>
      </c>
    </row>
    <row r="741">
      <c r="A741" s="39" t="str">
        <f>IF(AND($L741*1&gt;=$G$3,$L741*1&lt;=$G$4,$I741*$J741&gt;0,OR($I741&lt;&gt;$I742,$L741-$L742&gt;25),$I741/POW(10,$J741)*MAXIFS(Token!$B:$B,Token!$A:$A,$K741)&gt;0.01),$L741/86400+DATE(1970,1,1)+$G$6,)</f>
        <v/>
      </c>
      <c r="B741" s="27" t="str">
        <f t="shared" si="1"/>
        <v/>
      </c>
      <c r="C741" s="14" t="str">
        <f>IF($A741&lt;&gt;"",MINIFS(Merchant!$A:$A,Merchant!$B:$B,$G$2),)</f>
        <v/>
      </c>
      <c r="D741" s="14" t="str">
        <f t="shared" si="2"/>
        <v/>
      </c>
      <c r="E741" s="14" t="str">
        <f t="shared" si="3"/>
        <v/>
      </c>
      <c r="F741" s="7" t="str">
        <f>IF($A741&lt;&gt;"",MAXIFS(Token!$B:$B,Token!$A:$A,$D741),)</f>
        <v/>
      </c>
    </row>
    <row r="742">
      <c r="A742" s="39" t="str">
        <f>IF(AND($L742*1&gt;=$G$3,$L742*1&lt;=$G$4,$I742*$J742&gt;0,OR($I742&lt;&gt;$I743,$L742-$L743&gt;25),$I742/POW(10,$J742)*MAXIFS(Token!$B:$B,Token!$A:$A,$K742)&gt;0.01),$L742/86400+DATE(1970,1,1)+$G$6,)</f>
        <v/>
      </c>
      <c r="B742" s="27" t="str">
        <f t="shared" si="1"/>
        <v/>
      </c>
      <c r="C742" s="14" t="str">
        <f>IF($A742&lt;&gt;"",MINIFS(Merchant!$A:$A,Merchant!$B:$B,$G$2),)</f>
        <v/>
      </c>
      <c r="D742" s="14" t="str">
        <f t="shared" si="2"/>
        <v/>
      </c>
      <c r="E742" s="14" t="str">
        <f t="shared" si="3"/>
        <v/>
      </c>
      <c r="F742" s="7" t="str">
        <f>IF($A742&lt;&gt;"",MAXIFS(Token!$B:$B,Token!$A:$A,$D742),)</f>
        <v/>
      </c>
    </row>
    <row r="743">
      <c r="A743" s="39" t="str">
        <f>IF(AND($L743*1&gt;=$G$3,$L743*1&lt;=$G$4,$I743*$J743&gt;0,OR($I743&lt;&gt;$I744,$L743-$L744&gt;25),$I743/POW(10,$J743)*MAXIFS(Token!$B:$B,Token!$A:$A,$K743)&gt;0.01),$L743/86400+DATE(1970,1,1)+$G$6,)</f>
        <v/>
      </c>
      <c r="B743" s="27" t="str">
        <f t="shared" si="1"/>
        <v/>
      </c>
      <c r="C743" s="14" t="str">
        <f>IF($A743&lt;&gt;"",MINIFS(Merchant!$A:$A,Merchant!$B:$B,$G$2),)</f>
        <v/>
      </c>
      <c r="D743" s="14" t="str">
        <f t="shared" si="2"/>
        <v/>
      </c>
      <c r="E743" s="14" t="str">
        <f t="shared" si="3"/>
        <v/>
      </c>
      <c r="F743" s="7" t="str">
        <f>IF($A743&lt;&gt;"",MAXIFS(Token!$B:$B,Token!$A:$A,$D743),)</f>
        <v/>
      </c>
    </row>
    <row r="744">
      <c r="A744" s="39" t="str">
        <f>IF(AND($L744*1&gt;=$G$3,$L744*1&lt;=$G$4,$I744*$J744&gt;0,OR($I744&lt;&gt;$I745,$L744-$L745&gt;25),$I744/POW(10,$J744)*MAXIFS(Token!$B:$B,Token!$A:$A,$K744)&gt;0.01),$L744/86400+DATE(1970,1,1)+$G$6,)</f>
        <v/>
      </c>
      <c r="B744" s="27" t="str">
        <f t="shared" si="1"/>
        <v/>
      </c>
      <c r="C744" s="14" t="str">
        <f>IF($A744&lt;&gt;"",MINIFS(Merchant!$A:$A,Merchant!$B:$B,$G$2),)</f>
        <v/>
      </c>
      <c r="D744" s="14" t="str">
        <f t="shared" si="2"/>
        <v/>
      </c>
      <c r="E744" s="14" t="str">
        <f t="shared" si="3"/>
        <v/>
      </c>
      <c r="F744" s="7" t="str">
        <f>IF($A744&lt;&gt;"",MAXIFS(Token!$B:$B,Token!$A:$A,$D744),)</f>
        <v/>
      </c>
    </row>
    <row r="745">
      <c r="A745" s="39" t="str">
        <f>IF(AND($L745*1&gt;=$G$3,$L745*1&lt;=$G$4,$I745*$J745&gt;0,OR($I745&lt;&gt;$I746,$L745-$L746&gt;25),$I745/POW(10,$J745)*MAXIFS(Token!$B:$B,Token!$A:$A,$K745)&gt;0.01),$L745/86400+DATE(1970,1,1)+$G$6,)</f>
        <v/>
      </c>
      <c r="B745" s="27" t="str">
        <f t="shared" si="1"/>
        <v/>
      </c>
      <c r="C745" s="14" t="str">
        <f>IF($A745&lt;&gt;"",MINIFS(Merchant!$A:$A,Merchant!$B:$B,$G$2),)</f>
        <v/>
      </c>
      <c r="D745" s="14" t="str">
        <f t="shared" si="2"/>
        <v/>
      </c>
      <c r="E745" s="14" t="str">
        <f t="shared" si="3"/>
        <v/>
      </c>
      <c r="F745" s="7" t="str">
        <f>IF($A745&lt;&gt;"",MAXIFS(Token!$B:$B,Token!$A:$A,$D745),)</f>
        <v/>
      </c>
    </row>
    <row r="746">
      <c r="A746" s="39" t="str">
        <f>IF(AND($L746*1&gt;=$G$3,$L746*1&lt;=$G$4,$I746*$J746&gt;0,OR($I746&lt;&gt;$I747,$L746-$L747&gt;25),$I746/POW(10,$J746)*MAXIFS(Token!$B:$B,Token!$A:$A,$K746)&gt;0.01),$L746/86400+DATE(1970,1,1)+$G$6,)</f>
        <v/>
      </c>
      <c r="B746" s="27" t="str">
        <f t="shared" si="1"/>
        <v/>
      </c>
      <c r="C746" s="14" t="str">
        <f>IF($A746&lt;&gt;"",MINIFS(Merchant!$A:$A,Merchant!$B:$B,$G$2),)</f>
        <v/>
      </c>
      <c r="D746" s="14" t="str">
        <f t="shared" si="2"/>
        <v/>
      </c>
      <c r="E746" s="14" t="str">
        <f t="shared" si="3"/>
        <v/>
      </c>
      <c r="F746" s="7" t="str">
        <f>IF($A746&lt;&gt;"",MAXIFS(Token!$B:$B,Token!$A:$A,$D746),)</f>
        <v/>
      </c>
    </row>
    <row r="747">
      <c r="A747" s="39" t="str">
        <f>IF(AND($L747*1&gt;=$G$3,$L747*1&lt;=$G$4,$I747*$J747&gt;0,OR($I747&lt;&gt;$I748,$L747-$L748&gt;25),$I747/POW(10,$J747)*MAXIFS(Token!$B:$B,Token!$A:$A,$K747)&gt;0.01),$L747/86400+DATE(1970,1,1)+$G$6,)</f>
        <v/>
      </c>
      <c r="B747" s="27" t="str">
        <f t="shared" si="1"/>
        <v/>
      </c>
      <c r="C747" s="14" t="str">
        <f>IF($A747&lt;&gt;"",MINIFS(Merchant!$A:$A,Merchant!$B:$B,$G$2),)</f>
        <v/>
      </c>
      <c r="D747" s="14" t="str">
        <f t="shared" si="2"/>
        <v/>
      </c>
      <c r="E747" s="14" t="str">
        <f t="shared" si="3"/>
        <v/>
      </c>
      <c r="F747" s="7" t="str">
        <f>IF($A747&lt;&gt;"",MAXIFS(Token!$B:$B,Token!$A:$A,$D747),)</f>
        <v/>
      </c>
    </row>
    <row r="748">
      <c r="A748" s="39" t="str">
        <f>IF(AND($L748*1&gt;=$G$3,$L748*1&lt;=$G$4,$I748*$J748&gt;0,OR($I748&lt;&gt;$I749,$L748-$L749&gt;25),$I748/POW(10,$J748)*MAXIFS(Token!$B:$B,Token!$A:$A,$K748)&gt;0.01),$L748/86400+DATE(1970,1,1)+$G$6,)</f>
        <v/>
      </c>
      <c r="B748" s="27" t="str">
        <f t="shared" si="1"/>
        <v/>
      </c>
      <c r="C748" s="14" t="str">
        <f>IF($A748&lt;&gt;"",MINIFS(Merchant!$A:$A,Merchant!$B:$B,$G$2),)</f>
        <v/>
      </c>
      <c r="D748" s="14" t="str">
        <f t="shared" si="2"/>
        <v/>
      </c>
      <c r="E748" s="14" t="str">
        <f t="shared" si="3"/>
        <v/>
      </c>
      <c r="F748" s="7" t="str">
        <f>IF($A748&lt;&gt;"",MAXIFS(Token!$B:$B,Token!$A:$A,$D748),)</f>
        <v/>
      </c>
    </row>
    <row r="749">
      <c r="A749" s="39" t="str">
        <f>IF(AND($L749*1&gt;=$G$3,$L749*1&lt;=$G$4,$I749*$J749&gt;0,OR($I749&lt;&gt;$I750,$L749-$L750&gt;25),$I749/POW(10,$J749)*MAXIFS(Token!$B:$B,Token!$A:$A,$K749)&gt;0.01),$L749/86400+DATE(1970,1,1)+$G$6,)</f>
        <v/>
      </c>
      <c r="B749" s="27" t="str">
        <f t="shared" si="1"/>
        <v/>
      </c>
      <c r="C749" s="14" t="str">
        <f>IF($A749&lt;&gt;"",MINIFS(Merchant!$A:$A,Merchant!$B:$B,$G$2),)</f>
        <v/>
      </c>
      <c r="D749" s="14" t="str">
        <f t="shared" si="2"/>
        <v/>
      </c>
      <c r="E749" s="14" t="str">
        <f t="shared" si="3"/>
        <v/>
      </c>
      <c r="F749" s="7" t="str">
        <f>IF($A749&lt;&gt;"",MAXIFS(Token!$B:$B,Token!$A:$A,$D749),)</f>
        <v/>
      </c>
    </row>
    <row r="750">
      <c r="A750" s="39" t="str">
        <f>IF(AND($L750*1&gt;=$G$3,$L750*1&lt;=$G$4,$I750*$J750&gt;0,OR($I750&lt;&gt;$I751,$L750-$L751&gt;25),$I750/POW(10,$J750)*MAXIFS(Token!$B:$B,Token!$A:$A,$K750)&gt;0.01),$L750/86400+DATE(1970,1,1)+$G$6,)</f>
        <v/>
      </c>
      <c r="B750" s="27" t="str">
        <f t="shared" si="1"/>
        <v/>
      </c>
      <c r="C750" s="14" t="str">
        <f>IF($A750&lt;&gt;"",MINIFS(Merchant!$A:$A,Merchant!$B:$B,$G$2),)</f>
        <v/>
      </c>
      <c r="D750" s="14" t="str">
        <f t="shared" si="2"/>
        <v/>
      </c>
      <c r="E750" s="14" t="str">
        <f t="shared" si="3"/>
        <v/>
      </c>
      <c r="F750" s="7" t="str">
        <f>IF($A750&lt;&gt;"",MAXIFS(Token!$B:$B,Token!$A:$A,$D750),)</f>
        <v/>
      </c>
    </row>
    <row r="751">
      <c r="A751" s="39" t="str">
        <f>IF(AND($L751*1&gt;=$G$3,$L751*1&lt;=$G$4,$I751*$J751&gt;0,OR($I751&lt;&gt;$I752,$L751-$L752&gt;25),$I751/POW(10,$J751)*MAXIFS(Token!$B:$B,Token!$A:$A,$K751)&gt;0.01),$L751/86400+DATE(1970,1,1)+$G$6,)</f>
        <v/>
      </c>
      <c r="B751" s="27" t="str">
        <f t="shared" si="1"/>
        <v/>
      </c>
      <c r="C751" s="14" t="str">
        <f>IF($A751&lt;&gt;"",MINIFS(Merchant!$A:$A,Merchant!$B:$B,$G$2),)</f>
        <v/>
      </c>
      <c r="D751" s="14" t="str">
        <f t="shared" si="2"/>
        <v/>
      </c>
      <c r="E751" s="14" t="str">
        <f t="shared" si="3"/>
        <v/>
      </c>
      <c r="F751" s="7" t="str">
        <f>IF($A751&lt;&gt;"",MAXIFS(Token!$B:$B,Token!$A:$A,$D751),)</f>
        <v/>
      </c>
    </row>
    <row r="752">
      <c r="A752" s="39" t="str">
        <f>IF(AND($L752*1&gt;=$G$3,$L752*1&lt;=$G$4,$I752*$J752&gt;0,OR($I752&lt;&gt;$I753,$L752-$L753&gt;25),$I752/POW(10,$J752)*MAXIFS(Token!$B:$B,Token!$A:$A,$K752)&gt;0.01),$L752/86400+DATE(1970,1,1)+$G$6,)</f>
        <v/>
      </c>
      <c r="B752" s="27" t="str">
        <f t="shared" si="1"/>
        <v/>
      </c>
      <c r="C752" s="14" t="str">
        <f>IF($A752&lt;&gt;"",MINIFS(Merchant!$A:$A,Merchant!$B:$B,$G$2),)</f>
        <v/>
      </c>
      <c r="D752" s="14" t="str">
        <f t="shared" si="2"/>
        <v/>
      </c>
      <c r="E752" s="14" t="str">
        <f t="shared" si="3"/>
        <v/>
      </c>
      <c r="F752" s="7" t="str">
        <f>IF($A752&lt;&gt;"",MAXIFS(Token!$B:$B,Token!$A:$A,$D752),)</f>
        <v/>
      </c>
    </row>
    <row r="753">
      <c r="A753" s="39" t="str">
        <f>IF(AND($L753*1&gt;=$G$3,$L753*1&lt;=$G$4,$I753*$J753&gt;0,OR($I753&lt;&gt;$I754,$L753-$L754&gt;25),$I753/POW(10,$J753)*MAXIFS(Token!$B:$B,Token!$A:$A,$K753)&gt;0.01),$L753/86400+DATE(1970,1,1)+$G$6,)</f>
        <v/>
      </c>
      <c r="B753" s="27" t="str">
        <f t="shared" si="1"/>
        <v/>
      </c>
      <c r="C753" s="14" t="str">
        <f>IF($A753&lt;&gt;"",MINIFS(Merchant!$A:$A,Merchant!$B:$B,$G$2),)</f>
        <v/>
      </c>
      <c r="D753" s="14" t="str">
        <f t="shared" si="2"/>
        <v/>
      </c>
      <c r="E753" s="14" t="str">
        <f t="shared" si="3"/>
        <v/>
      </c>
      <c r="F753" s="7" t="str">
        <f>IF($A753&lt;&gt;"",MAXIFS(Token!$B:$B,Token!$A:$A,$D753),)</f>
        <v/>
      </c>
    </row>
    <row r="754">
      <c r="A754" s="39" t="str">
        <f>IF(AND($L754*1&gt;=$G$3,$L754*1&lt;=$G$4,$I754*$J754&gt;0,OR($I754&lt;&gt;$I755,$L754-$L755&gt;25),$I754/POW(10,$J754)*MAXIFS(Token!$B:$B,Token!$A:$A,$K754)&gt;0.01),$L754/86400+DATE(1970,1,1)+$G$6,)</f>
        <v/>
      </c>
      <c r="B754" s="27" t="str">
        <f t="shared" si="1"/>
        <v/>
      </c>
      <c r="C754" s="14" t="str">
        <f>IF($A754&lt;&gt;"",MINIFS(Merchant!$A:$A,Merchant!$B:$B,$G$2),)</f>
        <v/>
      </c>
      <c r="D754" s="14" t="str">
        <f t="shared" si="2"/>
        <v/>
      </c>
      <c r="E754" s="14" t="str">
        <f t="shared" si="3"/>
        <v/>
      </c>
      <c r="F754" s="7" t="str">
        <f>IF($A754&lt;&gt;"",MAXIFS(Token!$B:$B,Token!$A:$A,$D754),)</f>
        <v/>
      </c>
    </row>
    <row r="755">
      <c r="A755" s="39" t="str">
        <f>IF(AND($L755*1&gt;=$G$3,$L755*1&lt;=$G$4,$I755*$J755&gt;0,OR($I755&lt;&gt;$I756,$L755-$L756&gt;25),$I755/POW(10,$J755)*MAXIFS(Token!$B:$B,Token!$A:$A,$K755)&gt;0.01),$L755/86400+DATE(1970,1,1)+$G$6,)</f>
        <v/>
      </c>
      <c r="B755" s="27" t="str">
        <f t="shared" si="1"/>
        <v/>
      </c>
      <c r="C755" s="14" t="str">
        <f>IF($A755&lt;&gt;"",MINIFS(Merchant!$A:$A,Merchant!$B:$B,$G$2),)</f>
        <v/>
      </c>
      <c r="D755" s="14" t="str">
        <f t="shared" si="2"/>
        <v/>
      </c>
      <c r="E755" s="14" t="str">
        <f t="shared" si="3"/>
        <v/>
      </c>
      <c r="F755" s="7" t="str">
        <f>IF($A755&lt;&gt;"",MAXIFS(Token!$B:$B,Token!$A:$A,$D755),)</f>
        <v/>
      </c>
    </row>
    <row r="756">
      <c r="A756" s="39" t="str">
        <f>IF(AND($L756*1&gt;=$G$3,$L756*1&lt;=$G$4,$I756*$J756&gt;0,OR($I756&lt;&gt;$I757,$L756-$L757&gt;25),$I756/POW(10,$J756)*MAXIFS(Token!$B:$B,Token!$A:$A,$K756)&gt;0.01),$L756/86400+DATE(1970,1,1)+$G$6,)</f>
        <v/>
      </c>
      <c r="B756" s="27" t="str">
        <f t="shared" si="1"/>
        <v/>
      </c>
      <c r="C756" s="14" t="str">
        <f>IF($A756&lt;&gt;"",MINIFS(Merchant!$A:$A,Merchant!$B:$B,$G$2),)</f>
        <v/>
      </c>
      <c r="D756" s="14" t="str">
        <f t="shared" si="2"/>
        <v/>
      </c>
      <c r="E756" s="14" t="str">
        <f t="shared" si="3"/>
        <v/>
      </c>
      <c r="F756" s="7" t="str">
        <f>IF($A756&lt;&gt;"",MAXIFS(Token!$B:$B,Token!$A:$A,$D756),)</f>
        <v/>
      </c>
    </row>
    <row r="757">
      <c r="A757" s="39" t="str">
        <f>IF(AND($L757*1&gt;=$G$3,$L757*1&lt;=$G$4,$I757*$J757&gt;0,OR($I757&lt;&gt;$I758,$L757-$L758&gt;25),$I757/POW(10,$J757)*MAXIFS(Token!$B:$B,Token!$A:$A,$K757)&gt;0.01),$L757/86400+DATE(1970,1,1)+$G$6,)</f>
        <v/>
      </c>
      <c r="B757" s="27" t="str">
        <f t="shared" si="1"/>
        <v/>
      </c>
      <c r="C757" s="14" t="str">
        <f>IF($A757&lt;&gt;"",MINIFS(Merchant!$A:$A,Merchant!$B:$B,$G$2),)</f>
        <v/>
      </c>
      <c r="D757" s="14" t="str">
        <f t="shared" si="2"/>
        <v/>
      </c>
      <c r="E757" s="14" t="str">
        <f t="shared" si="3"/>
        <v/>
      </c>
      <c r="F757" s="7" t="str">
        <f>IF($A757&lt;&gt;"",MAXIFS(Token!$B:$B,Token!$A:$A,$D757),)</f>
        <v/>
      </c>
    </row>
    <row r="758">
      <c r="A758" s="39" t="str">
        <f>IF(AND($L758*1&gt;=$G$3,$L758*1&lt;=$G$4,$I758*$J758&gt;0,OR($I758&lt;&gt;$I759,$L758-$L759&gt;25),$I758/POW(10,$J758)*MAXIFS(Token!$B:$B,Token!$A:$A,$K758)&gt;0.01),$L758/86400+DATE(1970,1,1)+$G$6,)</f>
        <v/>
      </c>
      <c r="B758" s="27" t="str">
        <f t="shared" si="1"/>
        <v/>
      </c>
      <c r="C758" s="14" t="str">
        <f>IF($A758&lt;&gt;"",MINIFS(Merchant!$A:$A,Merchant!$B:$B,$G$2),)</f>
        <v/>
      </c>
      <c r="D758" s="14" t="str">
        <f t="shared" si="2"/>
        <v/>
      </c>
      <c r="E758" s="14" t="str">
        <f t="shared" si="3"/>
        <v/>
      </c>
      <c r="F758" s="7" t="str">
        <f>IF($A758&lt;&gt;"",MAXIFS(Token!$B:$B,Token!$A:$A,$D758),)</f>
        <v/>
      </c>
    </row>
    <row r="759">
      <c r="A759" s="39" t="str">
        <f>IF(AND($L759*1&gt;=$G$3,$L759*1&lt;=$G$4,$I759*$J759&gt;0,OR($I759&lt;&gt;$I760,$L759-$L760&gt;25),$I759/POW(10,$J759)*MAXIFS(Token!$B:$B,Token!$A:$A,$K759)&gt;0.01),$L759/86400+DATE(1970,1,1)+$G$6,)</f>
        <v/>
      </c>
      <c r="B759" s="27" t="str">
        <f t="shared" si="1"/>
        <v/>
      </c>
      <c r="C759" s="14" t="str">
        <f>IF($A759&lt;&gt;"",MINIFS(Merchant!$A:$A,Merchant!$B:$B,$G$2),)</f>
        <v/>
      </c>
      <c r="D759" s="14" t="str">
        <f t="shared" si="2"/>
        <v/>
      </c>
      <c r="E759" s="14" t="str">
        <f t="shared" si="3"/>
        <v/>
      </c>
      <c r="F759" s="7" t="str">
        <f>IF($A759&lt;&gt;"",MAXIFS(Token!$B:$B,Token!$A:$A,$D759),)</f>
        <v/>
      </c>
    </row>
    <row r="760">
      <c r="A760" s="39" t="str">
        <f>IF(AND($L760*1&gt;=$G$3,$L760*1&lt;=$G$4,$I760*$J760&gt;0,OR($I760&lt;&gt;$I761,$L760-$L761&gt;25),$I760/POW(10,$J760)*MAXIFS(Token!$B:$B,Token!$A:$A,$K760)&gt;0.01),$L760/86400+DATE(1970,1,1)+$G$6,)</f>
        <v/>
      </c>
      <c r="B760" s="27" t="str">
        <f t="shared" si="1"/>
        <v/>
      </c>
      <c r="C760" s="14" t="str">
        <f>IF($A760&lt;&gt;"",MINIFS(Merchant!$A:$A,Merchant!$B:$B,$G$2),)</f>
        <v/>
      </c>
      <c r="D760" s="14" t="str">
        <f t="shared" si="2"/>
        <v/>
      </c>
      <c r="E760" s="14" t="str">
        <f t="shared" si="3"/>
        <v/>
      </c>
      <c r="F760" s="7" t="str">
        <f>IF($A760&lt;&gt;"",MAXIFS(Token!$B:$B,Token!$A:$A,$D760),)</f>
        <v/>
      </c>
    </row>
    <row r="761">
      <c r="A761" s="39" t="str">
        <f>IF(AND($L761*1&gt;=$G$3,$L761*1&lt;=$G$4,$I761*$J761&gt;0,OR($I761&lt;&gt;$I762,$L761-$L762&gt;25),$I761/POW(10,$J761)*MAXIFS(Token!$B:$B,Token!$A:$A,$K761)&gt;0.01),$L761/86400+DATE(1970,1,1)+$G$6,)</f>
        <v/>
      </c>
      <c r="B761" s="27" t="str">
        <f t="shared" si="1"/>
        <v/>
      </c>
      <c r="C761" s="14" t="str">
        <f>IF($A761&lt;&gt;"",MINIFS(Merchant!$A:$A,Merchant!$B:$B,$G$2),)</f>
        <v/>
      </c>
      <c r="D761" s="14" t="str">
        <f t="shared" si="2"/>
        <v/>
      </c>
      <c r="E761" s="14" t="str">
        <f t="shared" si="3"/>
        <v/>
      </c>
      <c r="F761" s="7" t="str">
        <f>IF($A761&lt;&gt;"",MAXIFS(Token!$B:$B,Token!$A:$A,$D761),)</f>
        <v/>
      </c>
    </row>
    <row r="762">
      <c r="A762" s="39" t="str">
        <f>IF(AND($L762*1&gt;=$G$3,$L762*1&lt;=$G$4,$I762*$J762&gt;0,OR($I762&lt;&gt;$I763,$L762-$L763&gt;25),$I762/POW(10,$J762)*MAXIFS(Token!$B:$B,Token!$A:$A,$K762)&gt;0.01),$L762/86400+DATE(1970,1,1)+$G$6,)</f>
        <v/>
      </c>
      <c r="B762" s="27" t="str">
        <f t="shared" si="1"/>
        <v/>
      </c>
      <c r="C762" s="14" t="str">
        <f>IF($A762&lt;&gt;"",MINIFS(Merchant!$A:$A,Merchant!$B:$B,$G$2),)</f>
        <v/>
      </c>
      <c r="D762" s="14" t="str">
        <f t="shared" si="2"/>
        <v/>
      </c>
      <c r="E762" s="14" t="str">
        <f t="shared" si="3"/>
        <v/>
      </c>
      <c r="F762" s="7" t="str">
        <f>IF($A762&lt;&gt;"",MAXIFS(Token!$B:$B,Token!$A:$A,$D762),)</f>
        <v/>
      </c>
    </row>
    <row r="763">
      <c r="A763" s="39" t="str">
        <f>IF(AND($L763*1&gt;=$G$3,$L763*1&lt;=$G$4,$I763*$J763&gt;0,OR($I763&lt;&gt;$I764,$L763-$L764&gt;25),$I763/POW(10,$J763)*MAXIFS(Token!$B:$B,Token!$A:$A,$K763)&gt;0.01),$L763/86400+DATE(1970,1,1)+$G$6,)</f>
        <v/>
      </c>
      <c r="B763" s="27" t="str">
        <f t="shared" si="1"/>
        <v/>
      </c>
      <c r="C763" s="14" t="str">
        <f>IF($A763&lt;&gt;"",MINIFS(Merchant!$A:$A,Merchant!$B:$B,$G$2),)</f>
        <v/>
      </c>
      <c r="D763" s="14" t="str">
        <f t="shared" si="2"/>
        <v/>
      </c>
      <c r="E763" s="14" t="str">
        <f t="shared" si="3"/>
        <v/>
      </c>
      <c r="F763" s="7" t="str">
        <f>IF($A763&lt;&gt;"",MAXIFS(Token!$B:$B,Token!$A:$A,$D763),)</f>
        <v/>
      </c>
    </row>
    <row r="764">
      <c r="A764" s="39" t="str">
        <f>IF(AND($L764*1&gt;=$G$3,$L764*1&lt;=$G$4,$I764*$J764&gt;0,OR($I764&lt;&gt;$I765,$L764-$L765&gt;25),$I764/POW(10,$J764)*MAXIFS(Token!$B:$B,Token!$A:$A,$K764)&gt;0.01),$L764/86400+DATE(1970,1,1)+$G$6,)</f>
        <v/>
      </c>
      <c r="B764" s="27" t="str">
        <f t="shared" si="1"/>
        <v/>
      </c>
      <c r="C764" s="14" t="str">
        <f>IF($A764&lt;&gt;"",MINIFS(Merchant!$A:$A,Merchant!$B:$B,$G$2),)</f>
        <v/>
      </c>
      <c r="D764" s="14" t="str">
        <f t="shared" si="2"/>
        <v/>
      </c>
      <c r="E764" s="14" t="str">
        <f t="shared" si="3"/>
        <v/>
      </c>
      <c r="F764" s="7" t="str">
        <f>IF($A764&lt;&gt;"",MAXIFS(Token!$B:$B,Token!$A:$A,$D764),)</f>
        <v/>
      </c>
    </row>
    <row r="765">
      <c r="A765" s="39" t="str">
        <f>IF(AND($L765*1&gt;=$G$3,$L765*1&lt;=$G$4,$I765*$J765&gt;0,OR($I765&lt;&gt;$I766,$L765-$L766&gt;25),$I765/POW(10,$J765)*MAXIFS(Token!$B:$B,Token!$A:$A,$K765)&gt;0.01),$L765/86400+DATE(1970,1,1)+$G$6,)</f>
        <v/>
      </c>
      <c r="B765" s="27" t="str">
        <f t="shared" si="1"/>
        <v/>
      </c>
      <c r="C765" s="14" t="str">
        <f>IF($A765&lt;&gt;"",MINIFS(Merchant!$A:$A,Merchant!$B:$B,$G$2),)</f>
        <v/>
      </c>
      <c r="D765" s="14" t="str">
        <f t="shared" si="2"/>
        <v/>
      </c>
      <c r="E765" s="14" t="str">
        <f t="shared" si="3"/>
        <v/>
      </c>
      <c r="F765" s="7" t="str">
        <f>IF($A765&lt;&gt;"",MAXIFS(Token!$B:$B,Token!$A:$A,$D765),)</f>
        <v/>
      </c>
    </row>
    <row r="766">
      <c r="A766" s="39" t="str">
        <f>IF(AND($L766*1&gt;=$G$3,$L766*1&lt;=$G$4,$I766*$J766&gt;0,OR($I766&lt;&gt;$I767,$L766-$L767&gt;25),$I766/POW(10,$J766)*MAXIFS(Token!$B:$B,Token!$A:$A,$K766)&gt;0.01),$L766/86400+DATE(1970,1,1)+$G$6,)</f>
        <v/>
      </c>
      <c r="B766" s="27" t="str">
        <f t="shared" si="1"/>
        <v/>
      </c>
      <c r="C766" s="14" t="str">
        <f>IF($A766&lt;&gt;"",MINIFS(Merchant!$A:$A,Merchant!$B:$B,$G$2),)</f>
        <v/>
      </c>
      <c r="D766" s="14" t="str">
        <f t="shared" si="2"/>
        <v/>
      </c>
      <c r="E766" s="14" t="str">
        <f t="shared" si="3"/>
        <v/>
      </c>
      <c r="F766" s="7" t="str">
        <f>IF($A766&lt;&gt;"",MAXIFS(Token!$B:$B,Token!$A:$A,$D766),)</f>
        <v/>
      </c>
    </row>
    <row r="767">
      <c r="A767" s="39" t="str">
        <f>IF(AND($L767*1&gt;=$G$3,$L767*1&lt;=$G$4,$I767*$J767&gt;0,OR($I767&lt;&gt;$I768,$L767-$L768&gt;25),$I767/POW(10,$J767)*MAXIFS(Token!$B:$B,Token!$A:$A,$K767)&gt;0.01),$L767/86400+DATE(1970,1,1)+$G$6,)</f>
        <v/>
      </c>
      <c r="B767" s="27" t="str">
        <f t="shared" si="1"/>
        <v/>
      </c>
      <c r="C767" s="14" t="str">
        <f>IF($A767&lt;&gt;"",MINIFS(Merchant!$A:$A,Merchant!$B:$B,$G$2),)</f>
        <v/>
      </c>
      <c r="D767" s="14" t="str">
        <f t="shared" si="2"/>
        <v/>
      </c>
      <c r="E767" s="14" t="str">
        <f t="shared" si="3"/>
        <v/>
      </c>
      <c r="F767" s="7" t="str">
        <f>IF($A767&lt;&gt;"",MAXIFS(Token!$B:$B,Token!$A:$A,$D767),)</f>
        <v/>
      </c>
    </row>
    <row r="768">
      <c r="A768" s="39" t="str">
        <f>IF(AND($L768*1&gt;=$G$3,$L768*1&lt;=$G$4,$I768*$J768&gt;0,OR($I768&lt;&gt;$I769,$L768-$L769&gt;25),$I768/POW(10,$J768)*MAXIFS(Token!$B:$B,Token!$A:$A,$K768)&gt;0.01),$L768/86400+DATE(1970,1,1)+$G$6,)</f>
        <v/>
      </c>
      <c r="B768" s="27" t="str">
        <f t="shared" si="1"/>
        <v/>
      </c>
      <c r="C768" s="14" t="str">
        <f>IF($A768&lt;&gt;"",MINIFS(Merchant!$A:$A,Merchant!$B:$B,$G$2),)</f>
        <v/>
      </c>
      <c r="D768" s="14" t="str">
        <f t="shared" si="2"/>
        <v/>
      </c>
      <c r="E768" s="14" t="str">
        <f t="shared" si="3"/>
        <v/>
      </c>
      <c r="F768" s="7" t="str">
        <f>IF($A768&lt;&gt;"",MAXIFS(Token!$B:$B,Token!$A:$A,$D768),)</f>
        <v/>
      </c>
    </row>
    <row r="769">
      <c r="A769" s="39" t="str">
        <f>IF(AND($L769*1&gt;=$G$3,$L769*1&lt;=$G$4,$I769*$J769&gt;0,OR($I769&lt;&gt;$I770,$L769-$L770&gt;25),$I769/POW(10,$J769)*MAXIFS(Token!$B:$B,Token!$A:$A,$K769)&gt;0.01),$L769/86400+DATE(1970,1,1)+$G$6,)</f>
        <v/>
      </c>
      <c r="B769" s="27" t="str">
        <f t="shared" si="1"/>
        <v/>
      </c>
      <c r="C769" s="14" t="str">
        <f>IF($A769&lt;&gt;"",MINIFS(Merchant!$A:$A,Merchant!$B:$B,$G$2),)</f>
        <v/>
      </c>
      <c r="D769" s="14" t="str">
        <f t="shared" si="2"/>
        <v/>
      </c>
      <c r="E769" s="14" t="str">
        <f t="shared" si="3"/>
        <v/>
      </c>
      <c r="F769" s="7" t="str">
        <f>IF($A769&lt;&gt;"",MAXIFS(Token!$B:$B,Token!$A:$A,$D769),)</f>
        <v/>
      </c>
    </row>
    <row r="770">
      <c r="A770" s="39" t="str">
        <f>IF(AND($L770*1&gt;=$G$3,$L770*1&lt;=$G$4,$I770*$J770&gt;0,OR($I770&lt;&gt;$I771,$L770-$L771&gt;25),$I770/POW(10,$J770)*MAXIFS(Token!$B:$B,Token!$A:$A,$K770)&gt;0.01),$L770/86400+DATE(1970,1,1)+$G$6,)</f>
        <v/>
      </c>
      <c r="B770" s="27" t="str">
        <f t="shared" si="1"/>
        <v/>
      </c>
      <c r="C770" s="14" t="str">
        <f>IF($A770&lt;&gt;"",MINIFS(Merchant!$A:$A,Merchant!$B:$B,$G$2),)</f>
        <v/>
      </c>
      <c r="D770" s="14" t="str">
        <f t="shared" si="2"/>
        <v/>
      </c>
      <c r="E770" s="14" t="str">
        <f t="shared" si="3"/>
        <v/>
      </c>
      <c r="F770" s="7" t="str">
        <f>IF($A770&lt;&gt;"",MAXIFS(Token!$B:$B,Token!$A:$A,$D770),)</f>
        <v/>
      </c>
    </row>
    <row r="771">
      <c r="A771" s="39" t="str">
        <f>IF(AND($L771*1&gt;=$G$3,$L771*1&lt;=$G$4,$I771*$J771&gt;0,OR($I771&lt;&gt;$I772,$L771-$L772&gt;25),$I771/POW(10,$J771)*MAXIFS(Token!$B:$B,Token!$A:$A,$K771)&gt;0.01),$L771/86400+DATE(1970,1,1)+$G$6,)</f>
        <v/>
      </c>
      <c r="B771" s="27" t="str">
        <f t="shared" si="1"/>
        <v/>
      </c>
      <c r="C771" s="14" t="str">
        <f>IF($A771&lt;&gt;"",MINIFS(Merchant!$A:$A,Merchant!$B:$B,$G$2),)</f>
        <v/>
      </c>
      <c r="D771" s="14" t="str">
        <f t="shared" si="2"/>
        <v/>
      </c>
      <c r="E771" s="14" t="str">
        <f t="shared" si="3"/>
        <v/>
      </c>
      <c r="F771" s="7" t="str">
        <f>IF($A771&lt;&gt;"",MAXIFS(Token!$B:$B,Token!$A:$A,$D771),)</f>
        <v/>
      </c>
    </row>
    <row r="772">
      <c r="A772" s="39" t="str">
        <f>IF(AND($L772*1&gt;=$G$3,$L772*1&lt;=$G$4,$I772*$J772&gt;0,OR($I772&lt;&gt;$I773,$L772-$L773&gt;25),$I772/POW(10,$J772)*MAXIFS(Token!$B:$B,Token!$A:$A,$K772)&gt;0.01),$L772/86400+DATE(1970,1,1)+$G$6,)</f>
        <v/>
      </c>
      <c r="B772" s="27" t="str">
        <f t="shared" si="1"/>
        <v/>
      </c>
      <c r="C772" s="14" t="str">
        <f>IF($A772&lt;&gt;"",MINIFS(Merchant!$A:$A,Merchant!$B:$B,$G$2),)</f>
        <v/>
      </c>
      <c r="D772" s="14" t="str">
        <f t="shared" si="2"/>
        <v/>
      </c>
      <c r="E772" s="14" t="str">
        <f t="shared" si="3"/>
        <v/>
      </c>
      <c r="F772" s="7" t="str">
        <f>IF($A772&lt;&gt;"",MAXIFS(Token!$B:$B,Token!$A:$A,$D772),)</f>
        <v/>
      </c>
    </row>
    <row r="773">
      <c r="A773" s="39" t="str">
        <f>IF(AND($L773*1&gt;=$G$3,$L773*1&lt;=$G$4,$I773*$J773&gt;0,OR($I773&lt;&gt;$I774,$L773-$L774&gt;25),$I773/POW(10,$J773)*MAXIFS(Token!$B:$B,Token!$A:$A,$K773)&gt;0.01),$L773/86400+DATE(1970,1,1)+$G$6,)</f>
        <v/>
      </c>
      <c r="B773" s="27" t="str">
        <f t="shared" si="1"/>
        <v/>
      </c>
      <c r="C773" s="14" t="str">
        <f>IF($A773&lt;&gt;"",MINIFS(Merchant!$A:$A,Merchant!$B:$B,$G$2),)</f>
        <v/>
      </c>
      <c r="D773" s="14" t="str">
        <f t="shared" si="2"/>
        <v/>
      </c>
      <c r="E773" s="14" t="str">
        <f t="shared" si="3"/>
        <v/>
      </c>
      <c r="F773" s="7" t="str">
        <f>IF($A773&lt;&gt;"",MAXIFS(Token!$B:$B,Token!$A:$A,$D773),)</f>
        <v/>
      </c>
    </row>
    <row r="774">
      <c r="A774" s="39" t="str">
        <f>IF(AND($L774*1&gt;=$G$3,$L774*1&lt;=$G$4,$I774*$J774&gt;0,OR($I774&lt;&gt;$I775,$L774-$L775&gt;25),$I774/POW(10,$J774)*MAXIFS(Token!$B:$B,Token!$A:$A,$K774)&gt;0.01),$L774/86400+DATE(1970,1,1)+$G$6,)</f>
        <v/>
      </c>
      <c r="B774" s="27" t="str">
        <f t="shared" si="1"/>
        <v/>
      </c>
      <c r="C774" s="14" t="str">
        <f>IF($A774&lt;&gt;"",MINIFS(Merchant!$A:$A,Merchant!$B:$B,$G$2),)</f>
        <v/>
      </c>
      <c r="D774" s="14" t="str">
        <f t="shared" si="2"/>
        <v/>
      </c>
      <c r="E774" s="14" t="str">
        <f t="shared" si="3"/>
        <v/>
      </c>
      <c r="F774" s="7" t="str">
        <f>IF($A774&lt;&gt;"",MAXIFS(Token!$B:$B,Token!$A:$A,$D774),)</f>
        <v/>
      </c>
    </row>
    <row r="775">
      <c r="A775" s="39" t="str">
        <f>IF(AND($L775*1&gt;=$G$3,$L775*1&lt;=$G$4,$I775*$J775&gt;0,OR($I775&lt;&gt;$I776,$L775-$L776&gt;25),$I775/POW(10,$J775)*MAXIFS(Token!$B:$B,Token!$A:$A,$K775)&gt;0.01),$L775/86400+DATE(1970,1,1)+$G$6,)</f>
        <v/>
      </c>
      <c r="B775" s="27" t="str">
        <f t="shared" si="1"/>
        <v/>
      </c>
      <c r="C775" s="14" t="str">
        <f>IF($A775&lt;&gt;"",MINIFS(Merchant!$A:$A,Merchant!$B:$B,$G$2),)</f>
        <v/>
      </c>
      <c r="D775" s="14" t="str">
        <f t="shared" si="2"/>
        <v/>
      </c>
      <c r="E775" s="14" t="str">
        <f t="shared" si="3"/>
        <v/>
      </c>
      <c r="F775" s="7" t="str">
        <f>IF($A775&lt;&gt;"",MAXIFS(Token!$B:$B,Token!$A:$A,$D775),)</f>
        <v/>
      </c>
    </row>
    <row r="776">
      <c r="A776" s="39" t="str">
        <f>IF(AND($L776*1&gt;=$G$3,$L776*1&lt;=$G$4,$I776*$J776&gt;0,OR($I776&lt;&gt;$I777,$L776-$L777&gt;25),$I776/POW(10,$J776)*MAXIFS(Token!$B:$B,Token!$A:$A,$K776)&gt;0.01),$L776/86400+DATE(1970,1,1)+$G$6,)</f>
        <v/>
      </c>
      <c r="B776" s="27" t="str">
        <f t="shared" si="1"/>
        <v/>
      </c>
      <c r="C776" s="14" t="str">
        <f>IF($A776&lt;&gt;"",MINIFS(Merchant!$A:$A,Merchant!$B:$B,$G$2),)</f>
        <v/>
      </c>
      <c r="D776" s="14" t="str">
        <f t="shared" si="2"/>
        <v/>
      </c>
      <c r="E776" s="14" t="str">
        <f t="shared" si="3"/>
        <v/>
      </c>
      <c r="F776" s="7" t="str">
        <f>IF($A776&lt;&gt;"",MAXIFS(Token!$B:$B,Token!$A:$A,$D776),)</f>
        <v/>
      </c>
    </row>
    <row r="777">
      <c r="A777" s="39" t="str">
        <f>IF(AND($L777*1&gt;=$G$3,$L777*1&lt;=$G$4,$I777*$J777&gt;0,OR($I777&lt;&gt;$I778,$L777-$L778&gt;25),$I777/POW(10,$J777)*MAXIFS(Token!$B:$B,Token!$A:$A,$K777)&gt;0.01),$L777/86400+DATE(1970,1,1)+$G$6,)</f>
        <v/>
      </c>
      <c r="B777" s="27" t="str">
        <f t="shared" si="1"/>
        <v/>
      </c>
      <c r="C777" s="14" t="str">
        <f>IF($A777&lt;&gt;"",MINIFS(Merchant!$A:$A,Merchant!$B:$B,$G$2),)</f>
        <v/>
      </c>
      <c r="D777" s="14" t="str">
        <f t="shared" si="2"/>
        <v/>
      </c>
      <c r="E777" s="14" t="str">
        <f t="shared" si="3"/>
        <v/>
      </c>
      <c r="F777" s="7" t="str">
        <f>IF($A777&lt;&gt;"",MAXIFS(Token!$B:$B,Token!$A:$A,$D777),)</f>
        <v/>
      </c>
    </row>
    <row r="778">
      <c r="A778" s="39" t="str">
        <f>IF(AND($L778*1&gt;=$G$3,$L778*1&lt;=$G$4,$I778*$J778&gt;0,OR($I778&lt;&gt;$I779,$L778-$L779&gt;25),$I778/POW(10,$J778)*MAXIFS(Token!$B:$B,Token!$A:$A,$K778)&gt;0.01),$L778/86400+DATE(1970,1,1)+$G$6,)</f>
        <v/>
      </c>
      <c r="B778" s="27" t="str">
        <f t="shared" si="1"/>
        <v/>
      </c>
      <c r="C778" s="14" t="str">
        <f>IF($A778&lt;&gt;"",MINIFS(Merchant!$A:$A,Merchant!$B:$B,$G$2),)</f>
        <v/>
      </c>
      <c r="D778" s="14" t="str">
        <f t="shared" si="2"/>
        <v/>
      </c>
      <c r="E778" s="14" t="str">
        <f t="shared" si="3"/>
        <v/>
      </c>
      <c r="F778" s="7" t="str">
        <f>IF($A778&lt;&gt;"",MAXIFS(Token!$B:$B,Token!$A:$A,$D778),)</f>
        <v/>
      </c>
    </row>
    <row r="779">
      <c r="A779" s="39" t="str">
        <f>IF(AND($L779*1&gt;=$G$3,$L779*1&lt;=$G$4,$I779*$J779&gt;0,OR($I779&lt;&gt;$I780,$L779-$L780&gt;25),$I779/POW(10,$J779)*MAXIFS(Token!$B:$B,Token!$A:$A,$K779)&gt;0.01),$L779/86400+DATE(1970,1,1)+$G$6,)</f>
        <v/>
      </c>
      <c r="B779" s="27" t="str">
        <f t="shared" si="1"/>
        <v/>
      </c>
      <c r="C779" s="14" t="str">
        <f>IF($A779&lt;&gt;"",MINIFS(Merchant!$A:$A,Merchant!$B:$B,$G$2),)</f>
        <v/>
      </c>
      <c r="D779" s="14" t="str">
        <f t="shared" si="2"/>
        <v/>
      </c>
      <c r="E779" s="14" t="str">
        <f t="shared" si="3"/>
        <v/>
      </c>
      <c r="F779" s="7" t="str">
        <f>IF($A779&lt;&gt;"",MAXIFS(Token!$B:$B,Token!$A:$A,$D779),)</f>
        <v/>
      </c>
    </row>
    <row r="780">
      <c r="A780" s="39" t="str">
        <f>IF(AND($L780*1&gt;=$G$3,$L780*1&lt;=$G$4,$I780*$J780&gt;0,OR($I780&lt;&gt;$I781,$L780-$L781&gt;25),$I780/POW(10,$J780)*MAXIFS(Token!$B:$B,Token!$A:$A,$K780)&gt;0.01),$L780/86400+DATE(1970,1,1)+$G$6,)</f>
        <v/>
      </c>
      <c r="B780" s="27" t="str">
        <f t="shared" si="1"/>
        <v/>
      </c>
      <c r="C780" s="14" t="str">
        <f>IF($A780&lt;&gt;"",MINIFS(Merchant!$A:$A,Merchant!$B:$B,$G$2),)</f>
        <v/>
      </c>
      <c r="D780" s="14" t="str">
        <f t="shared" si="2"/>
        <v/>
      </c>
      <c r="E780" s="14" t="str">
        <f t="shared" si="3"/>
        <v/>
      </c>
      <c r="F780" s="7" t="str">
        <f>IF($A780&lt;&gt;"",MAXIFS(Token!$B:$B,Token!$A:$A,$D780),)</f>
        <v/>
      </c>
    </row>
    <row r="781">
      <c r="A781" s="39" t="str">
        <f>IF(AND($L781*1&gt;=$G$3,$L781*1&lt;=$G$4,$I781*$J781&gt;0,OR($I781&lt;&gt;$I782,$L781-$L782&gt;25),$I781/POW(10,$J781)*MAXIFS(Token!$B:$B,Token!$A:$A,$K781)&gt;0.01),$L781/86400+DATE(1970,1,1)+$G$6,)</f>
        <v/>
      </c>
      <c r="B781" s="27" t="str">
        <f t="shared" si="1"/>
        <v/>
      </c>
      <c r="C781" s="14" t="str">
        <f>IF($A781&lt;&gt;"",MINIFS(Merchant!$A:$A,Merchant!$B:$B,$G$2),)</f>
        <v/>
      </c>
      <c r="D781" s="14" t="str">
        <f t="shared" si="2"/>
        <v/>
      </c>
      <c r="E781" s="14" t="str">
        <f t="shared" si="3"/>
        <v/>
      </c>
      <c r="F781" s="7" t="str">
        <f>IF($A781&lt;&gt;"",MAXIFS(Token!$B:$B,Token!$A:$A,$D781),)</f>
        <v/>
      </c>
    </row>
    <row r="782">
      <c r="A782" s="39" t="str">
        <f>IF(AND($L782*1&gt;=$G$3,$L782*1&lt;=$G$4,$I782*$J782&gt;0,OR($I782&lt;&gt;$I783,$L782-$L783&gt;25),$I782/POW(10,$J782)*MAXIFS(Token!$B:$B,Token!$A:$A,$K782)&gt;0.01),$L782/86400+DATE(1970,1,1)+$G$6,)</f>
        <v/>
      </c>
      <c r="B782" s="27" t="str">
        <f t="shared" si="1"/>
        <v/>
      </c>
      <c r="C782" s="14" t="str">
        <f>IF($A782&lt;&gt;"",MINIFS(Merchant!$A:$A,Merchant!$B:$B,$G$2),)</f>
        <v/>
      </c>
      <c r="D782" s="14" t="str">
        <f t="shared" si="2"/>
        <v/>
      </c>
      <c r="E782" s="14" t="str">
        <f t="shared" si="3"/>
        <v/>
      </c>
      <c r="F782" s="7" t="str">
        <f>IF($A782&lt;&gt;"",MAXIFS(Token!$B:$B,Token!$A:$A,$D782),)</f>
        <v/>
      </c>
    </row>
    <row r="783">
      <c r="A783" s="39" t="str">
        <f>IF(AND($L783*1&gt;=$G$3,$L783*1&lt;=$G$4,$I783*$J783&gt;0,OR($I783&lt;&gt;$I784,$L783-$L784&gt;25),$I783/POW(10,$J783)*MAXIFS(Token!$B:$B,Token!$A:$A,$K783)&gt;0.01),$L783/86400+DATE(1970,1,1)+$G$6,)</f>
        <v/>
      </c>
      <c r="B783" s="27" t="str">
        <f t="shared" si="1"/>
        <v/>
      </c>
      <c r="C783" s="14" t="str">
        <f>IF($A783&lt;&gt;"",MINIFS(Merchant!$A:$A,Merchant!$B:$B,$G$2),)</f>
        <v/>
      </c>
      <c r="D783" s="14" t="str">
        <f t="shared" si="2"/>
        <v/>
      </c>
      <c r="E783" s="14" t="str">
        <f t="shared" si="3"/>
        <v/>
      </c>
      <c r="F783" s="7" t="str">
        <f>IF($A783&lt;&gt;"",MAXIFS(Token!$B:$B,Token!$A:$A,$D783),)</f>
        <v/>
      </c>
    </row>
    <row r="784">
      <c r="A784" s="39" t="str">
        <f>IF(AND($L784*1&gt;=$G$3,$L784*1&lt;=$G$4,$I784*$J784&gt;0,OR($I784&lt;&gt;$I785,$L784-$L785&gt;25),$I784/POW(10,$J784)*MAXIFS(Token!$B:$B,Token!$A:$A,$K784)&gt;0.01),$L784/86400+DATE(1970,1,1)+$G$6,)</f>
        <v/>
      </c>
      <c r="B784" s="27" t="str">
        <f t="shared" si="1"/>
        <v/>
      </c>
      <c r="C784" s="14" t="str">
        <f>IF($A784&lt;&gt;"",MINIFS(Merchant!$A:$A,Merchant!$B:$B,$G$2),)</f>
        <v/>
      </c>
      <c r="D784" s="14" t="str">
        <f t="shared" si="2"/>
        <v/>
      </c>
      <c r="E784" s="14" t="str">
        <f t="shared" si="3"/>
        <v/>
      </c>
      <c r="F784" s="7" t="str">
        <f>IF($A784&lt;&gt;"",MAXIFS(Token!$B:$B,Token!$A:$A,$D784),)</f>
        <v/>
      </c>
    </row>
    <row r="785">
      <c r="A785" s="39" t="str">
        <f>IF(AND($L785*1&gt;=$G$3,$L785*1&lt;=$G$4,$I785*$J785&gt;0,OR($I785&lt;&gt;$I786,$L785-$L786&gt;25),$I785/POW(10,$J785)*MAXIFS(Token!$B:$B,Token!$A:$A,$K785)&gt;0.01),$L785/86400+DATE(1970,1,1)+$G$6,)</f>
        <v/>
      </c>
      <c r="B785" s="27" t="str">
        <f t="shared" si="1"/>
        <v/>
      </c>
      <c r="C785" s="14" t="str">
        <f>IF($A785&lt;&gt;"",MINIFS(Merchant!$A:$A,Merchant!$B:$B,$G$2),)</f>
        <v/>
      </c>
      <c r="D785" s="14" t="str">
        <f t="shared" si="2"/>
        <v/>
      </c>
      <c r="E785" s="14" t="str">
        <f t="shared" si="3"/>
        <v/>
      </c>
      <c r="F785" s="7" t="str">
        <f>IF($A785&lt;&gt;"",MAXIFS(Token!$B:$B,Token!$A:$A,$D785),)</f>
        <v/>
      </c>
    </row>
    <row r="786">
      <c r="A786" s="39" t="str">
        <f>IF(AND($L786*1&gt;=$G$3,$L786*1&lt;=$G$4,$I786*$J786&gt;0,OR($I786&lt;&gt;$I787,$L786-$L787&gt;25),$I786/POW(10,$J786)*MAXIFS(Token!$B:$B,Token!$A:$A,$K786)&gt;0.01),$L786/86400+DATE(1970,1,1)+$G$6,)</f>
        <v/>
      </c>
      <c r="B786" s="27" t="str">
        <f t="shared" si="1"/>
        <v/>
      </c>
      <c r="C786" s="14" t="str">
        <f>IF($A786&lt;&gt;"",MINIFS(Merchant!$A:$A,Merchant!$B:$B,$G$2),)</f>
        <v/>
      </c>
      <c r="D786" s="14" t="str">
        <f t="shared" si="2"/>
        <v/>
      </c>
      <c r="E786" s="14" t="str">
        <f t="shared" si="3"/>
        <v/>
      </c>
      <c r="F786" s="7" t="str">
        <f>IF($A786&lt;&gt;"",MAXIFS(Token!$B:$B,Token!$A:$A,$D786),)</f>
        <v/>
      </c>
    </row>
    <row r="787">
      <c r="A787" s="39" t="str">
        <f>IF(AND($L787*1&gt;=$G$3,$L787*1&lt;=$G$4,$I787*$J787&gt;0,OR($I787&lt;&gt;$I788,$L787-$L788&gt;25),$I787/POW(10,$J787)*MAXIFS(Token!$B:$B,Token!$A:$A,$K787)&gt;0.01),$L787/86400+DATE(1970,1,1)+$G$6,)</f>
        <v/>
      </c>
      <c r="B787" s="27" t="str">
        <f t="shared" si="1"/>
        <v/>
      </c>
      <c r="C787" s="14" t="str">
        <f>IF($A787&lt;&gt;"",MINIFS(Merchant!$A:$A,Merchant!$B:$B,$G$2),)</f>
        <v/>
      </c>
      <c r="D787" s="14" t="str">
        <f t="shared" si="2"/>
        <v/>
      </c>
      <c r="E787" s="14" t="str">
        <f t="shared" si="3"/>
        <v/>
      </c>
      <c r="F787" s="7" t="str">
        <f>IF($A787&lt;&gt;"",MAXIFS(Token!$B:$B,Token!$A:$A,$D787),)</f>
        <v/>
      </c>
    </row>
    <row r="788">
      <c r="A788" s="39" t="str">
        <f>IF(AND($L788*1&gt;=$G$3,$L788*1&lt;=$G$4,$I788*$J788&gt;0,OR($I788&lt;&gt;$I789,$L788-$L789&gt;25),$I788/POW(10,$J788)*MAXIFS(Token!$B:$B,Token!$A:$A,$K788)&gt;0.01),$L788/86400+DATE(1970,1,1)+$G$6,)</f>
        <v/>
      </c>
      <c r="B788" s="27" t="str">
        <f t="shared" si="1"/>
        <v/>
      </c>
      <c r="C788" s="14" t="str">
        <f>IF($A788&lt;&gt;"",MINIFS(Merchant!$A:$A,Merchant!$B:$B,$G$2),)</f>
        <v/>
      </c>
      <c r="D788" s="14" t="str">
        <f t="shared" si="2"/>
        <v/>
      </c>
      <c r="E788" s="14" t="str">
        <f t="shared" si="3"/>
        <v/>
      </c>
      <c r="F788" s="7" t="str">
        <f>IF($A788&lt;&gt;"",MAXIFS(Token!$B:$B,Token!$A:$A,$D788),)</f>
        <v/>
      </c>
    </row>
    <row r="789">
      <c r="A789" s="39" t="str">
        <f>IF(AND($L789*1&gt;=$G$3,$L789*1&lt;=$G$4,$I789*$J789&gt;0,OR($I789&lt;&gt;$I790,$L789-$L790&gt;25),$I789/POW(10,$J789)*MAXIFS(Token!$B:$B,Token!$A:$A,$K789)&gt;0.01),$L789/86400+DATE(1970,1,1)+$G$6,)</f>
        <v/>
      </c>
      <c r="B789" s="27" t="str">
        <f t="shared" si="1"/>
        <v/>
      </c>
      <c r="C789" s="14" t="str">
        <f>IF($A789&lt;&gt;"",MINIFS(Merchant!$A:$A,Merchant!$B:$B,$G$2),)</f>
        <v/>
      </c>
      <c r="D789" s="14" t="str">
        <f t="shared" si="2"/>
        <v/>
      </c>
      <c r="E789" s="14" t="str">
        <f t="shared" si="3"/>
        <v/>
      </c>
      <c r="F789" s="7" t="str">
        <f>IF($A789&lt;&gt;"",MAXIFS(Token!$B:$B,Token!$A:$A,$D789),)</f>
        <v/>
      </c>
    </row>
    <row r="790">
      <c r="A790" s="39" t="str">
        <f>IF(AND($L790*1&gt;=$G$3,$L790*1&lt;=$G$4,$I790*$J790&gt;0,OR($I790&lt;&gt;$I791,$L790-$L791&gt;25),$I790/POW(10,$J790)*MAXIFS(Token!$B:$B,Token!$A:$A,$K790)&gt;0.01),$L790/86400+DATE(1970,1,1)+$G$6,)</f>
        <v/>
      </c>
      <c r="B790" s="27" t="str">
        <f t="shared" si="1"/>
        <v/>
      </c>
      <c r="C790" s="14" t="str">
        <f>IF($A790&lt;&gt;"",MINIFS(Merchant!$A:$A,Merchant!$B:$B,$G$2),)</f>
        <v/>
      </c>
      <c r="D790" s="14" t="str">
        <f t="shared" si="2"/>
        <v/>
      </c>
      <c r="E790" s="14" t="str">
        <f t="shared" si="3"/>
        <v/>
      </c>
      <c r="F790" s="7" t="str">
        <f>IF($A790&lt;&gt;"",MAXIFS(Token!$B:$B,Token!$A:$A,$D790),)</f>
        <v/>
      </c>
    </row>
    <row r="791">
      <c r="A791" s="39" t="str">
        <f>IF(AND($L791*1&gt;=$G$3,$L791*1&lt;=$G$4,$I791*$J791&gt;0,OR($I791&lt;&gt;$I792,$L791-$L792&gt;25),$I791/POW(10,$J791)*MAXIFS(Token!$B:$B,Token!$A:$A,$K791)&gt;0.01),$L791/86400+DATE(1970,1,1)+$G$6,)</f>
        <v/>
      </c>
      <c r="B791" s="27" t="str">
        <f t="shared" si="1"/>
        <v/>
      </c>
      <c r="C791" s="14" t="str">
        <f>IF($A791&lt;&gt;"",MINIFS(Merchant!$A:$A,Merchant!$B:$B,$G$2),)</f>
        <v/>
      </c>
      <c r="D791" s="14" t="str">
        <f t="shared" si="2"/>
        <v/>
      </c>
      <c r="E791" s="14" t="str">
        <f t="shared" si="3"/>
        <v/>
      </c>
      <c r="F791" s="7" t="str">
        <f>IF($A791&lt;&gt;"",MAXIFS(Token!$B:$B,Token!$A:$A,$D791),)</f>
        <v/>
      </c>
    </row>
    <row r="792">
      <c r="A792" s="39" t="str">
        <f>IF(AND($L792*1&gt;=$G$3,$L792*1&lt;=$G$4,$I792*$J792&gt;0,OR($I792&lt;&gt;$I793,$L792-$L793&gt;25),$I792/POW(10,$J792)*MAXIFS(Token!$B:$B,Token!$A:$A,$K792)&gt;0.01),$L792/86400+DATE(1970,1,1)+$G$6,)</f>
        <v/>
      </c>
      <c r="B792" s="27" t="str">
        <f t="shared" si="1"/>
        <v/>
      </c>
      <c r="C792" s="14" t="str">
        <f>IF($A792&lt;&gt;"",MINIFS(Merchant!$A:$A,Merchant!$B:$B,$G$2),)</f>
        <v/>
      </c>
      <c r="D792" s="14" t="str">
        <f t="shared" si="2"/>
        <v/>
      </c>
      <c r="E792" s="14" t="str">
        <f t="shared" si="3"/>
        <v/>
      </c>
      <c r="F792" s="7" t="str">
        <f>IF($A792&lt;&gt;"",MAXIFS(Token!$B:$B,Token!$A:$A,$D792),)</f>
        <v/>
      </c>
    </row>
    <row r="793">
      <c r="A793" s="39" t="str">
        <f>IF(AND($L793*1&gt;=$G$3,$L793*1&lt;=$G$4,$I793*$J793&gt;0,OR($I793&lt;&gt;$I794,$L793-$L794&gt;25),$I793/POW(10,$J793)*MAXIFS(Token!$B:$B,Token!$A:$A,$K793)&gt;0.01),$L793/86400+DATE(1970,1,1)+$G$6,)</f>
        <v/>
      </c>
      <c r="B793" s="27" t="str">
        <f t="shared" si="1"/>
        <v/>
      </c>
      <c r="C793" s="14" t="str">
        <f>IF($A793&lt;&gt;"",MINIFS(Merchant!$A:$A,Merchant!$B:$B,$G$2),)</f>
        <v/>
      </c>
      <c r="D793" s="14" t="str">
        <f t="shared" si="2"/>
        <v/>
      </c>
      <c r="E793" s="14" t="str">
        <f t="shared" si="3"/>
        <v/>
      </c>
      <c r="F793" s="7" t="str">
        <f>IF($A793&lt;&gt;"",MAXIFS(Token!$B:$B,Token!$A:$A,$D793),)</f>
        <v/>
      </c>
    </row>
    <row r="794">
      <c r="A794" s="39" t="str">
        <f>IF(AND($L794*1&gt;=$G$3,$L794*1&lt;=$G$4,$I794*$J794&gt;0,OR($I794&lt;&gt;$I795,$L794-$L795&gt;25),$I794/POW(10,$J794)*MAXIFS(Token!$B:$B,Token!$A:$A,$K794)&gt;0.01),$L794/86400+DATE(1970,1,1)+$G$6,)</f>
        <v/>
      </c>
      <c r="B794" s="27" t="str">
        <f t="shared" si="1"/>
        <v/>
      </c>
      <c r="C794" s="14" t="str">
        <f>IF($A794&lt;&gt;"",MINIFS(Merchant!$A:$A,Merchant!$B:$B,$G$2),)</f>
        <v/>
      </c>
      <c r="D794" s="14" t="str">
        <f t="shared" si="2"/>
        <v/>
      </c>
      <c r="E794" s="14" t="str">
        <f t="shared" si="3"/>
        <v/>
      </c>
      <c r="F794" s="7" t="str">
        <f>IF($A794&lt;&gt;"",MAXIFS(Token!$B:$B,Token!$A:$A,$D794),)</f>
        <v/>
      </c>
    </row>
    <row r="795">
      <c r="A795" s="39" t="str">
        <f>IF(AND($L795*1&gt;=$G$3,$L795*1&lt;=$G$4,$I795*$J795&gt;0,OR($I795&lt;&gt;$I796,$L795-$L796&gt;25),$I795/POW(10,$J795)*MAXIFS(Token!$B:$B,Token!$A:$A,$K795)&gt;0.01),$L795/86400+DATE(1970,1,1)+$G$6,)</f>
        <v/>
      </c>
      <c r="B795" s="27" t="str">
        <f t="shared" si="1"/>
        <v/>
      </c>
      <c r="C795" s="14" t="str">
        <f>IF($A795&lt;&gt;"",MINIFS(Merchant!$A:$A,Merchant!$B:$B,$G$2),)</f>
        <v/>
      </c>
      <c r="D795" s="14" t="str">
        <f t="shared" si="2"/>
        <v/>
      </c>
      <c r="E795" s="14" t="str">
        <f t="shared" si="3"/>
        <v/>
      </c>
      <c r="F795" s="7" t="str">
        <f>IF($A795&lt;&gt;"",MAXIFS(Token!$B:$B,Token!$A:$A,$D795),)</f>
        <v/>
      </c>
    </row>
    <row r="796">
      <c r="A796" s="39" t="str">
        <f>IF(AND($L796*1&gt;=$G$3,$L796*1&lt;=$G$4,$I796*$J796&gt;0,OR($I796&lt;&gt;$I797,$L796-$L797&gt;25),$I796/POW(10,$J796)*MAXIFS(Token!$B:$B,Token!$A:$A,$K796)&gt;0.01),$L796/86400+DATE(1970,1,1)+$G$6,)</f>
        <v/>
      </c>
      <c r="B796" s="27" t="str">
        <f t="shared" si="1"/>
        <v/>
      </c>
      <c r="C796" s="14" t="str">
        <f>IF($A796&lt;&gt;"",MINIFS(Merchant!$A:$A,Merchant!$B:$B,$G$2),)</f>
        <v/>
      </c>
      <c r="D796" s="14" t="str">
        <f t="shared" si="2"/>
        <v/>
      </c>
      <c r="E796" s="14" t="str">
        <f t="shared" si="3"/>
        <v/>
      </c>
      <c r="F796" s="7" t="str">
        <f>IF($A796&lt;&gt;"",MAXIFS(Token!$B:$B,Token!$A:$A,$D796),)</f>
        <v/>
      </c>
    </row>
    <row r="797">
      <c r="A797" s="39" t="str">
        <f>IF(AND($L797*1&gt;=$G$3,$L797*1&lt;=$G$4,$I797*$J797&gt;0,OR($I797&lt;&gt;$I798,$L797-$L798&gt;25),$I797/POW(10,$J797)*MAXIFS(Token!$B:$B,Token!$A:$A,$K797)&gt;0.01),$L797/86400+DATE(1970,1,1)+$G$6,)</f>
        <v/>
      </c>
      <c r="B797" s="27" t="str">
        <f t="shared" si="1"/>
        <v/>
      </c>
      <c r="C797" s="14" t="str">
        <f>IF($A797&lt;&gt;"",MINIFS(Merchant!$A:$A,Merchant!$B:$B,$G$2),)</f>
        <v/>
      </c>
      <c r="D797" s="14" t="str">
        <f t="shared" si="2"/>
        <v/>
      </c>
      <c r="E797" s="14" t="str">
        <f t="shared" si="3"/>
        <v/>
      </c>
      <c r="F797" s="7" t="str">
        <f>IF($A797&lt;&gt;"",MAXIFS(Token!$B:$B,Token!$A:$A,$D797),)</f>
        <v/>
      </c>
    </row>
    <row r="798">
      <c r="A798" s="39" t="str">
        <f>IF(AND($L798*1&gt;=$G$3,$L798*1&lt;=$G$4,$I798*$J798&gt;0,OR($I798&lt;&gt;$I799,$L798-$L799&gt;25),$I798/POW(10,$J798)*MAXIFS(Token!$B:$B,Token!$A:$A,$K798)&gt;0.01),$L798/86400+DATE(1970,1,1)+$G$6,)</f>
        <v/>
      </c>
      <c r="B798" s="27" t="str">
        <f t="shared" si="1"/>
        <v/>
      </c>
      <c r="C798" s="14" t="str">
        <f>IF($A798&lt;&gt;"",MINIFS(Merchant!$A:$A,Merchant!$B:$B,$G$2),)</f>
        <v/>
      </c>
      <c r="D798" s="14" t="str">
        <f t="shared" si="2"/>
        <v/>
      </c>
      <c r="E798" s="14" t="str">
        <f t="shared" si="3"/>
        <v/>
      </c>
      <c r="F798" s="7" t="str">
        <f>IF($A798&lt;&gt;"",MAXIFS(Token!$B:$B,Token!$A:$A,$D798),)</f>
        <v/>
      </c>
    </row>
    <row r="799">
      <c r="A799" s="39" t="str">
        <f>IF(AND($L799*1&gt;=$G$3,$L799*1&lt;=$G$4,$I799*$J799&gt;0,OR($I799&lt;&gt;$I800,$L799-$L800&gt;25),$I799/POW(10,$J799)*MAXIFS(Token!$B:$B,Token!$A:$A,$K799)&gt;0.01),$L799/86400+DATE(1970,1,1)+$G$6,)</f>
        <v/>
      </c>
      <c r="B799" s="27" t="str">
        <f t="shared" si="1"/>
        <v/>
      </c>
      <c r="C799" s="14" t="str">
        <f>IF($A799&lt;&gt;"",MINIFS(Merchant!$A:$A,Merchant!$B:$B,$G$2),)</f>
        <v/>
      </c>
      <c r="D799" s="14" t="str">
        <f t="shared" si="2"/>
        <v/>
      </c>
      <c r="E799" s="14" t="str">
        <f t="shared" si="3"/>
        <v/>
      </c>
      <c r="F799" s="7" t="str">
        <f>IF($A799&lt;&gt;"",MAXIFS(Token!$B:$B,Token!$A:$A,$D799),)</f>
        <v/>
      </c>
    </row>
    <row r="800">
      <c r="A800" s="39" t="str">
        <f>IF(AND($L800*1&gt;=$G$3,$L800*1&lt;=$G$4,$I800*$J800&gt;0,OR($I800&lt;&gt;$I801,$L800-$L801&gt;25),$I800/POW(10,$J800)*MAXIFS(Token!$B:$B,Token!$A:$A,$K800)&gt;0.01),$L800/86400+DATE(1970,1,1)+$G$6,)</f>
        <v/>
      </c>
      <c r="B800" s="27" t="str">
        <f t="shared" si="1"/>
        <v/>
      </c>
      <c r="C800" s="14" t="str">
        <f>IF($A800&lt;&gt;"",MINIFS(Merchant!$A:$A,Merchant!$B:$B,$G$2),)</f>
        <v/>
      </c>
      <c r="D800" s="14" t="str">
        <f t="shared" si="2"/>
        <v/>
      </c>
      <c r="E800" s="14" t="str">
        <f t="shared" si="3"/>
        <v/>
      </c>
      <c r="F800" s="7" t="str">
        <f>IF($A800&lt;&gt;"",MAXIFS(Token!$B:$B,Token!$A:$A,$D800),)</f>
        <v/>
      </c>
    </row>
    <row r="801">
      <c r="A801" s="39" t="str">
        <f>IF(AND($L801*1&gt;=$G$3,$L801*1&lt;=$G$4,$I801*$J801&gt;0,OR($I801&lt;&gt;$I802,$L801-$L802&gt;25),$I801/POW(10,$J801)*MAXIFS(Token!$B:$B,Token!$A:$A,$K801)&gt;0.01),$L801/86400+DATE(1970,1,1)+$G$6,)</f>
        <v/>
      </c>
      <c r="B801" s="27" t="str">
        <f t="shared" si="1"/>
        <v/>
      </c>
      <c r="C801" s="14" t="str">
        <f>IF($A801&lt;&gt;"",MINIFS(Merchant!$A:$A,Merchant!$B:$B,$G$2),)</f>
        <v/>
      </c>
      <c r="D801" s="14" t="str">
        <f t="shared" si="2"/>
        <v/>
      </c>
      <c r="E801" s="14" t="str">
        <f t="shared" si="3"/>
        <v/>
      </c>
      <c r="F801" s="7" t="str">
        <f>IF($A801&lt;&gt;"",MAXIFS(Token!$B:$B,Token!$A:$A,$D801),)</f>
        <v/>
      </c>
    </row>
    <row r="802">
      <c r="A802" s="39" t="str">
        <f>IF(AND($L802*1&gt;=$G$3,$L802*1&lt;=$G$4,$I802*$J802&gt;0,OR($I802&lt;&gt;$I803,$L802-$L803&gt;25),$I802/POW(10,$J802)*MAXIFS(Token!$B:$B,Token!$A:$A,$K802)&gt;0.01),$L802/86400+DATE(1970,1,1)+$G$6,)</f>
        <v/>
      </c>
      <c r="B802" s="27" t="str">
        <f t="shared" si="1"/>
        <v/>
      </c>
      <c r="C802" s="14" t="str">
        <f>IF($A802&lt;&gt;"",MINIFS(Merchant!$A:$A,Merchant!$B:$B,$G$2),)</f>
        <v/>
      </c>
      <c r="D802" s="14" t="str">
        <f t="shared" si="2"/>
        <v/>
      </c>
      <c r="E802" s="14" t="str">
        <f t="shared" si="3"/>
        <v/>
      </c>
      <c r="F802" s="7" t="str">
        <f>IF($A802&lt;&gt;"",MAXIFS(Token!$B:$B,Token!$A:$A,$D802),)</f>
        <v/>
      </c>
    </row>
    <row r="803">
      <c r="A803" s="39" t="str">
        <f>IF(AND($L803*1&gt;=$G$3,$L803*1&lt;=$G$4,$I803*$J803&gt;0,OR($I803&lt;&gt;$I804,$L803-$L804&gt;25),$I803/POW(10,$J803)*MAXIFS(Token!$B:$B,Token!$A:$A,$K803)&gt;0.01),$L803/86400+DATE(1970,1,1)+$G$6,)</f>
        <v/>
      </c>
      <c r="B803" s="27" t="str">
        <f t="shared" si="1"/>
        <v/>
      </c>
      <c r="C803" s="14" t="str">
        <f>IF($A803&lt;&gt;"",MINIFS(Merchant!$A:$A,Merchant!$B:$B,$G$2),)</f>
        <v/>
      </c>
      <c r="D803" s="14" t="str">
        <f t="shared" si="2"/>
        <v/>
      </c>
      <c r="E803" s="14" t="str">
        <f t="shared" si="3"/>
        <v/>
      </c>
      <c r="F803" s="7" t="str">
        <f>IF($A803&lt;&gt;"",MAXIFS(Token!$B:$B,Token!$A:$A,$D803),)</f>
        <v/>
      </c>
    </row>
    <row r="804">
      <c r="A804" s="39" t="str">
        <f>IF(AND($L804*1&gt;=$G$3,$L804*1&lt;=$G$4,$I804*$J804&gt;0,OR($I804&lt;&gt;$I805,$L804-$L805&gt;25),$I804/POW(10,$J804)*MAXIFS(Token!$B:$B,Token!$A:$A,$K804)&gt;0.01),$L804/86400+DATE(1970,1,1)+$G$6,)</f>
        <v/>
      </c>
      <c r="B804" s="27" t="str">
        <f t="shared" si="1"/>
        <v/>
      </c>
      <c r="C804" s="14" t="str">
        <f>IF($A804&lt;&gt;"",MINIFS(Merchant!$A:$A,Merchant!$B:$B,$G$2),)</f>
        <v/>
      </c>
      <c r="D804" s="14" t="str">
        <f t="shared" si="2"/>
        <v/>
      </c>
      <c r="E804" s="14" t="str">
        <f t="shared" si="3"/>
        <v/>
      </c>
      <c r="F804" s="7" t="str">
        <f>IF($A804&lt;&gt;"",MAXIFS(Token!$B:$B,Token!$A:$A,$D804),)</f>
        <v/>
      </c>
    </row>
    <row r="805">
      <c r="A805" s="39" t="str">
        <f>IF(AND($L805*1&gt;=$G$3,$L805*1&lt;=$G$4,$I805*$J805&gt;0,OR($I805&lt;&gt;$I806,$L805-$L806&gt;25),$I805/POW(10,$J805)*MAXIFS(Token!$B:$B,Token!$A:$A,$K805)&gt;0.01),$L805/86400+DATE(1970,1,1)+$G$6,)</f>
        <v/>
      </c>
      <c r="B805" s="27" t="str">
        <f t="shared" si="1"/>
        <v/>
      </c>
      <c r="C805" s="14" t="str">
        <f>IF($A805&lt;&gt;"",MINIFS(Merchant!$A:$A,Merchant!$B:$B,$G$2),)</f>
        <v/>
      </c>
      <c r="D805" s="14" t="str">
        <f t="shared" si="2"/>
        <v/>
      </c>
      <c r="E805" s="14" t="str">
        <f t="shared" si="3"/>
        <v/>
      </c>
      <c r="F805" s="7" t="str">
        <f>IF($A805&lt;&gt;"",MAXIFS(Token!$B:$B,Token!$A:$A,$D805),)</f>
        <v/>
      </c>
    </row>
    <row r="806">
      <c r="A806" s="39" t="str">
        <f>IF(AND($L806*1&gt;=$G$3,$L806*1&lt;=$G$4,$I806*$J806&gt;0,OR($I806&lt;&gt;$I807,$L806-$L807&gt;25),$I806/POW(10,$J806)*MAXIFS(Token!$B:$B,Token!$A:$A,$K806)&gt;0.01),$L806/86400+DATE(1970,1,1)+$G$6,)</f>
        <v/>
      </c>
      <c r="B806" s="27" t="str">
        <f t="shared" si="1"/>
        <v/>
      </c>
      <c r="C806" s="14" t="str">
        <f>IF($A806&lt;&gt;"",MINIFS(Merchant!$A:$A,Merchant!$B:$B,$G$2),)</f>
        <v/>
      </c>
      <c r="D806" s="14" t="str">
        <f t="shared" si="2"/>
        <v/>
      </c>
      <c r="E806" s="14" t="str">
        <f t="shared" si="3"/>
        <v/>
      </c>
      <c r="F806" s="7" t="str">
        <f>IF($A806&lt;&gt;"",MAXIFS(Token!$B:$B,Token!$A:$A,$D806),)</f>
        <v/>
      </c>
    </row>
    <row r="807">
      <c r="A807" s="39" t="str">
        <f>IF(AND($L807*1&gt;=$G$3,$L807*1&lt;=$G$4,$I807*$J807&gt;0,OR($I807&lt;&gt;$I808,$L807-$L808&gt;25),$I807/POW(10,$J807)*MAXIFS(Token!$B:$B,Token!$A:$A,$K807)&gt;0.01),$L807/86400+DATE(1970,1,1)+$G$6,)</f>
        <v/>
      </c>
      <c r="B807" s="27" t="str">
        <f t="shared" si="1"/>
        <v/>
      </c>
      <c r="C807" s="14" t="str">
        <f>IF($A807&lt;&gt;"",MINIFS(Merchant!$A:$A,Merchant!$B:$B,$G$2),)</f>
        <v/>
      </c>
      <c r="D807" s="14" t="str">
        <f t="shared" si="2"/>
        <v/>
      </c>
      <c r="E807" s="14" t="str">
        <f t="shared" si="3"/>
        <v/>
      </c>
      <c r="F807" s="7" t="str">
        <f>IF($A807&lt;&gt;"",MAXIFS(Token!$B:$B,Token!$A:$A,$D807),)</f>
        <v/>
      </c>
    </row>
    <row r="808">
      <c r="A808" s="39" t="str">
        <f>IF(AND($L808*1&gt;=$G$3,$L808*1&lt;=$G$4,$I808*$J808&gt;0,OR($I808&lt;&gt;$I809,$L808-$L809&gt;25),$I808/POW(10,$J808)*MAXIFS(Token!$B:$B,Token!$A:$A,$K808)&gt;0.01),$L808/86400+DATE(1970,1,1)+$G$6,)</f>
        <v/>
      </c>
      <c r="B808" s="27" t="str">
        <f t="shared" si="1"/>
        <v/>
      </c>
      <c r="C808" s="14" t="str">
        <f>IF($A808&lt;&gt;"",MINIFS(Merchant!$A:$A,Merchant!$B:$B,$G$2),)</f>
        <v/>
      </c>
      <c r="D808" s="14" t="str">
        <f t="shared" si="2"/>
        <v/>
      </c>
      <c r="E808" s="14" t="str">
        <f t="shared" si="3"/>
        <v/>
      </c>
      <c r="F808" s="7" t="str">
        <f>IF($A808&lt;&gt;"",MAXIFS(Token!$B:$B,Token!$A:$A,$D808),)</f>
        <v/>
      </c>
    </row>
    <row r="809">
      <c r="A809" s="39" t="str">
        <f>IF(AND($L809*1&gt;=$G$3,$L809*1&lt;=$G$4,$I809*$J809&gt;0,OR($I809&lt;&gt;$I810,$L809-$L810&gt;25),$I809/POW(10,$J809)*MAXIFS(Token!$B:$B,Token!$A:$A,$K809)&gt;0.01),$L809/86400+DATE(1970,1,1)+$G$6,)</f>
        <v/>
      </c>
      <c r="B809" s="27" t="str">
        <f t="shared" si="1"/>
        <v/>
      </c>
      <c r="C809" s="14" t="str">
        <f>IF($A809&lt;&gt;"",MINIFS(Merchant!$A:$A,Merchant!$B:$B,$G$2),)</f>
        <v/>
      </c>
      <c r="D809" s="14" t="str">
        <f t="shared" si="2"/>
        <v/>
      </c>
      <c r="E809" s="14" t="str">
        <f t="shared" si="3"/>
        <v/>
      </c>
      <c r="F809" s="7" t="str">
        <f>IF($A809&lt;&gt;"",MAXIFS(Token!$B:$B,Token!$A:$A,$D809),)</f>
        <v/>
      </c>
    </row>
    <row r="810">
      <c r="A810" s="39" t="str">
        <f>IF(AND($L810*1&gt;=$G$3,$L810*1&lt;=$G$4,$I810*$J810&gt;0,OR($I810&lt;&gt;$I811,$L810-$L811&gt;25),$I810/POW(10,$J810)*MAXIFS(Token!$B:$B,Token!$A:$A,$K810)&gt;0.01),$L810/86400+DATE(1970,1,1)+$G$6,)</f>
        <v/>
      </c>
      <c r="B810" s="27" t="str">
        <f t="shared" si="1"/>
        <v/>
      </c>
      <c r="C810" s="14" t="str">
        <f>IF($A810&lt;&gt;"",MINIFS(Merchant!$A:$A,Merchant!$B:$B,$G$2),)</f>
        <v/>
      </c>
      <c r="D810" s="14" t="str">
        <f t="shared" si="2"/>
        <v/>
      </c>
      <c r="E810" s="14" t="str">
        <f t="shared" si="3"/>
        <v/>
      </c>
      <c r="F810" s="7" t="str">
        <f>IF($A810&lt;&gt;"",MAXIFS(Token!$B:$B,Token!$A:$A,$D810),)</f>
        <v/>
      </c>
    </row>
    <row r="811">
      <c r="A811" s="39" t="str">
        <f>IF(AND($L811*1&gt;=$G$3,$L811*1&lt;=$G$4,$I811*$J811&gt;0,OR($I811&lt;&gt;$I812,$L811-$L812&gt;25),$I811/POW(10,$J811)*MAXIFS(Token!$B:$B,Token!$A:$A,$K811)&gt;0.01),$L811/86400+DATE(1970,1,1)+$G$6,)</f>
        <v/>
      </c>
      <c r="B811" s="27" t="str">
        <f t="shared" si="1"/>
        <v/>
      </c>
      <c r="C811" s="14" t="str">
        <f>IF($A811&lt;&gt;"",MINIFS(Merchant!$A:$A,Merchant!$B:$B,$G$2),)</f>
        <v/>
      </c>
      <c r="D811" s="14" t="str">
        <f t="shared" si="2"/>
        <v/>
      </c>
      <c r="E811" s="14" t="str">
        <f t="shared" si="3"/>
        <v/>
      </c>
      <c r="F811" s="7" t="str">
        <f>IF($A811&lt;&gt;"",MAXIFS(Token!$B:$B,Token!$A:$A,$D811),)</f>
        <v/>
      </c>
    </row>
    <row r="812">
      <c r="A812" s="39" t="str">
        <f>IF(AND($L812*1&gt;=$G$3,$L812*1&lt;=$G$4,$I812*$J812&gt;0,OR($I812&lt;&gt;$I813,$L812-$L813&gt;25),$I812/POW(10,$J812)*MAXIFS(Token!$B:$B,Token!$A:$A,$K812)&gt;0.01),$L812/86400+DATE(1970,1,1)+$G$6,)</f>
        <v/>
      </c>
      <c r="B812" s="27" t="str">
        <f t="shared" si="1"/>
        <v/>
      </c>
      <c r="C812" s="14" t="str">
        <f>IF($A812&lt;&gt;"",MINIFS(Merchant!$A:$A,Merchant!$B:$B,$G$2),)</f>
        <v/>
      </c>
      <c r="D812" s="14" t="str">
        <f t="shared" si="2"/>
        <v/>
      </c>
      <c r="E812" s="14" t="str">
        <f t="shared" si="3"/>
        <v/>
      </c>
      <c r="F812" s="7" t="str">
        <f>IF($A812&lt;&gt;"",MAXIFS(Token!$B:$B,Token!$A:$A,$D812),)</f>
        <v/>
      </c>
    </row>
    <row r="813">
      <c r="A813" s="39" t="str">
        <f>IF(AND($L813*1&gt;=$G$3,$L813*1&lt;=$G$4,$I813*$J813&gt;0,OR($I813&lt;&gt;$I814,$L813-$L814&gt;25),$I813/POW(10,$J813)*MAXIFS(Token!$B:$B,Token!$A:$A,$K813)&gt;0.01),$L813/86400+DATE(1970,1,1)+$G$6,)</f>
        <v/>
      </c>
      <c r="B813" s="27" t="str">
        <f t="shared" si="1"/>
        <v/>
      </c>
      <c r="C813" s="14" t="str">
        <f>IF($A813&lt;&gt;"",MINIFS(Merchant!$A:$A,Merchant!$B:$B,$G$2),)</f>
        <v/>
      </c>
      <c r="D813" s="14" t="str">
        <f t="shared" si="2"/>
        <v/>
      </c>
      <c r="E813" s="14" t="str">
        <f t="shared" si="3"/>
        <v/>
      </c>
      <c r="F813" s="7" t="str">
        <f>IF($A813&lt;&gt;"",MAXIFS(Token!$B:$B,Token!$A:$A,$D813),)</f>
        <v/>
      </c>
    </row>
    <row r="814">
      <c r="A814" s="39" t="str">
        <f>IF(AND($L814*1&gt;=$G$3,$L814*1&lt;=$G$4,$I814*$J814&gt;0,OR($I814&lt;&gt;$I815,$L814-$L815&gt;25),$I814/POW(10,$J814)*MAXIFS(Token!$B:$B,Token!$A:$A,$K814)&gt;0.01),$L814/86400+DATE(1970,1,1)+$G$6,)</f>
        <v/>
      </c>
      <c r="B814" s="27" t="str">
        <f t="shared" si="1"/>
        <v/>
      </c>
      <c r="C814" s="14" t="str">
        <f>IF($A814&lt;&gt;"",MINIFS(Merchant!$A:$A,Merchant!$B:$B,$G$2),)</f>
        <v/>
      </c>
      <c r="D814" s="14" t="str">
        <f t="shared" si="2"/>
        <v/>
      </c>
      <c r="E814" s="14" t="str">
        <f t="shared" si="3"/>
        <v/>
      </c>
      <c r="F814" s="7" t="str">
        <f>IF($A814&lt;&gt;"",MAXIFS(Token!$B:$B,Token!$A:$A,$D814),)</f>
        <v/>
      </c>
    </row>
    <row r="815">
      <c r="A815" s="39" t="str">
        <f>IF(AND($L815*1&gt;=$G$3,$L815*1&lt;=$G$4,$I815*$J815&gt;0,OR($I815&lt;&gt;$I816,$L815-$L816&gt;25),$I815/POW(10,$J815)*MAXIFS(Token!$B:$B,Token!$A:$A,$K815)&gt;0.01),$L815/86400+DATE(1970,1,1)+$G$6,)</f>
        <v/>
      </c>
      <c r="B815" s="27" t="str">
        <f t="shared" si="1"/>
        <v/>
      </c>
      <c r="C815" s="14" t="str">
        <f>IF($A815&lt;&gt;"",MINIFS(Merchant!$A:$A,Merchant!$B:$B,$G$2),)</f>
        <v/>
      </c>
      <c r="D815" s="14" t="str">
        <f t="shared" si="2"/>
        <v/>
      </c>
      <c r="E815" s="14" t="str">
        <f t="shared" si="3"/>
        <v/>
      </c>
      <c r="F815" s="7" t="str">
        <f>IF($A815&lt;&gt;"",MAXIFS(Token!$B:$B,Token!$A:$A,$D815),)</f>
        <v/>
      </c>
    </row>
    <row r="816">
      <c r="A816" s="39" t="str">
        <f>IF(AND($L816*1&gt;=$G$3,$L816*1&lt;=$G$4,$I816*$J816&gt;0,OR($I816&lt;&gt;$I817,$L816-$L817&gt;25),$I816/POW(10,$J816)*MAXIFS(Token!$B:$B,Token!$A:$A,$K816)&gt;0.01),$L816/86400+DATE(1970,1,1)+$G$6,)</f>
        <v/>
      </c>
      <c r="B816" s="27" t="str">
        <f t="shared" si="1"/>
        <v/>
      </c>
      <c r="C816" s="14" t="str">
        <f>IF($A816&lt;&gt;"",MINIFS(Merchant!$A:$A,Merchant!$B:$B,$G$2),)</f>
        <v/>
      </c>
      <c r="D816" s="14" t="str">
        <f t="shared" si="2"/>
        <v/>
      </c>
      <c r="E816" s="14" t="str">
        <f t="shared" si="3"/>
        <v/>
      </c>
      <c r="F816" s="7" t="str">
        <f>IF($A816&lt;&gt;"",MAXIFS(Token!$B:$B,Token!$A:$A,$D816),)</f>
        <v/>
      </c>
    </row>
    <row r="817">
      <c r="A817" s="39" t="str">
        <f>IF(AND($L817*1&gt;=$G$3,$L817*1&lt;=$G$4,$I817*$J817&gt;0,OR($I817&lt;&gt;$I818,$L817-$L818&gt;25),$I817/POW(10,$J817)*MAXIFS(Token!$B:$B,Token!$A:$A,$K817)&gt;0.01),$L817/86400+DATE(1970,1,1)+$G$6,)</f>
        <v/>
      </c>
      <c r="B817" s="27" t="str">
        <f t="shared" si="1"/>
        <v/>
      </c>
      <c r="C817" s="14" t="str">
        <f>IF($A817&lt;&gt;"",MINIFS(Merchant!$A:$A,Merchant!$B:$B,$G$2),)</f>
        <v/>
      </c>
      <c r="D817" s="14" t="str">
        <f t="shared" si="2"/>
        <v/>
      </c>
      <c r="E817" s="14" t="str">
        <f t="shared" si="3"/>
        <v/>
      </c>
      <c r="F817" s="7" t="str">
        <f>IF($A817&lt;&gt;"",MAXIFS(Token!$B:$B,Token!$A:$A,$D817),)</f>
        <v/>
      </c>
    </row>
    <row r="818">
      <c r="A818" s="39" t="str">
        <f>IF(AND($L818*1&gt;=$G$3,$L818*1&lt;=$G$4,$I818*$J818&gt;0,OR($I818&lt;&gt;$I819,$L818-$L819&gt;25),$I818/POW(10,$J818)*MAXIFS(Token!$B:$B,Token!$A:$A,$K818)&gt;0.01),$L818/86400+DATE(1970,1,1)+$G$6,)</f>
        <v/>
      </c>
      <c r="B818" s="27" t="str">
        <f t="shared" si="1"/>
        <v/>
      </c>
      <c r="C818" s="14" t="str">
        <f>IF($A818&lt;&gt;"",MINIFS(Merchant!$A:$A,Merchant!$B:$B,$G$2),)</f>
        <v/>
      </c>
      <c r="D818" s="14" t="str">
        <f t="shared" si="2"/>
        <v/>
      </c>
      <c r="E818" s="14" t="str">
        <f t="shared" si="3"/>
        <v/>
      </c>
      <c r="F818" s="7" t="str">
        <f>IF($A818&lt;&gt;"",MAXIFS(Token!$B:$B,Token!$A:$A,$D818),)</f>
        <v/>
      </c>
    </row>
    <row r="819">
      <c r="A819" s="39" t="str">
        <f>IF(AND($L819*1&gt;=$G$3,$L819*1&lt;=$G$4,$I819*$J819&gt;0,OR($I819&lt;&gt;$I820,$L819-$L820&gt;25),$I819/POW(10,$J819)*MAXIFS(Token!$B:$B,Token!$A:$A,$K819)&gt;0.01),$L819/86400+DATE(1970,1,1)+$G$6,)</f>
        <v/>
      </c>
      <c r="B819" s="27" t="str">
        <f t="shared" si="1"/>
        <v/>
      </c>
      <c r="C819" s="14" t="str">
        <f>IF($A819&lt;&gt;"",MINIFS(Merchant!$A:$A,Merchant!$B:$B,$G$2),)</f>
        <v/>
      </c>
      <c r="D819" s="14" t="str">
        <f t="shared" si="2"/>
        <v/>
      </c>
      <c r="E819" s="14" t="str">
        <f t="shared" si="3"/>
        <v/>
      </c>
      <c r="F819" s="7" t="str">
        <f>IF($A819&lt;&gt;"",MAXIFS(Token!$B:$B,Token!$A:$A,$D819),)</f>
        <v/>
      </c>
    </row>
    <row r="820">
      <c r="A820" s="39" t="str">
        <f>IF(AND($L820*1&gt;=$G$3,$L820*1&lt;=$G$4,$I820*$J820&gt;0,OR($I820&lt;&gt;$I821,$L820-$L821&gt;25),$I820/POW(10,$J820)*MAXIFS(Token!$B:$B,Token!$A:$A,$K820)&gt;0.01),$L820/86400+DATE(1970,1,1)+$G$6,)</f>
        <v/>
      </c>
      <c r="B820" s="27" t="str">
        <f t="shared" si="1"/>
        <v/>
      </c>
      <c r="C820" s="14" t="str">
        <f>IF($A820&lt;&gt;"",MINIFS(Merchant!$A:$A,Merchant!$B:$B,$G$2),)</f>
        <v/>
      </c>
      <c r="D820" s="14" t="str">
        <f t="shared" si="2"/>
        <v/>
      </c>
      <c r="E820" s="14" t="str">
        <f t="shared" si="3"/>
        <v/>
      </c>
      <c r="F820" s="7" t="str">
        <f>IF($A820&lt;&gt;"",MAXIFS(Token!$B:$B,Token!$A:$A,$D820),)</f>
        <v/>
      </c>
    </row>
    <row r="821">
      <c r="A821" s="39" t="str">
        <f>IF(AND($L821*1&gt;=$G$3,$L821*1&lt;=$G$4,$I821*$J821&gt;0,OR($I821&lt;&gt;$I822,$L821-$L822&gt;25),$I821/POW(10,$J821)*MAXIFS(Token!$B:$B,Token!$A:$A,$K821)&gt;0.01),$L821/86400+DATE(1970,1,1)+$G$6,)</f>
        <v/>
      </c>
      <c r="B821" s="27" t="str">
        <f t="shared" si="1"/>
        <v/>
      </c>
      <c r="C821" s="14" t="str">
        <f>IF($A821&lt;&gt;"",MINIFS(Merchant!$A:$A,Merchant!$B:$B,$G$2),)</f>
        <v/>
      </c>
      <c r="D821" s="14" t="str">
        <f t="shared" si="2"/>
        <v/>
      </c>
      <c r="E821" s="14" t="str">
        <f t="shared" si="3"/>
        <v/>
      </c>
      <c r="F821" s="7" t="str">
        <f>IF($A821&lt;&gt;"",MAXIFS(Token!$B:$B,Token!$A:$A,$D821),)</f>
        <v/>
      </c>
    </row>
    <row r="822">
      <c r="A822" s="39" t="str">
        <f>IF(AND($L822*1&gt;=$G$3,$L822*1&lt;=$G$4,$I822*$J822&gt;0,OR($I822&lt;&gt;$I823,$L822-$L823&gt;25),$I822/POW(10,$J822)*MAXIFS(Token!$B:$B,Token!$A:$A,$K822)&gt;0.01),$L822/86400+DATE(1970,1,1)+$G$6,)</f>
        <v/>
      </c>
      <c r="B822" s="27" t="str">
        <f t="shared" si="1"/>
        <v/>
      </c>
      <c r="C822" s="14" t="str">
        <f>IF($A822&lt;&gt;"",MINIFS(Merchant!$A:$A,Merchant!$B:$B,$G$2),)</f>
        <v/>
      </c>
      <c r="D822" s="14" t="str">
        <f t="shared" si="2"/>
        <v/>
      </c>
      <c r="E822" s="14" t="str">
        <f t="shared" si="3"/>
        <v/>
      </c>
      <c r="F822" s="7" t="str">
        <f>IF($A822&lt;&gt;"",MAXIFS(Token!$B:$B,Token!$A:$A,$D822),)</f>
        <v/>
      </c>
    </row>
    <row r="823">
      <c r="A823" s="39" t="str">
        <f>IF(AND($L823*1&gt;=$G$3,$L823*1&lt;=$G$4,$I823*$J823&gt;0,OR($I823&lt;&gt;$I824,$L823-$L824&gt;25),$I823/POW(10,$J823)*MAXIFS(Token!$B:$B,Token!$A:$A,$K823)&gt;0.01),$L823/86400+DATE(1970,1,1)+$G$6,)</f>
        <v/>
      </c>
      <c r="B823" s="27" t="str">
        <f t="shared" si="1"/>
        <v/>
      </c>
      <c r="C823" s="14" t="str">
        <f>IF($A823&lt;&gt;"",MINIFS(Merchant!$A:$A,Merchant!$B:$B,$G$2),)</f>
        <v/>
      </c>
      <c r="D823" s="14" t="str">
        <f t="shared" si="2"/>
        <v/>
      </c>
      <c r="E823" s="14" t="str">
        <f t="shared" si="3"/>
        <v/>
      </c>
      <c r="F823" s="7" t="str">
        <f>IF($A823&lt;&gt;"",MAXIFS(Token!$B:$B,Token!$A:$A,$D823),)</f>
        <v/>
      </c>
    </row>
    <row r="824">
      <c r="A824" s="39" t="str">
        <f>IF(AND($L824*1&gt;=$G$3,$L824*1&lt;=$G$4,$I824*$J824&gt;0,OR($I824&lt;&gt;$I825,$L824-$L825&gt;25),$I824/POW(10,$J824)*MAXIFS(Token!$B:$B,Token!$A:$A,$K824)&gt;0.01),$L824/86400+DATE(1970,1,1)+$G$6,)</f>
        <v/>
      </c>
      <c r="B824" s="27" t="str">
        <f t="shared" si="1"/>
        <v/>
      </c>
      <c r="C824" s="14" t="str">
        <f>IF($A824&lt;&gt;"",MINIFS(Merchant!$A:$A,Merchant!$B:$B,$G$2),)</f>
        <v/>
      </c>
      <c r="D824" s="14" t="str">
        <f t="shared" si="2"/>
        <v/>
      </c>
      <c r="E824" s="14" t="str">
        <f t="shared" si="3"/>
        <v/>
      </c>
      <c r="F824" s="7" t="str">
        <f>IF($A824&lt;&gt;"",MAXIFS(Token!$B:$B,Token!$A:$A,$D824),)</f>
        <v/>
      </c>
    </row>
    <row r="825">
      <c r="A825" s="39" t="str">
        <f>IF(AND($L825*1&gt;=$G$3,$L825*1&lt;=$G$4,$I825*$J825&gt;0,OR($I825&lt;&gt;$I826,$L825-$L826&gt;25),$I825/POW(10,$J825)*MAXIFS(Token!$B:$B,Token!$A:$A,$K825)&gt;0.01),$L825/86400+DATE(1970,1,1)+$G$6,)</f>
        <v/>
      </c>
      <c r="B825" s="27" t="str">
        <f t="shared" si="1"/>
        <v/>
      </c>
      <c r="C825" s="14" t="str">
        <f>IF($A825&lt;&gt;"",MINIFS(Merchant!$A:$A,Merchant!$B:$B,$G$2),)</f>
        <v/>
      </c>
      <c r="D825" s="14" t="str">
        <f t="shared" si="2"/>
        <v/>
      </c>
      <c r="E825" s="14" t="str">
        <f t="shared" si="3"/>
        <v/>
      </c>
      <c r="F825" s="7" t="str">
        <f>IF($A825&lt;&gt;"",MAXIFS(Token!$B:$B,Token!$A:$A,$D825),)</f>
        <v/>
      </c>
    </row>
    <row r="826">
      <c r="A826" s="39" t="str">
        <f>IF(AND($L826*1&gt;=$G$3,$L826*1&lt;=$G$4,$I826*$J826&gt;0,OR($I826&lt;&gt;$I827,$L826-$L827&gt;25),$I826/POW(10,$J826)*MAXIFS(Token!$B:$B,Token!$A:$A,$K826)&gt;0.01),$L826/86400+DATE(1970,1,1)+$G$6,)</f>
        <v/>
      </c>
      <c r="B826" s="27" t="str">
        <f t="shared" si="1"/>
        <v/>
      </c>
      <c r="C826" s="14" t="str">
        <f>IF($A826&lt;&gt;"",MINIFS(Merchant!$A:$A,Merchant!$B:$B,$G$2),)</f>
        <v/>
      </c>
      <c r="D826" s="14" t="str">
        <f t="shared" si="2"/>
        <v/>
      </c>
      <c r="E826" s="14" t="str">
        <f t="shared" si="3"/>
        <v/>
      </c>
      <c r="F826" s="7" t="str">
        <f>IF($A826&lt;&gt;"",MAXIFS(Token!$B:$B,Token!$A:$A,$D826),)</f>
        <v/>
      </c>
    </row>
    <row r="827">
      <c r="A827" s="39" t="str">
        <f>IF(AND($L827*1&gt;=$G$3,$L827*1&lt;=$G$4,$I827*$J827&gt;0,OR($I827&lt;&gt;$I828,$L827-$L828&gt;25),$I827/POW(10,$J827)*MAXIFS(Token!$B:$B,Token!$A:$A,$K827)&gt;0.01),$L827/86400+DATE(1970,1,1)+$G$6,)</f>
        <v/>
      </c>
      <c r="B827" s="27" t="str">
        <f t="shared" si="1"/>
        <v/>
      </c>
      <c r="C827" s="14" t="str">
        <f>IF($A827&lt;&gt;"",MINIFS(Merchant!$A:$A,Merchant!$B:$B,$G$2),)</f>
        <v/>
      </c>
      <c r="D827" s="14" t="str">
        <f t="shared" si="2"/>
        <v/>
      </c>
      <c r="E827" s="14" t="str">
        <f t="shared" si="3"/>
        <v/>
      </c>
      <c r="F827" s="7" t="str">
        <f>IF($A827&lt;&gt;"",MAXIFS(Token!$B:$B,Token!$A:$A,$D827),)</f>
        <v/>
      </c>
    </row>
    <row r="828">
      <c r="A828" s="39" t="str">
        <f>IF(AND($L828*1&gt;=$G$3,$L828*1&lt;=$G$4,$I828*$J828&gt;0,OR($I828&lt;&gt;$I829,$L828-$L829&gt;25),$I828/POW(10,$J828)*MAXIFS(Token!$B:$B,Token!$A:$A,$K828)&gt;0.01),$L828/86400+DATE(1970,1,1)+$G$6,)</f>
        <v/>
      </c>
      <c r="B828" s="27" t="str">
        <f t="shared" si="1"/>
        <v/>
      </c>
      <c r="C828" s="14" t="str">
        <f>IF($A828&lt;&gt;"",MINIFS(Merchant!$A:$A,Merchant!$B:$B,$G$2),)</f>
        <v/>
      </c>
      <c r="D828" s="14" t="str">
        <f t="shared" si="2"/>
        <v/>
      </c>
      <c r="E828" s="14" t="str">
        <f t="shared" si="3"/>
        <v/>
      </c>
      <c r="F828" s="7" t="str">
        <f>IF($A828&lt;&gt;"",MAXIFS(Token!$B:$B,Token!$A:$A,$D828),)</f>
        <v/>
      </c>
    </row>
    <row r="829">
      <c r="A829" s="39" t="str">
        <f>IF(AND($L829*1&gt;=$G$3,$L829*1&lt;=$G$4,$I829*$J829&gt;0,OR($I829&lt;&gt;$I830,$L829-$L830&gt;25),$I829/POW(10,$J829)*MAXIFS(Token!$B:$B,Token!$A:$A,$K829)&gt;0.01),$L829/86400+DATE(1970,1,1)+$G$6,)</f>
        <v/>
      </c>
      <c r="B829" s="27" t="str">
        <f t="shared" si="1"/>
        <v/>
      </c>
      <c r="C829" s="14" t="str">
        <f>IF($A829&lt;&gt;"",MINIFS(Merchant!$A:$A,Merchant!$B:$B,$G$2),)</f>
        <v/>
      </c>
      <c r="D829" s="14" t="str">
        <f t="shared" si="2"/>
        <v/>
      </c>
      <c r="E829" s="14" t="str">
        <f t="shared" si="3"/>
        <v/>
      </c>
      <c r="F829" s="7" t="str">
        <f>IF($A829&lt;&gt;"",MAXIFS(Token!$B:$B,Token!$A:$A,$D829),)</f>
        <v/>
      </c>
    </row>
    <row r="830">
      <c r="A830" s="39" t="str">
        <f>IF(AND($L830*1&gt;=$G$3,$L830*1&lt;=$G$4,$I830*$J830&gt;0,OR($I830&lt;&gt;$I831,$L830-$L831&gt;25),$I830/POW(10,$J830)*MAXIFS(Token!$B:$B,Token!$A:$A,$K830)&gt;0.01),$L830/86400+DATE(1970,1,1)+$G$6,)</f>
        <v/>
      </c>
      <c r="B830" s="27" t="str">
        <f t="shared" si="1"/>
        <v/>
      </c>
      <c r="C830" s="14" t="str">
        <f>IF($A830&lt;&gt;"",MINIFS(Merchant!$A:$A,Merchant!$B:$B,$G$2),)</f>
        <v/>
      </c>
      <c r="D830" s="14" t="str">
        <f t="shared" si="2"/>
        <v/>
      </c>
      <c r="E830" s="14" t="str">
        <f t="shared" si="3"/>
        <v/>
      </c>
      <c r="F830" s="7" t="str">
        <f>IF($A830&lt;&gt;"",MAXIFS(Token!$B:$B,Token!$A:$A,$D830),)</f>
        <v/>
      </c>
    </row>
    <row r="831">
      <c r="A831" s="39" t="str">
        <f>IF(AND($L831*1&gt;=$G$3,$L831*1&lt;=$G$4,$I831*$J831&gt;0,OR($I831&lt;&gt;$I832,$L831-$L832&gt;25),$I831/POW(10,$J831)*MAXIFS(Token!$B:$B,Token!$A:$A,$K831)&gt;0.01),$L831/86400+DATE(1970,1,1)+$G$6,)</f>
        <v/>
      </c>
      <c r="B831" s="27" t="str">
        <f t="shared" si="1"/>
        <v/>
      </c>
      <c r="C831" s="14" t="str">
        <f>IF($A831&lt;&gt;"",MINIFS(Merchant!$A:$A,Merchant!$B:$B,$G$2),)</f>
        <v/>
      </c>
      <c r="D831" s="14" t="str">
        <f t="shared" si="2"/>
        <v/>
      </c>
      <c r="E831" s="14" t="str">
        <f t="shared" si="3"/>
        <v/>
      </c>
      <c r="F831" s="7" t="str">
        <f>IF($A831&lt;&gt;"",MAXIFS(Token!$B:$B,Token!$A:$A,$D831),)</f>
        <v/>
      </c>
    </row>
    <row r="832">
      <c r="A832" s="39" t="str">
        <f>IF(AND($L832*1&gt;=$G$3,$L832*1&lt;=$G$4,$I832*$J832&gt;0,OR($I832&lt;&gt;$I833,$L832-$L833&gt;25),$I832/POW(10,$J832)*MAXIFS(Token!$B:$B,Token!$A:$A,$K832)&gt;0.01),$L832/86400+DATE(1970,1,1)+$G$6,)</f>
        <v/>
      </c>
      <c r="B832" s="27" t="str">
        <f t="shared" si="1"/>
        <v/>
      </c>
      <c r="C832" s="14" t="str">
        <f>IF($A832&lt;&gt;"",MINIFS(Merchant!$A:$A,Merchant!$B:$B,$G$2),)</f>
        <v/>
      </c>
      <c r="D832" s="14" t="str">
        <f t="shared" si="2"/>
        <v/>
      </c>
      <c r="E832" s="14" t="str">
        <f t="shared" si="3"/>
        <v/>
      </c>
      <c r="F832" s="7" t="str">
        <f>IF($A832&lt;&gt;"",MAXIFS(Token!$B:$B,Token!$A:$A,$D832),)</f>
        <v/>
      </c>
    </row>
    <row r="833">
      <c r="A833" s="39" t="str">
        <f>IF(AND($L833*1&gt;=$G$3,$L833*1&lt;=$G$4,$I833*$J833&gt;0,OR($I833&lt;&gt;$I834,$L833-$L834&gt;25),$I833/POW(10,$J833)*MAXIFS(Token!$B:$B,Token!$A:$A,$K833)&gt;0.01),$L833/86400+DATE(1970,1,1)+$G$6,)</f>
        <v/>
      </c>
      <c r="B833" s="27" t="str">
        <f t="shared" si="1"/>
        <v/>
      </c>
      <c r="C833" s="14" t="str">
        <f>IF($A833&lt;&gt;"",MINIFS(Merchant!$A:$A,Merchant!$B:$B,$G$2),)</f>
        <v/>
      </c>
      <c r="D833" s="14" t="str">
        <f t="shared" si="2"/>
        <v/>
      </c>
      <c r="E833" s="14" t="str">
        <f t="shared" si="3"/>
        <v/>
      </c>
      <c r="F833" s="7" t="str">
        <f>IF($A833&lt;&gt;"",MAXIFS(Token!$B:$B,Token!$A:$A,$D833),)</f>
        <v/>
      </c>
    </row>
    <row r="834">
      <c r="A834" s="39" t="str">
        <f>IF(AND($L834*1&gt;=$G$3,$L834*1&lt;=$G$4,$I834*$J834&gt;0,OR($I834&lt;&gt;$I835,$L834-$L835&gt;25),$I834/POW(10,$J834)*MAXIFS(Token!$B:$B,Token!$A:$A,$K834)&gt;0.01),$L834/86400+DATE(1970,1,1)+$G$6,)</f>
        <v/>
      </c>
      <c r="B834" s="27" t="str">
        <f t="shared" si="1"/>
        <v/>
      </c>
      <c r="C834" s="14" t="str">
        <f>IF($A834&lt;&gt;"",MINIFS(Merchant!$A:$A,Merchant!$B:$B,$G$2),)</f>
        <v/>
      </c>
      <c r="D834" s="14" t="str">
        <f t="shared" si="2"/>
        <v/>
      </c>
      <c r="E834" s="14" t="str">
        <f t="shared" si="3"/>
        <v/>
      </c>
      <c r="F834" s="7" t="str">
        <f>IF($A834&lt;&gt;"",MAXIFS(Token!$B:$B,Token!$A:$A,$D834),)</f>
        <v/>
      </c>
    </row>
    <row r="835">
      <c r="A835" s="39" t="str">
        <f>IF(AND($L835*1&gt;=$G$3,$L835*1&lt;=$G$4,$I835*$J835&gt;0,OR($I835&lt;&gt;$I836,$L835-$L836&gt;25),$I835/POW(10,$J835)*MAXIFS(Token!$B:$B,Token!$A:$A,$K835)&gt;0.01),$L835/86400+DATE(1970,1,1)+$G$6,)</f>
        <v/>
      </c>
      <c r="B835" s="27" t="str">
        <f t="shared" si="1"/>
        <v/>
      </c>
      <c r="C835" s="14" t="str">
        <f>IF($A835&lt;&gt;"",MINIFS(Merchant!$A:$A,Merchant!$B:$B,$G$2),)</f>
        <v/>
      </c>
      <c r="D835" s="14" t="str">
        <f t="shared" si="2"/>
        <v/>
      </c>
      <c r="E835" s="14" t="str">
        <f t="shared" si="3"/>
        <v/>
      </c>
      <c r="F835" s="7" t="str">
        <f>IF($A835&lt;&gt;"",MAXIFS(Token!$B:$B,Token!$A:$A,$D835),)</f>
        <v/>
      </c>
    </row>
    <row r="836">
      <c r="A836" s="39" t="str">
        <f>IF(AND($L836*1&gt;=$G$3,$L836*1&lt;=$G$4,$I836*$J836&gt;0,OR($I836&lt;&gt;$I837,$L836-$L837&gt;25),$I836/POW(10,$J836)*MAXIFS(Token!$B:$B,Token!$A:$A,$K836)&gt;0.01),$L836/86400+DATE(1970,1,1)+$G$6,)</f>
        <v/>
      </c>
      <c r="B836" s="27" t="str">
        <f t="shared" si="1"/>
        <v/>
      </c>
      <c r="C836" s="14" t="str">
        <f>IF($A836&lt;&gt;"",MINIFS(Merchant!$A:$A,Merchant!$B:$B,$G$2),)</f>
        <v/>
      </c>
      <c r="D836" s="14" t="str">
        <f t="shared" si="2"/>
        <v/>
      </c>
      <c r="E836" s="14" t="str">
        <f t="shared" si="3"/>
        <v/>
      </c>
      <c r="F836" s="7" t="str">
        <f>IF($A836&lt;&gt;"",MAXIFS(Token!$B:$B,Token!$A:$A,$D836),)</f>
        <v/>
      </c>
    </row>
    <row r="837">
      <c r="A837" s="39" t="str">
        <f>IF(AND($L837*1&gt;=$G$3,$L837*1&lt;=$G$4,$I837*$J837&gt;0,OR($I837&lt;&gt;$I838,$L837-$L838&gt;25),$I837/POW(10,$J837)*MAXIFS(Token!$B:$B,Token!$A:$A,$K837)&gt;0.01),$L837/86400+DATE(1970,1,1)+$G$6,)</f>
        <v/>
      </c>
      <c r="B837" s="27" t="str">
        <f t="shared" si="1"/>
        <v/>
      </c>
      <c r="C837" s="14" t="str">
        <f>IF($A837&lt;&gt;"",MINIFS(Merchant!$A:$A,Merchant!$B:$B,$G$2),)</f>
        <v/>
      </c>
      <c r="D837" s="14" t="str">
        <f t="shared" si="2"/>
        <v/>
      </c>
      <c r="E837" s="14" t="str">
        <f t="shared" si="3"/>
        <v/>
      </c>
      <c r="F837" s="7" t="str">
        <f>IF($A837&lt;&gt;"",MAXIFS(Token!$B:$B,Token!$A:$A,$D837),)</f>
        <v/>
      </c>
    </row>
    <row r="838">
      <c r="A838" s="39" t="str">
        <f>IF(AND($L838*1&gt;=$G$3,$L838*1&lt;=$G$4,$I838*$J838&gt;0,OR($I838&lt;&gt;$I839,$L838-$L839&gt;25),$I838/POW(10,$J838)*MAXIFS(Token!$B:$B,Token!$A:$A,$K838)&gt;0.01),$L838/86400+DATE(1970,1,1)+$G$6,)</f>
        <v/>
      </c>
      <c r="B838" s="27" t="str">
        <f t="shared" si="1"/>
        <v/>
      </c>
      <c r="C838" s="14" t="str">
        <f>IF($A838&lt;&gt;"",MINIFS(Merchant!$A:$A,Merchant!$B:$B,$G$2),)</f>
        <v/>
      </c>
      <c r="D838" s="14" t="str">
        <f t="shared" si="2"/>
        <v/>
      </c>
      <c r="E838" s="14" t="str">
        <f t="shared" si="3"/>
        <v/>
      </c>
      <c r="F838" s="7" t="str">
        <f>IF($A838&lt;&gt;"",MAXIFS(Token!$B:$B,Token!$A:$A,$D838),)</f>
        <v/>
      </c>
    </row>
    <row r="839">
      <c r="A839" s="39" t="str">
        <f>IF(AND($L839*1&gt;=$G$3,$L839*1&lt;=$G$4,$I839*$J839&gt;0,OR($I839&lt;&gt;$I840,$L839-$L840&gt;25),$I839/POW(10,$J839)*MAXIFS(Token!$B:$B,Token!$A:$A,$K839)&gt;0.01),$L839/86400+DATE(1970,1,1)+$G$6,)</f>
        <v/>
      </c>
      <c r="B839" s="27" t="str">
        <f t="shared" si="1"/>
        <v/>
      </c>
      <c r="C839" s="14" t="str">
        <f>IF($A839&lt;&gt;"",MINIFS(Merchant!$A:$A,Merchant!$B:$B,$G$2),)</f>
        <v/>
      </c>
      <c r="D839" s="14" t="str">
        <f t="shared" si="2"/>
        <v/>
      </c>
      <c r="E839" s="14" t="str">
        <f t="shared" si="3"/>
        <v/>
      </c>
      <c r="F839" s="7" t="str">
        <f>IF($A839&lt;&gt;"",MAXIFS(Token!$B:$B,Token!$A:$A,$D839),)</f>
        <v/>
      </c>
    </row>
    <row r="840">
      <c r="A840" s="39" t="str">
        <f>IF(AND($L840*1&gt;=$G$3,$L840*1&lt;=$G$4,$I840*$J840&gt;0,OR($I840&lt;&gt;$I841,$L840-$L841&gt;25),$I840/POW(10,$J840)*MAXIFS(Token!$B:$B,Token!$A:$A,$K840)&gt;0.01),$L840/86400+DATE(1970,1,1)+$G$6,)</f>
        <v/>
      </c>
      <c r="B840" s="27" t="str">
        <f t="shared" si="1"/>
        <v/>
      </c>
      <c r="C840" s="14" t="str">
        <f>IF($A840&lt;&gt;"",MINIFS(Merchant!$A:$A,Merchant!$B:$B,$G$2),)</f>
        <v/>
      </c>
      <c r="D840" s="14" t="str">
        <f t="shared" si="2"/>
        <v/>
      </c>
      <c r="E840" s="14" t="str">
        <f t="shared" si="3"/>
        <v/>
      </c>
      <c r="F840" s="7" t="str">
        <f>IF($A840&lt;&gt;"",MAXIFS(Token!$B:$B,Token!$A:$A,$D840),)</f>
        <v/>
      </c>
    </row>
    <row r="841">
      <c r="A841" s="39" t="str">
        <f>IF(AND($L841*1&gt;=$G$3,$L841*1&lt;=$G$4,$I841*$J841&gt;0,OR($I841&lt;&gt;$I842,$L841-$L842&gt;25),$I841/POW(10,$J841)*MAXIFS(Token!$B:$B,Token!$A:$A,$K841)&gt;0.01),$L841/86400+DATE(1970,1,1)+$G$6,)</f>
        <v/>
      </c>
      <c r="B841" s="27" t="str">
        <f t="shared" si="1"/>
        <v/>
      </c>
      <c r="C841" s="14" t="str">
        <f>IF($A841&lt;&gt;"",MINIFS(Merchant!$A:$A,Merchant!$B:$B,$G$2),)</f>
        <v/>
      </c>
      <c r="D841" s="14" t="str">
        <f t="shared" si="2"/>
        <v/>
      </c>
      <c r="E841" s="14" t="str">
        <f t="shared" si="3"/>
        <v/>
      </c>
      <c r="F841" s="7" t="str">
        <f>IF($A841&lt;&gt;"",MAXIFS(Token!$B:$B,Token!$A:$A,$D841),)</f>
        <v/>
      </c>
    </row>
    <row r="842">
      <c r="A842" s="39" t="str">
        <f>IF(AND($L842*1&gt;=$G$3,$L842*1&lt;=$G$4,$I842*$J842&gt;0,OR($I842&lt;&gt;$I843,$L842-$L843&gt;25),$I842/POW(10,$J842)*MAXIFS(Token!$B:$B,Token!$A:$A,$K842)&gt;0.01),$L842/86400+DATE(1970,1,1)+$G$6,)</f>
        <v/>
      </c>
      <c r="B842" s="27" t="str">
        <f t="shared" si="1"/>
        <v/>
      </c>
      <c r="C842" s="14" t="str">
        <f>IF($A842&lt;&gt;"",MINIFS(Merchant!$A:$A,Merchant!$B:$B,$G$2),)</f>
        <v/>
      </c>
      <c r="D842" s="14" t="str">
        <f t="shared" si="2"/>
        <v/>
      </c>
      <c r="E842" s="14" t="str">
        <f t="shared" si="3"/>
        <v/>
      </c>
      <c r="F842" s="7" t="str">
        <f>IF($A842&lt;&gt;"",MAXIFS(Token!$B:$B,Token!$A:$A,$D842),)</f>
        <v/>
      </c>
    </row>
    <row r="843">
      <c r="A843" s="39" t="str">
        <f>IF(AND($L843*1&gt;=$G$3,$L843*1&lt;=$G$4,$I843*$J843&gt;0,OR($I843&lt;&gt;$I844,$L843-$L844&gt;25),$I843/POW(10,$J843)*MAXIFS(Token!$B:$B,Token!$A:$A,$K843)&gt;0.01),$L843/86400+DATE(1970,1,1)+$G$6,)</f>
        <v/>
      </c>
      <c r="B843" s="27" t="str">
        <f t="shared" si="1"/>
        <v/>
      </c>
      <c r="C843" s="14" t="str">
        <f>IF($A843&lt;&gt;"",MINIFS(Merchant!$A:$A,Merchant!$B:$B,$G$2),)</f>
        <v/>
      </c>
      <c r="D843" s="14" t="str">
        <f t="shared" si="2"/>
        <v/>
      </c>
      <c r="E843" s="14" t="str">
        <f t="shared" si="3"/>
        <v/>
      </c>
      <c r="F843" s="7" t="str">
        <f>IF($A843&lt;&gt;"",MAXIFS(Token!$B:$B,Token!$A:$A,$D843),)</f>
        <v/>
      </c>
    </row>
    <row r="844">
      <c r="A844" s="39" t="str">
        <f>IF(AND($L844*1&gt;=$G$3,$L844*1&lt;=$G$4,$I844*$J844&gt;0,OR($I844&lt;&gt;$I845,$L844-$L845&gt;25),$I844/POW(10,$J844)*MAXIFS(Token!$B:$B,Token!$A:$A,$K844)&gt;0.01),$L844/86400+DATE(1970,1,1)+$G$6,)</f>
        <v/>
      </c>
      <c r="B844" s="27" t="str">
        <f t="shared" si="1"/>
        <v/>
      </c>
      <c r="C844" s="14" t="str">
        <f>IF($A844&lt;&gt;"",MINIFS(Merchant!$A:$A,Merchant!$B:$B,$G$2),)</f>
        <v/>
      </c>
      <c r="D844" s="14" t="str">
        <f t="shared" si="2"/>
        <v/>
      </c>
      <c r="E844" s="14" t="str">
        <f t="shared" si="3"/>
        <v/>
      </c>
      <c r="F844" s="7" t="str">
        <f>IF($A844&lt;&gt;"",MAXIFS(Token!$B:$B,Token!$A:$A,$D844),)</f>
        <v/>
      </c>
    </row>
    <row r="845">
      <c r="A845" s="39" t="str">
        <f>IF(AND($L845*1&gt;=$G$3,$L845*1&lt;=$G$4,$I845*$J845&gt;0,OR($I845&lt;&gt;$I846,$L845-$L846&gt;25),$I845/POW(10,$J845)*MAXIFS(Token!$B:$B,Token!$A:$A,$K845)&gt;0.01),$L845/86400+DATE(1970,1,1)+$G$6,)</f>
        <v/>
      </c>
      <c r="B845" s="27" t="str">
        <f t="shared" si="1"/>
        <v/>
      </c>
      <c r="C845" s="14" t="str">
        <f>IF($A845&lt;&gt;"",MINIFS(Merchant!$A:$A,Merchant!$B:$B,$G$2),)</f>
        <v/>
      </c>
      <c r="D845" s="14" t="str">
        <f t="shared" si="2"/>
        <v/>
      </c>
      <c r="E845" s="14" t="str">
        <f t="shared" si="3"/>
        <v/>
      </c>
      <c r="F845" s="7" t="str">
        <f>IF($A845&lt;&gt;"",MAXIFS(Token!$B:$B,Token!$A:$A,$D845),)</f>
        <v/>
      </c>
    </row>
    <row r="846">
      <c r="A846" s="39" t="str">
        <f>IF(AND($L846*1&gt;=$G$3,$L846*1&lt;=$G$4,$I846*$J846&gt;0,OR($I846&lt;&gt;$I847,$L846-$L847&gt;25),$I846/POW(10,$J846)*MAXIFS(Token!$B:$B,Token!$A:$A,$K846)&gt;0.01),$L846/86400+DATE(1970,1,1)+$G$6,)</f>
        <v/>
      </c>
      <c r="B846" s="27" t="str">
        <f t="shared" si="1"/>
        <v/>
      </c>
      <c r="C846" s="14" t="str">
        <f>IF($A846&lt;&gt;"",MINIFS(Merchant!$A:$A,Merchant!$B:$B,$G$2),)</f>
        <v/>
      </c>
      <c r="D846" s="14" t="str">
        <f t="shared" si="2"/>
        <v/>
      </c>
      <c r="E846" s="14" t="str">
        <f t="shared" si="3"/>
        <v/>
      </c>
      <c r="F846" s="7" t="str">
        <f>IF($A846&lt;&gt;"",MAXIFS(Token!$B:$B,Token!$A:$A,$D846),)</f>
        <v/>
      </c>
    </row>
    <row r="847">
      <c r="A847" s="39" t="str">
        <f>IF(AND($L847*1&gt;=$G$3,$L847*1&lt;=$G$4,$I847*$J847&gt;0,OR($I847&lt;&gt;$I848,$L847-$L848&gt;25),$I847/POW(10,$J847)*MAXIFS(Token!$B:$B,Token!$A:$A,$K847)&gt;0.01),$L847/86400+DATE(1970,1,1)+$G$6,)</f>
        <v/>
      </c>
      <c r="B847" s="27" t="str">
        <f t="shared" si="1"/>
        <v/>
      </c>
      <c r="C847" s="14" t="str">
        <f>IF($A847&lt;&gt;"",MINIFS(Merchant!$A:$A,Merchant!$B:$B,$G$2),)</f>
        <v/>
      </c>
      <c r="D847" s="14" t="str">
        <f t="shared" si="2"/>
        <v/>
      </c>
      <c r="E847" s="14" t="str">
        <f t="shared" si="3"/>
        <v/>
      </c>
      <c r="F847" s="7" t="str">
        <f>IF($A847&lt;&gt;"",MAXIFS(Token!$B:$B,Token!$A:$A,$D847),)</f>
        <v/>
      </c>
    </row>
    <row r="848">
      <c r="A848" s="39" t="str">
        <f>IF(AND($L848*1&gt;=$G$3,$L848*1&lt;=$G$4,$I848*$J848&gt;0,OR($I848&lt;&gt;$I849,$L848-$L849&gt;25),$I848/POW(10,$J848)*MAXIFS(Token!$B:$B,Token!$A:$A,$K848)&gt;0.01),$L848/86400+DATE(1970,1,1)+$G$6,)</f>
        <v/>
      </c>
      <c r="B848" s="27" t="str">
        <f t="shared" si="1"/>
        <v/>
      </c>
      <c r="C848" s="14" t="str">
        <f>IF($A848&lt;&gt;"",MINIFS(Merchant!$A:$A,Merchant!$B:$B,$G$2),)</f>
        <v/>
      </c>
      <c r="D848" s="14" t="str">
        <f t="shared" si="2"/>
        <v/>
      </c>
      <c r="E848" s="14" t="str">
        <f t="shared" si="3"/>
        <v/>
      </c>
      <c r="F848" s="7" t="str">
        <f>IF($A848&lt;&gt;"",MAXIFS(Token!$B:$B,Token!$A:$A,$D848),)</f>
        <v/>
      </c>
    </row>
    <row r="849">
      <c r="A849" s="39" t="str">
        <f>IF(AND($L849*1&gt;=$G$3,$L849*1&lt;=$G$4,$I849*$J849&gt;0,OR($I849&lt;&gt;$I850,$L849-$L850&gt;25),$I849/POW(10,$J849)*MAXIFS(Token!$B:$B,Token!$A:$A,$K849)&gt;0.01),$L849/86400+DATE(1970,1,1)+$G$6,)</f>
        <v/>
      </c>
      <c r="B849" s="27" t="str">
        <f t="shared" si="1"/>
        <v/>
      </c>
      <c r="C849" s="14" t="str">
        <f>IF($A849&lt;&gt;"",MINIFS(Merchant!$A:$A,Merchant!$B:$B,$G$2),)</f>
        <v/>
      </c>
      <c r="D849" s="14" t="str">
        <f t="shared" si="2"/>
        <v/>
      </c>
      <c r="E849" s="14" t="str">
        <f t="shared" si="3"/>
        <v/>
      </c>
      <c r="F849" s="7" t="str">
        <f>IF($A849&lt;&gt;"",MAXIFS(Token!$B:$B,Token!$A:$A,$D849),)</f>
        <v/>
      </c>
    </row>
    <row r="850">
      <c r="A850" s="39" t="str">
        <f>IF(AND($L850*1&gt;=$G$3,$L850*1&lt;=$G$4,$I850*$J850&gt;0,OR($I850&lt;&gt;$I851,$L850-$L851&gt;25),$I850/POW(10,$J850)*MAXIFS(Token!$B:$B,Token!$A:$A,$K850)&gt;0.01),$L850/86400+DATE(1970,1,1)+$G$6,)</f>
        <v/>
      </c>
      <c r="B850" s="27" t="str">
        <f t="shared" si="1"/>
        <v/>
      </c>
      <c r="C850" s="14" t="str">
        <f>IF($A850&lt;&gt;"",MINIFS(Merchant!$A:$A,Merchant!$B:$B,$G$2),)</f>
        <v/>
      </c>
      <c r="D850" s="14" t="str">
        <f t="shared" si="2"/>
        <v/>
      </c>
      <c r="E850" s="14" t="str">
        <f t="shared" si="3"/>
        <v/>
      </c>
      <c r="F850" s="7" t="str">
        <f>IF($A850&lt;&gt;"",MAXIFS(Token!$B:$B,Token!$A:$A,$D850),)</f>
        <v/>
      </c>
    </row>
    <row r="851">
      <c r="A851" s="39" t="str">
        <f>IF(AND($L851*1&gt;=$G$3,$L851*1&lt;=$G$4,$I851*$J851&gt;0,OR($I851&lt;&gt;$I852,$L851-$L852&gt;25),$I851/POW(10,$J851)*MAXIFS(Token!$B:$B,Token!$A:$A,$K851)&gt;0.01),$L851/86400+DATE(1970,1,1)+$G$6,)</f>
        <v/>
      </c>
      <c r="B851" s="27" t="str">
        <f t="shared" si="1"/>
        <v/>
      </c>
      <c r="C851" s="14" t="str">
        <f>IF($A851&lt;&gt;"",MINIFS(Merchant!$A:$A,Merchant!$B:$B,$G$2),)</f>
        <v/>
      </c>
      <c r="D851" s="14" t="str">
        <f t="shared" si="2"/>
        <v/>
      </c>
      <c r="E851" s="14" t="str">
        <f t="shared" si="3"/>
        <v/>
      </c>
      <c r="F851" s="7" t="str">
        <f>IF($A851&lt;&gt;"",MAXIFS(Token!$B:$B,Token!$A:$A,$D851),)</f>
        <v/>
      </c>
    </row>
    <row r="852">
      <c r="A852" s="39" t="str">
        <f>IF(AND($L852*1&gt;=$G$3,$L852*1&lt;=$G$4,$I852*$J852&gt;0,OR($I852&lt;&gt;$I853,$L852-$L853&gt;25),$I852/POW(10,$J852)*MAXIFS(Token!$B:$B,Token!$A:$A,$K852)&gt;0.01),$L852/86400+DATE(1970,1,1)+$G$6,)</f>
        <v/>
      </c>
      <c r="B852" s="27" t="str">
        <f t="shared" si="1"/>
        <v/>
      </c>
      <c r="C852" s="14" t="str">
        <f>IF($A852&lt;&gt;"",MINIFS(Merchant!$A:$A,Merchant!$B:$B,$G$2),)</f>
        <v/>
      </c>
      <c r="D852" s="14" t="str">
        <f t="shared" si="2"/>
        <v/>
      </c>
      <c r="E852" s="14" t="str">
        <f t="shared" si="3"/>
        <v/>
      </c>
      <c r="F852" s="7" t="str">
        <f>IF($A852&lt;&gt;"",MAXIFS(Token!$B:$B,Token!$A:$A,$D852),)</f>
        <v/>
      </c>
    </row>
    <row r="853">
      <c r="A853" s="39" t="str">
        <f>IF(AND($L853*1&gt;=$G$3,$L853*1&lt;=$G$4,$I853*$J853&gt;0,OR($I853&lt;&gt;$I854,$L853-$L854&gt;25),$I853/POW(10,$J853)*MAXIFS(Token!$B:$B,Token!$A:$A,$K853)&gt;0.01),$L853/86400+DATE(1970,1,1)+$G$6,)</f>
        <v/>
      </c>
      <c r="B853" s="27" t="str">
        <f t="shared" si="1"/>
        <v/>
      </c>
      <c r="C853" s="14" t="str">
        <f>IF($A853&lt;&gt;"",MINIFS(Merchant!$A:$A,Merchant!$B:$B,$G$2),)</f>
        <v/>
      </c>
      <c r="D853" s="14" t="str">
        <f t="shared" si="2"/>
        <v/>
      </c>
      <c r="E853" s="14" t="str">
        <f t="shared" si="3"/>
        <v/>
      </c>
      <c r="F853" s="7" t="str">
        <f>IF($A853&lt;&gt;"",MAXIFS(Token!$B:$B,Token!$A:$A,$D853),)</f>
        <v/>
      </c>
    </row>
    <row r="854">
      <c r="A854" s="39" t="str">
        <f>IF(AND($L854*1&gt;=$G$3,$L854*1&lt;=$G$4,$I854*$J854&gt;0,OR($I854&lt;&gt;$I855,$L854-$L855&gt;25),$I854/POW(10,$J854)*MAXIFS(Token!$B:$B,Token!$A:$A,$K854)&gt;0.01),$L854/86400+DATE(1970,1,1)+$G$6,)</f>
        <v/>
      </c>
      <c r="B854" s="27" t="str">
        <f t="shared" si="1"/>
        <v/>
      </c>
      <c r="C854" s="14" t="str">
        <f>IF($A854&lt;&gt;"",MINIFS(Merchant!$A:$A,Merchant!$B:$B,$G$2),)</f>
        <v/>
      </c>
      <c r="D854" s="14" t="str">
        <f t="shared" si="2"/>
        <v/>
      </c>
      <c r="E854" s="14" t="str">
        <f t="shared" si="3"/>
        <v/>
      </c>
      <c r="F854" s="7" t="str">
        <f>IF($A854&lt;&gt;"",MAXIFS(Token!$B:$B,Token!$A:$A,$D854),)</f>
        <v/>
      </c>
    </row>
    <row r="855">
      <c r="A855" s="39" t="str">
        <f>IF(AND($L855*1&gt;=$G$3,$L855*1&lt;=$G$4,$I855*$J855&gt;0,OR($I855&lt;&gt;$I856,$L855-$L856&gt;25),$I855/POW(10,$J855)*MAXIFS(Token!$B:$B,Token!$A:$A,$K855)&gt;0.01),$L855/86400+DATE(1970,1,1)+$G$6,)</f>
        <v/>
      </c>
      <c r="B855" s="27" t="str">
        <f t="shared" si="1"/>
        <v/>
      </c>
      <c r="C855" s="14" t="str">
        <f>IF($A855&lt;&gt;"",MINIFS(Merchant!$A:$A,Merchant!$B:$B,$G$2),)</f>
        <v/>
      </c>
      <c r="D855" s="14" t="str">
        <f t="shared" si="2"/>
        <v/>
      </c>
      <c r="E855" s="14" t="str">
        <f t="shared" si="3"/>
        <v/>
      </c>
      <c r="F855" s="7" t="str">
        <f>IF($A855&lt;&gt;"",MAXIFS(Token!$B:$B,Token!$A:$A,$D855),)</f>
        <v/>
      </c>
    </row>
    <row r="856">
      <c r="A856" s="39" t="str">
        <f>IF(AND($L856*1&gt;=$G$3,$L856*1&lt;=$G$4,$I856*$J856&gt;0,OR($I856&lt;&gt;$I857,$L856-$L857&gt;25),$I856/POW(10,$J856)*MAXIFS(Token!$B:$B,Token!$A:$A,$K856)&gt;0.01),$L856/86400+DATE(1970,1,1)+$G$6,)</f>
        <v/>
      </c>
      <c r="B856" s="27" t="str">
        <f t="shared" si="1"/>
        <v/>
      </c>
      <c r="C856" s="14" t="str">
        <f>IF($A856&lt;&gt;"",MINIFS(Merchant!$A:$A,Merchant!$B:$B,$G$2),)</f>
        <v/>
      </c>
      <c r="D856" s="14" t="str">
        <f t="shared" si="2"/>
        <v/>
      </c>
      <c r="E856" s="14" t="str">
        <f t="shared" si="3"/>
        <v/>
      </c>
      <c r="F856" s="7" t="str">
        <f>IF($A856&lt;&gt;"",MAXIFS(Token!$B:$B,Token!$A:$A,$D856),)</f>
        <v/>
      </c>
    </row>
    <row r="857">
      <c r="A857" s="39" t="str">
        <f>IF(AND($L857*1&gt;=$G$3,$L857*1&lt;=$G$4,$I857*$J857&gt;0,OR($I857&lt;&gt;$I858,$L857-$L858&gt;25),$I857/POW(10,$J857)*MAXIFS(Token!$B:$B,Token!$A:$A,$K857)&gt;0.01),$L857/86400+DATE(1970,1,1)+$G$6,)</f>
        <v/>
      </c>
      <c r="B857" s="27" t="str">
        <f t="shared" si="1"/>
        <v/>
      </c>
      <c r="C857" s="14" t="str">
        <f>IF($A857&lt;&gt;"",MINIFS(Merchant!$A:$A,Merchant!$B:$B,$G$2),)</f>
        <v/>
      </c>
      <c r="D857" s="14" t="str">
        <f t="shared" si="2"/>
        <v/>
      </c>
      <c r="E857" s="14" t="str">
        <f t="shared" si="3"/>
        <v/>
      </c>
      <c r="F857" s="7" t="str">
        <f>IF($A857&lt;&gt;"",MAXIFS(Token!$B:$B,Token!$A:$A,$D857),)</f>
        <v/>
      </c>
    </row>
    <row r="858">
      <c r="A858" s="39" t="str">
        <f>IF(AND($L858*1&gt;=$G$3,$L858*1&lt;=$G$4,$I858*$J858&gt;0,OR($I858&lt;&gt;$I859,$L858-$L859&gt;25),$I858/POW(10,$J858)*MAXIFS(Token!$B:$B,Token!$A:$A,$K858)&gt;0.01),$L858/86400+DATE(1970,1,1)+$G$6,)</f>
        <v/>
      </c>
      <c r="B858" s="27" t="str">
        <f t="shared" si="1"/>
        <v/>
      </c>
      <c r="C858" s="14" t="str">
        <f>IF($A858&lt;&gt;"",MINIFS(Merchant!$A:$A,Merchant!$B:$B,$G$2),)</f>
        <v/>
      </c>
      <c r="D858" s="14" t="str">
        <f t="shared" si="2"/>
        <v/>
      </c>
      <c r="E858" s="14" t="str">
        <f t="shared" si="3"/>
        <v/>
      </c>
      <c r="F858" s="7" t="str">
        <f>IF($A858&lt;&gt;"",MAXIFS(Token!$B:$B,Token!$A:$A,$D858),)</f>
        <v/>
      </c>
    </row>
    <row r="859">
      <c r="A859" s="39" t="str">
        <f>IF(AND($L859*1&gt;=$G$3,$L859*1&lt;=$G$4,$I859*$J859&gt;0,OR($I859&lt;&gt;$I860,$L859-$L860&gt;25),$I859/POW(10,$J859)*MAXIFS(Token!$B:$B,Token!$A:$A,$K859)&gt;0.01),$L859/86400+DATE(1970,1,1)+$G$6,)</f>
        <v/>
      </c>
      <c r="B859" s="27" t="str">
        <f t="shared" si="1"/>
        <v/>
      </c>
      <c r="C859" s="14" t="str">
        <f>IF($A859&lt;&gt;"",MINIFS(Merchant!$A:$A,Merchant!$B:$B,$G$2),)</f>
        <v/>
      </c>
      <c r="D859" s="14" t="str">
        <f t="shared" si="2"/>
        <v/>
      </c>
      <c r="E859" s="14" t="str">
        <f t="shared" si="3"/>
        <v/>
      </c>
      <c r="F859" s="7" t="str">
        <f>IF($A859&lt;&gt;"",MAXIFS(Token!$B:$B,Token!$A:$A,$D859),)</f>
        <v/>
      </c>
    </row>
    <row r="860">
      <c r="A860" s="39" t="str">
        <f>IF(AND($L860*1&gt;=$G$3,$L860*1&lt;=$G$4,$I860*$J860&gt;0,OR($I860&lt;&gt;$I861,$L860-$L861&gt;25),$I860/POW(10,$J860)*MAXIFS(Token!$B:$B,Token!$A:$A,$K860)&gt;0.01),$L860/86400+DATE(1970,1,1)+$G$6,)</f>
        <v/>
      </c>
      <c r="B860" s="27" t="str">
        <f t="shared" si="1"/>
        <v/>
      </c>
      <c r="C860" s="14" t="str">
        <f>IF($A860&lt;&gt;"",MINIFS(Merchant!$A:$A,Merchant!$B:$B,$G$2),)</f>
        <v/>
      </c>
      <c r="D860" s="14" t="str">
        <f t="shared" si="2"/>
        <v/>
      </c>
      <c r="E860" s="14" t="str">
        <f t="shared" si="3"/>
        <v/>
      </c>
      <c r="F860" s="7" t="str">
        <f>IF($A860&lt;&gt;"",MAXIFS(Token!$B:$B,Token!$A:$A,$D860),)</f>
        <v/>
      </c>
    </row>
    <row r="861">
      <c r="A861" s="39" t="str">
        <f>IF(AND($L861*1&gt;=$G$3,$L861*1&lt;=$G$4,$I861*$J861&gt;0,OR($I861&lt;&gt;$I862,$L861-$L862&gt;25),$I861/POW(10,$J861)*MAXIFS(Token!$B:$B,Token!$A:$A,$K861)&gt;0.01),$L861/86400+DATE(1970,1,1)+$G$6,)</f>
        <v/>
      </c>
      <c r="B861" s="27" t="str">
        <f t="shared" si="1"/>
        <v/>
      </c>
      <c r="C861" s="14" t="str">
        <f>IF($A861&lt;&gt;"",MINIFS(Merchant!$A:$A,Merchant!$B:$B,$G$2),)</f>
        <v/>
      </c>
      <c r="D861" s="14" t="str">
        <f t="shared" si="2"/>
        <v/>
      </c>
      <c r="E861" s="14" t="str">
        <f t="shared" si="3"/>
        <v/>
      </c>
      <c r="F861" s="7" t="str">
        <f>IF($A861&lt;&gt;"",MAXIFS(Token!$B:$B,Token!$A:$A,$D861),)</f>
        <v/>
      </c>
    </row>
    <row r="862">
      <c r="A862" s="39" t="str">
        <f>IF(AND($L862*1&gt;=$G$3,$L862*1&lt;=$G$4,$I862*$J862&gt;0,OR($I862&lt;&gt;$I863,$L862-$L863&gt;25),$I862/POW(10,$J862)*MAXIFS(Token!$B:$B,Token!$A:$A,$K862)&gt;0.01),$L862/86400+DATE(1970,1,1)+$G$6,)</f>
        <v/>
      </c>
      <c r="B862" s="27" t="str">
        <f t="shared" si="1"/>
        <v/>
      </c>
      <c r="C862" s="14" t="str">
        <f>IF($A862&lt;&gt;"",MINIFS(Merchant!$A:$A,Merchant!$B:$B,$G$2),)</f>
        <v/>
      </c>
      <c r="D862" s="14" t="str">
        <f t="shared" si="2"/>
        <v/>
      </c>
      <c r="E862" s="14" t="str">
        <f t="shared" si="3"/>
        <v/>
      </c>
      <c r="F862" s="7" t="str">
        <f>IF($A862&lt;&gt;"",MAXIFS(Token!$B:$B,Token!$A:$A,$D862),)</f>
        <v/>
      </c>
    </row>
    <row r="863">
      <c r="A863" s="39" t="str">
        <f>IF(AND($L863*1&gt;=$G$3,$L863*1&lt;=$G$4,$I863*$J863&gt;0,OR($I863&lt;&gt;$I864,$L863-$L864&gt;25),$I863/POW(10,$J863)*MAXIFS(Token!$B:$B,Token!$A:$A,$K863)&gt;0.01),$L863/86400+DATE(1970,1,1)+$G$6,)</f>
        <v/>
      </c>
      <c r="B863" s="27" t="str">
        <f t="shared" si="1"/>
        <v/>
      </c>
      <c r="C863" s="14" t="str">
        <f>IF($A863&lt;&gt;"",MINIFS(Merchant!$A:$A,Merchant!$B:$B,$G$2),)</f>
        <v/>
      </c>
      <c r="D863" s="14" t="str">
        <f t="shared" si="2"/>
        <v/>
      </c>
      <c r="E863" s="14" t="str">
        <f t="shared" si="3"/>
        <v/>
      </c>
      <c r="F863" s="7" t="str">
        <f>IF($A863&lt;&gt;"",MAXIFS(Token!$B:$B,Token!$A:$A,$D863),)</f>
        <v/>
      </c>
    </row>
    <row r="864">
      <c r="A864" s="39" t="str">
        <f>IF(AND($L864*1&gt;=$G$3,$L864*1&lt;=$G$4,$I864*$J864&gt;0,OR($I864&lt;&gt;$I865,$L864-$L865&gt;25),$I864/POW(10,$J864)*MAXIFS(Token!$B:$B,Token!$A:$A,$K864)&gt;0.01),$L864/86400+DATE(1970,1,1)+$G$6,)</f>
        <v/>
      </c>
      <c r="B864" s="27" t="str">
        <f t="shared" si="1"/>
        <v/>
      </c>
      <c r="C864" s="14" t="str">
        <f>IF($A864&lt;&gt;"",MINIFS(Merchant!$A:$A,Merchant!$B:$B,$G$2),)</f>
        <v/>
      </c>
      <c r="D864" s="14" t="str">
        <f t="shared" si="2"/>
        <v/>
      </c>
      <c r="E864" s="14" t="str">
        <f t="shared" si="3"/>
        <v/>
      </c>
      <c r="F864" s="7" t="str">
        <f>IF($A864&lt;&gt;"",MAXIFS(Token!$B:$B,Token!$A:$A,$D864),)</f>
        <v/>
      </c>
    </row>
    <row r="865">
      <c r="A865" s="39" t="str">
        <f>IF(AND($L865*1&gt;=$G$3,$L865*1&lt;=$G$4,$I865*$J865&gt;0,OR($I865&lt;&gt;$I866,$L865-$L866&gt;25),$I865/POW(10,$J865)*MAXIFS(Token!$B:$B,Token!$A:$A,$K865)&gt;0.01),$L865/86400+DATE(1970,1,1)+$G$6,)</f>
        <v/>
      </c>
      <c r="B865" s="27" t="str">
        <f t="shared" si="1"/>
        <v/>
      </c>
      <c r="C865" s="14" t="str">
        <f>IF($A865&lt;&gt;"",MINIFS(Merchant!$A:$A,Merchant!$B:$B,$G$2),)</f>
        <v/>
      </c>
      <c r="D865" s="14" t="str">
        <f t="shared" si="2"/>
        <v/>
      </c>
      <c r="E865" s="14" t="str">
        <f t="shared" si="3"/>
        <v/>
      </c>
      <c r="F865" s="7" t="str">
        <f>IF($A865&lt;&gt;"",MAXIFS(Token!$B:$B,Token!$A:$A,$D865),)</f>
        <v/>
      </c>
    </row>
    <row r="866">
      <c r="A866" s="39" t="str">
        <f>IF(AND($L866*1&gt;=$G$3,$L866*1&lt;=$G$4,$I866*$J866&gt;0,OR($I866&lt;&gt;$I867,$L866-$L867&gt;25),$I866/POW(10,$J866)*MAXIFS(Token!$B:$B,Token!$A:$A,$K866)&gt;0.01),$L866/86400+DATE(1970,1,1)+$G$6,)</f>
        <v/>
      </c>
      <c r="B866" s="27" t="str">
        <f t="shared" si="1"/>
        <v/>
      </c>
      <c r="C866" s="14" t="str">
        <f>IF($A866&lt;&gt;"",MINIFS(Merchant!$A:$A,Merchant!$B:$B,$G$2),)</f>
        <v/>
      </c>
      <c r="D866" s="14" t="str">
        <f t="shared" si="2"/>
        <v/>
      </c>
      <c r="E866" s="14" t="str">
        <f t="shared" si="3"/>
        <v/>
      </c>
      <c r="F866" s="7" t="str">
        <f>IF($A866&lt;&gt;"",MAXIFS(Token!$B:$B,Token!$A:$A,$D866),)</f>
        <v/>
      </c>
    </row>
    <row r="867">
      <c r="A867" s="39" t="str">
        <f>IF(AND($L867*1&gt;=$G$3,$L867*1&lt;=$G$4,$I867*$J867&gt;0,OR($I867&lt;&gt;$I868,$L867-$L868&gt;25),$I867/POW(10,$J867)*MAXIFS(Token!$B:$B,Token!$A:$A,$K867)&gt;0.01),$L867/86400+DATE(1970,1,1)+$G$6,)</f>
        <v/>
      </c>
      <c r="B867" s="27" t="str">
        <f t="shared" si="1"/>
        <v/>
      </c>
      <c r="C867" s="14" t="str">
        <f>IF($A867&lt;&gt;"",MINIFS(Merchant!$A:$A,Merchant!$B:$B,$G$2),)</f>
        <v/>
      </c>
      <c r="D867" s="14" t="str">
        <f t="shared" si="2"/>
        <v/>
      </c>
      <c r="E867" s="14" t="str">
        <f t="shared" si="3"/>
        <v/>
      </c>
      <c r="F867" s="7" t="str">
        <f>IF($A867&lt;&gt;"",MAXIFS(Token!$B:$B,Token!$A:$A,$D867),)</f>
        <v/>
      </c>
    </row>
    <row r="868">
      <c r="A868" s="39" t="str">
        <f>IF(AND($L868*1&gt;=$G$3,$L868*1&lt;=$G$4,$I868*$J868&gt;0,OR($I868&lt;&gt;$I869,$L868-$L869&gt;25),$I868/POW(10,$J868)*MAXIFS(Token!$B:$B,Token!$A:$A,$K868)&gt;0.01),$L868/86400+DATE(1970,1,1)+$G$6,)</f>
        <v/>
      </c>
      <c r="B868" s="27" t="str">
        <f t="shared" si="1"/>
        <v/>
      </c>
      <c r="C868" s="14" t="str">
        <f>IF($A868&lt;&gt;"",MINIFS(Merchant!$A:$A,Merchant!$B:$B,$G$2),)</f>
        <v/>
      </c>
      <c r="D868" s="14" t="str">
        <f t="shared" si="2"/>
        <v/>
      </c>
      <c r="E868" s="14" t="str">
        <f t="shared" si="3"/>
        <v/>
      </c>
      <c r="F868" s="7" t="str">
        <f>IF($A868&lt;&gt;"",MAXIFS(Token!$B:$B,Token!$A:$A,$D868),)</f>
        <v/>
      </c>
    </row>
    <row r="869">
      <c r="A869" s="39" t="str">
        <f>IF(AND($L869*1&gt;=$G$3,$L869*1&lt;=$G$4,$I869*$J869&gt;0,OR($I869&lt;&gt;$I870,$L869-$L870&gt;25),$I869/POW(10,$J869)*MAXIFS(Token!$B:$B,Token!$A:$A,$K869)&gt;0.01),$L869/86400+DATE(1970,1,1)+$G$6,)</f>
        <v/>
      </c>
      <c r="B869" s="27" t="str">
        <f t="shared" si="1"/>
        <v/>
      </c>
      <c r="C869" s="14" t="str">
        <f>IF($A869&lt;&gt;"",MINIFS(Merchant!$A:$A,Merchant!$B:$B,$G$2),)</f>
        <v/>
      </c>
      <c r="D869" s="14" t="str">
        <f t="shared" si="2"/>
        <v/>
      </c>
      <c r="E869" s="14" t="str">
        <f t="shared" si="3"/>
        <v/>
      </c>
      <c r="F869" s="7" t="str">
        <f>IF($A869&lt;&gt;"",MAXIFS(Token!$B:$B,Token!$A:$A,$D869),)</f>
        <v/>
      </c>
    </row>
    <row r="870">
      <c r="A870" s="39" t="str">
        <f>IF(AND($L870*1&gt;=$G$3,$L870*1&lt;=$G$4,$I870*$J870&gt;0,OR($I870&lt;&gt;$I871,$L870-$L871&gt;25),$I870/POW(10,$J870)*MAXIFS(Token!$B:$B,Token!$A:$A,$K870)&gt;0.01),$L870/86400+DATE(1970,1,1)+$G$6,)</f>
        <v/>
      </c>
      <c r="B870" s="27" t="str">
        <f t="shared" si="1"/>
        <v/>
      </c>
      <c r="C870" s="14" t="str">
        <f>IF($A870&lt;&gt;"",MINIFS(Merchant!$A:$A,Merchant!$B:$B,$G$2),)</f>
        <v/>
      </c>
      <c r="D870" s="14" t="str">
        <f t="shared" si="2"/>
        <v/>
      </c>
      <c r="E870" s="14" t="str">
        <f t="shared" si="3"/>
        <v/>
      </c>
      <c r="F870" s="7" t="str">
        <f>IF($A870&lt;&gt;"",MAXIFS(Token!$B:$B,Token!$A:$A,$D870),)</f>
        <v/>
      </c>
    </row>
    <row r="871">
      <c r="A871" s="39" t="str">
        <f>IF(AND($L871*1&gt;=$G$3,$L871*1&lt;=$G$4,$I871*$J871&gt;0,OR($I871&lt;&gt;$I872,$L871-$L872&gt;25),$I871/POW(10,$J871)*MAXIFS(Token!$B:$B,Token!$A:$A,$K871)&gt;0.01),$L871/86400+DATE(1970,1,1)+$G$6,)</f>
        <v/>
      </c>
      <c r="B871" s="27" t="str">
        <f t="shared" si="1"/>
        <v/>
      </c>
      <c r="C871" s="14" t="str">
        <f>IF($A871&lt;&gt;"",MINIFS(Merchant!$A:$A,Merchant!$B:$B,$G$2),)</f>
        <v/>
      </c>
      <c r="D871" s="14" t="str">
        <f t="shared" si="2"/>
        <v/>
      </c>
      <c r="E871" s="14" t="str">
        <f t="shared" si="3"/>
        <v/>
      </c>
      <c r="F871" s="7" t="str">
        <f>IF($A871&lt;&gt;"",MAXIFS(Token!$B:$B,Token!$A:$A,$D871),)</f>
        <v/>
      </c>
    </row>
    <row r="872">
      <c r="A872" s="39" t="str">
        <f>IF(AND($L872*1&gt;=$G$3,$L872*1&lt;=$G$4,$I872*$J872&gt;0,OR($I872&lt;&gt;$I873,$L872-$L873&gt;25),$I872/POW(10,$J872)*MAXIFS(Token!$B:$B,Token!$A:$A,$K872)&gt;0.01),$L872/86400+DATE(1970,1,1)+$G$6,)</f>
        <v/>
      </c>
      <c r="B872" s="27" t="str">
        <f t="shared" si="1"/>
        <v/>
      </c>
      <c r="C872" s="14" t="str">
        <f>IF($A872&lt;&gt;"",MINIFS(Merchant!$A:$A,Merchant!$B:$B,$G$2),)</f>
        <v/>
      </c>
      <c r="D872" s="14" t="str">
        <f t="shared" si="2"/>
        <v/>
      </c>
      <c r="E872" s="14" t="str">
        <f t="shared" si="3"/>
        <v/>
      </c>
      <c r="F872" s="7" t="str">
        <f>IF($A872&lt;&gt;"",MAXIFS(Token!$B:$B,Token!$A:$A,$D872),)</f>
        <v/>
      </c>
    </row>
    <row r="873">
      <c r="A873" s="39" t="str">
        <f>IF(AND($L873*1&gt;=$G$3,$L873*1&lt;=$G$4,$I873*$J873&gt;0,OR($I873&lt;&gt;$I874,$L873-$L874&gt;25),$I873/POW(10,$J873)*MAXIFS(Token!$B:$B,Token!$A:$A,$K873)&gt;0.01),$L873/86400+DATE(1970,1,1)+$G$6,)</f>
        <v/>
      </c>
      <c r="B873" s="27" t="str">
        <f t="shared" si="1"/>
        <v/>
      </c>
      <c r="C873" s="14" t="str">
        <f>IF($A873&lt;&gt;"",MINIFS(Merchant!$A:$A,Merchant!$B:$B,$G$2),)</f>
        <v/>
      </c>
      <c r="D873" s="14" t="str">
        <f t="shared" si="2"/>
        <v/>
      </c>
      <c r="E873" s="14" t="str">
        <f t="shared" si="3"/>
        <v/>
      </c>
      <c r="F873" s="7" t="str">
        <f>IF($A873&lt;&gt;"",MAXIFS(Token!$B:$B,Token!$A:$A,$D873),)</f>
        <v/>
      </c>
    </row>
    <row r="874">
      <c r="A874" s="39" t="str">
        <f>IF(AND($L874*1&gt;=$G$3,$L874*1&lt;=$G$4,$I874*$J874&gt;0,OR($I874&lt;&gt;$I875,$L874-$L875&gt;25),$I874/POW(10,$J874)*MAXIFS(Token!$B:$B,Token!$A:$A,$K874)&gt;0.01),$L874/86400+DATE(1970,1,1)+$G$6,)</f>
        <v/>
      </c>
      <c r="B874" s="27" t="str">
        <f t="shared" si="1"/>
        <v/>
      </c>
      <c r="C874" s="14" t="str">
        <f>IF($A874&lt;&gt;"",MINIFS(Merchant!$A:$A,Merchant!$B:$B,$G$2),)</f>
        <v/>
      </c>
      <c r="D874" s="14" t="str">
        <f t="shared" si="2"/>
        <v/>
      </c>
      <c r="E874" s="14" t="str">
        <f t="shared" si="3"/>
        <v/>
      </c>
      <c r="F874" s="7" t="str">
        <f>IF($A874&lt;&gt;"",MAXIFS(Token!$B:$B,Token!$A:$A,$D874),)</f>
        <v/>
      </c>
    </row>
    <row r="875">
      <c r="A875" s="39" t="str">
        <f>IF(AND($L875*1&gt;=$G$3,$L875*1&lt;=$G$4,$I875*$J875&gt;0,OR($I875&lt;&gt;$I876,$L875-$L876&gt;25),$I875/POW(10,$J875)*MAXIFS(Token!$B:$B,Token!$A:$A,$K875)&gt;0.01),$L875/86400+DATE(1970,1,1)+$G$6,)</f>
        <v/>
      </c>
      <c r="B875" s="27" t="str">
        <f t="shared" si="1"/>
        <v/>
      </c>
      <c r="C875" s="14" t="str">
        <f>IF($A875&lt;&gt;"",MINIFS(Merchant!$A:$A,Merchant!$B:$B,$G$2),)</f>
        <v/>
      </c>
      <c r="D875" s="14" t="str">
        <f t="shared" si="2"/>
        <v/>
      </c>
      <c r="E875" s="14" t="str">
        <f t="shared" si="3"/>
        <v/>
      </c>
      <c r="F875" s="7" t="str">
        <f>IF($A875&lt;&gt;"",MAXIFS(Token!$B:$B,Token!$A:$A,$D875),)</f>
        <v/>
      </c>
    </row>
    <row r="876">
      <c r="A876" s="39" t="str">
        <f>IF(AND($L876*1&gt;=$G$3,$L876*1&lt;=$G$4,$I876*$J876&gt;0,OR($I876&lt;&gt;$I877,$L876-$L877&gt;25),$I876/POW(10,$J876)*MAXIFS(Token!$B:$B,Token!$A:$A,$K876)&gt;0.01),$L876/86400+DATE(1970,1,1)+$G$6,)</f>
        <v/>
      </c>
      <c r="B876" s="27" t="str">
        <f t="shared" si="1"/>
        <v/>
      </c>
      <c r="C876" s="14" t="str">
        <f>IF($A876&lt;&gt;"",MINIFS(Merchant!$A:$A,Merchant!$B:$B,$G$2),)</f>
        <v/>
      </c>
      <c r="D876" s="14" t="str">
        <f t="shared" si="2"/>
        <v/>
      </c>
      <c r="E876" s="14" t="str">
        <f t="shared" si="3"/>
        <v/>
      </c>
      <c r="F876" s="7" t="str">
        <f>IF($A876&lt;&gt;"",MAXIFS(Token!$B:$B,Token!$A:$A,$D876),)</f>
        <v/>
      </c>
    </row>
    <row r="877">
      <c r="A877" s="39" t="str">
        <f>IF(AND($L877*1&gt;=$G$3,$L877*1&lt;=$G$4,$I877*$J877&gt;0,OR($I877&lt;&gt;$I878,$L877-$L878&gt;25),$I877/POW(10,$J877)*MAXIFS(Token!$B:$B,Token!$A:$A,$K877)&gt;0.01),$L877/86400+DATE(1970,1,1)+$G$6,)</f>
        <v/>
      </c>
      <c r="B877" s="27" t="str">
        <f t="shared" si="1"/>
        <v/>
      </c>
      <c r="C877" s="14" t="str">
        <f>IF($A877&lt;&gt;"",MINIFS(Merchant!$A:$A,Merchant!$B:$B,$G$2),)</f>
        <v/>
      </c>
      <c r="D877" s="14" t="str">
        <f t="shared" si="2"/>
        <v/>
      </c>
      <c r="E877" s="14" t="str">
        <f t="shared" si="3"/>
        <v/>
      </c>
      <c r="F877" s="7" t="str">
        <f>IF($A877&lt;&gt;"",MAXIFS(Token!$B:$B,Token!$A:$A,$D877),)</f>
        <v/>
      </c>
    </row>
    <row r="878">
      <c r="A878" s="39" t="str">
        <f>IF(AND($L878*1&gt;=$G$3,$L878*1&lt;=$G$4,$I878*$J878&gt;0,OR($I878&lt;&gt;$I879,$L878-$L879&gt;25),$I878/POW(10,$J878)*MAXIFS(Token!$B:$B,Token!$A:$A,$K878)&gt;0.01),$L878/86400+DATE(1970,1,1)+$G$6,)</f>
        <v/>
      </c>
      <c r="B878" s="27" t="str">
        <f t="shared" si="1"/>
        <v/>
      </c>
      <c r="C878" s="14" t="str">
        <f>IF($A878&lt;&gt;"",MINIFS(Merchant!$A:$A,Merchant!$B:$B,$G$2),)</f>
        <v/>
      </c>
      <c r="D878" s="14" t="str">
        <f t="shared" si="2"/>
        <v/>
      </c>
      <c r="E878" s="14" t="str">
        <f t="shared" si="3"/>
        <v/>
      </c>
      <c r="F878" s="7" t="str">
        <f>IF($A878&lt;&gt;"",MAXIFS(Token!$B:$B,Token!$A:$A,$D878),)</f>
        <v/>
      </c>
    </row>
    <row r="879">
      <c r="A879" s="39" t="str">
        <f>IF(AND($L879*1&gt;=$G$3,$L879*1&lt;=$G$4,$I879*$J879&gt;0,OR($I879&lt;&gt;$I880,$L879-$L880&gt;25),$I879/POW(10,$J879)*MAXIFS(Token!$B:$B,Token!$A:$A,$K879)&gt;0.01),$L879/86400+DATE(1970,1,1)+$G$6,)</f>
        <v/>
      </c>
      <c r="B879" s="27" t="str">
        <f t="shared" si="1"/>
        <v/>
      </c>
      <c r="C879" s="14" t="str">
        <f>IF($A879&lt;&gt;"",MINIFS(Merchant!$A:$A,Merchant!$B:$B,$G$2),)</f>
        <v/>
      </c>
      <c r="D879" s="14" t="str">
        <f t="shared" si="2"/>
        <v/>
      </c>
      <c r="E879" s="14" t="str">
        <f t="shared" si="3"/>
        <v/>
      </c>
      <c r="F879" s="7" t="str">
        <f>IF($A879&lt;&gt;"",MAXIFS(Token!$B:$B,Token!$A:$A,$D879),)</f>
        <v/>
      </c>
    </row>
    <row r="880">
      <c r="A880" s="39" t="str">
        <f>IF(AND($L880*1&gt;=$G$3,$L880*1&lt;=$G$4,$I880*$J880&gt;0,OR($I880&lt;&gt;$I881,$L880-$L881&gt;25),$I880/POW(10,$J880)*MAXIFS(Token!$B:$B,Token!$A:$A,$K880)&gt;0.01),$L880/86400+DATE(1970,1,1)+$G$6,)</f>
        <v/>
      </c>
      <c r="B880" s="27" t="str">
        <f t="shared" si="1"/>
        <v/>
      </c>
      <c r="C880" s="14" t="str">
        <f>IF($A880&lt;&gt;"",MINIFS(Merchant!$A:$A,Merchant!$B:$B,$G$2),)</f>
        <v/>
      </c>
      <c r="D880" s="14" t="str">
        <f t="shared" si="2"/>
        <v/>
      </c>
      <c r="E880" s="14" t="str">
        <f t="shared" si="3"/>
        <v/>
      </c>
      <c r="F880" s="7" t="str">
        <f>IF($A880&lt;&gt;"",MAXIFS(Token!$B:$B,Token!$A:$A,$D880),)</f>
        <v/>
      </c>
    </row>
    <row r="881">
      <c r="A881" s="39" t="str">
        <f>IF(AND($L881*1&gt;=$G$3,$L881*1&lt;=$G$4,$I881*$J881&gt;0,OR($I881&lt;&gt;$I882,$L881-$L882&gt;25),$I881/POW(10,$J881)*MAXIFS(Token!$B:$B,Token!$A:$A,$K881)&gt;0.01),$L881/86400+DATE(1970,1,1)+$G$6,)</f>
        <v/>
      </c>
      <c r="B881" s="27" t="str">
        <f t="shared" si="1"/>
        <v/>
      </c>
      <c r="C881" s="14" t="str">
        <f>IF($A881&lt;&gt;"",MINIFS(Merchant!$A:$A,Merchant!$B:$B,$G$2),)</f>
        <v/>
      </c>
      <c r="D881" s="14" t="str">
        <f t="shared" si="2"/>
        <v/>
      </c>
      <c r="E881" s="14" t="str">
        <f t="shared" si="3"/>
        <v/>
      </c>
      <c r="F881" s="7" t="str">
        <f>IF($A881&lt;&gt;"",MAXIFS(Token!$B:$B,Token!$A:$A,$D881),)</f>
        <v/>
      </c>
    </row>
    <row r="882">
      <c r="A882" s="39" t="str">
        <f>IF(AND($L882*1&gt;=$G$3,$L882*1&lt;=$G$4,$I882*$J882&gt;0,OR($I882&lt;&gt;$I883,$L882-$L883&gt;25),$I882/POW(10,$J882)*MAXIFS(Token!$B:$B,Token!$A:$A,$K882)&gt;0.01),$L882/86400+DATE(1970,1,1)+$G$6,)</f>
        <v/>
      </c>
      <c r="B882" s="27" t="str">
        <f t="shared" si="1"/>
        <v/>
      </c>
      <c r="C882" s="14" t="str">
        <f>IF($A882&lt;&gt;"",MINIFS(Merchant!$A:$A,Merchant!$B:$B,$G$2),)</f>
        <v/>
      </c>
      <c r="D882" s="14" t="str">
        <f t="shared" si="2"/>
        <v/>
      </c>
      <c r="E882" s="14" t="str">
        <f t="shared" si="3"/>
        <v/>
      </c>
      <c r="F882" s="7" t="str">
        <f>IF($A882&lt;&gt;"",MAXIFS(Token!$B:$B,Token!$A:$A,$D882),)</f>
        <v/>
      </c>
    </row>
    <row r="883">
      <c r="A883" s="39" t="str">
        <f>IF(AND($L883*1&gt;=$G$3,$L883*1&lt;=$G$4,$I883*$J883&gt;0,OR($I883&lt;&gt;$I884,$L883-$L884&gt;25),$I883/POW(10,$J883)*MAXIFS(Token!$B:$B,Token!$A:$A,$K883)&gt;0.01),$L883/86400+DATE(1970,1,1)+$G$6,)</f>
        <v/>
      </c>
      <c r="B883" s="27" t="str">
        <f t="shared" si="1"/>
        <v/>
      </c>
      <c r="C883" s="14" t="str">
        <f>IF($A883&lt;&gt;"",MINIFS(Merchant!$A:$A,Merchant!$B:$B,$G$2),)</f>
        <v/>
      </c>
      <c r="D883" s="14" t="str">
        <f t="shared" si="2"/>
        <v/>
      </c>
      <c r="E883" s="14" t="str">
        <f t="shared" si="3"/>
        <v/>
      </c>
      <c r="F883" s="7" t="str">
        <f>IF($A883&lt;&gt;"",MAXIFS(Token!$B:$B,Token!$A:$A,$D883),)</f>
        <v/>
      </c>
    </row>
    <row r="884">
      <c r="A884" s="39" t="str">
        <f>IF(AND($L884*1&gt;=$G$3,$L884*1&lt;=$G$4,$I884*$J884&gt;0,OR($I884&lt;&gt;$I885,$L884-$L885&gt;25),$I884/POW(10,$J884)*MAXIFS(Token!$B:$B,Token!$A:$A,$K884)&gt;0.01),$L884/86400+DATE(1970,1,1)+$G$6,)</f>
        <v/>
      </c>
      <c r="B884" s="27" t="str">
        <f t="shared" si="1"/>
        <v/>
      </c>
      <c r="C884" s="14" t="str">
        <f>IF($A884&lt;&gt;"",MINIFS(Merchant!$A:$A,Merchant!$B:$B,$G$2),)</f>
        <v/>
      </c>
      <c r="D884" s="14" t="str">
        <f t="shared" si="2"/>
        <v/>
      </c>
      <c r="E884" s="14" t="str">
        <f t="shared" si="3"/>
        <v/>
      </c>
      <c r="F884" s="7" t="str">
        <f>IF($A884&lt;&gt;"",MAXIFS(Token!$B:$B,Token!$A:$A,$D884),)</f>
        <v/>
      </c>
    </row>
    <row r="885">
      <c r="A885" s="39" t="str">
        <f>IF(AND($L885*1&gt;=$G$3,$L885*1&lt;=$G$4,$I885*$J885&gt;0,OR($I885&lt;&gt;$I886,$L885-$L886&gt;25),$I885/POW(10,$J885)*MAXIFS(Token!$B:$B,Token!$A:$A,$K885)&gt;0.01),$L885/86400+DATE(1970,1,1)+$G$6,)</f>
        <v/>
      </c>
      <c r="B885" s="27" t="str">
        <f t="shared" si="1"/>
        <v/>
      </c>
      <c r="C885" s="14" t="str">
        <f>IF($A885&lt;&gt;"",MINIFS(Merchant!$A:$A,Merchant!$B:$B,$G$2),)</f>
        <v/>
      </c>
      <c r="D885" s="14" t="str">
        <f t="shared" si="2"/>
        <v/>
      </c>
      <c r="E885" s="14" t="str">
        <f t="shared" si="3"/>
        <v/>
      </c>
      <c r="F885" s="7" t="str">
        <f>IF($A885&lt;&gt;"",MAXIFS(Token!$B:$B,Token!$A:$A,$D885),)</f>
        <v/>
      </c>
    </row>
    <row r="886">
      <c r="A886" s="39" t="str">
        <f>IF(AND($L886*1&gt;=$G$3,$L886*1&lt;=$G$4,$I886*$J886&gt;0,OR($I886&lt;&gt;$I887,$L886-$L887&gt;25),$I886/POW(10,$J886)*MAXIFS(Token!$B:$B,Token!$A:$A,$K886)&gt;0.01),$L886/86400+DATE(1970,1,1)+$G$6,)</f>
        <v/>
      </c>
      <c r="B886" s="27" t="str">
        <f t="shared" si="1"/>
        <v/>
      </c>
      <c r="C886" s="14" t="str">
        <f>IF($A886&lt;&gt;"",MINIFS(Merchant!$A:$A,Merchant!$B:$B,$G$2),)</f>
        <v/>
      </c>
      <c r="D886" s="14" t="str">
        <f t="shared" si="2"/>
        <v/>
      </c>
      <c r="E886" s="14" t="str">
        <f t="shared" si="3"/>
        <v/>
      </c>
      <c r="F886" s="7" t="str">
        <f>IF($A886&lt;&gt;"",MAXIFS(Token!$B:$B,Token!$A:$A,$D886),)</f>
        <v/>
      </c>
    </row>
    <row r="887">
      <c r="A887" s="39" t="str">
        <f>IF(AND($L887*1&gt;=$G$3,$L887*1&lt;=$G$4,$I887*$J887&gt;0,OR($I887&lt;&gt;$I888,$L887-$L888&gt;25),$I887/POW(10,$J887)*MAXIFS(Token!$B:$B,Token!$A:$A,$K887)&gt;0.01),$L887/86400+DATE(1970,1,1)+$G$6,)</f>
        <v/>
      </c>
      <c r="B887" s="27" t="str">
        <f t="shared" si="1"/>
        <v/>
      </c>
      <c r="C887" s="14" t="str">
        <f>IF($A887&lt;&gt;"",MINIFS(Merchant!$A:$A,Merchant!$B:$B,$G$2),)</f>
        <v/>
      </c>
      <c r="D887" s="14" t="str">
        <f t="shared" si="2"/>
        <v/>
      </c>
      <c r="E887" s="14" t="str">
        <f t="shared" si="3"/>
        <v/>
      </c>
      <c r="F887" s="7" t="str">
        <f>IF($A887&lt;&gt;"",MAXIFS(Token!$B:$B,Token!$A:$A,$D887),)</f>
        <v/>
      </c>
    </row>
    <row r="888">
      <c r="A888" s="39" t="str">
        <f>IF(AND($L888*1&gt;=$G$3,$L888*1&lt;=$G$4,$I888*$J888&gt;0,OR($I888&lt;&gt;$I889,$L888-$L889&gt;25),$I888/POW(10,$J888)*MAXIFS(Token!$B:$B,Token!$A:$A,$K888)&gt;0.01),$L888/86400+DATE(1970,1,1)+$G$6,)</f>
        <v/>
      </c>
      <c r="B888" s="27" t="str">
        <f t="shared" si="1"/>
        <v/>
      </c>
      <c r="C888" s="14" t="str">
        <f>IF($A888&lt;&gt;"",MINIFS(Merchant!$A:$A,Merchant!$B:$B,$G$2),)</f>
        <v/>
      </c>
      <c r="D888" s="14" t="str">
        <f t="shared" si="2"/>
        <v/>
      </c>
      <c r="E888" s="14" t="str">
        <f t="shared" si="3"/>
        <v/>
      </c>
      <c r="F888" s="7" t="str">
        <f>IF($A888&lt;&gt;"",MAXIFS(Token!$B:$B,Token!$A:$A,$D888),)</f>
        <v/>
      </c>
    </row>
    <row r="889">
      <c r="A889" s="39" t="str">
        <f>IF(AND($L889*1&gt;=$G$3,$L889*1&lt;=$G$4,$I889*$J889&gt;0,OR($I889&lt;&gt;$I890,$L889-$L890&gt;25),$I889/POW(10,$J889)*MAXIFS(Token!$B:$B,Token!$A:$A,$K889)&gt;0.01),$L889/86400+DATE(1970,1,1)+$G$6,)</f>
        <v/>
      </c>
      <c r="B889" s="27" t="str">
        <f t="shared" si="1"/>
        <v/>
      </c>
      <c r="C889" s="14" t="str">
        <f>IF($A889&lt;&gt;"",MINIFS(Merchant!$A:$A,Merchant!$B:$B,$G$2),)</f>
        <v/>
      </c>
      <c r="D889" s="14" t="str">
        <f t="shared" si="2"/>
        <v/>
      </c>
      <c r="E889" s="14" t="str">
        <f t="shared" si="3"/>
        <v/>
      </c>
      <c r="F889" s="7" t="str">
        <f>IF($A889&lt;&gt;"",MAXIFS(Token!$B:$B,Token!$A:$A,$D889),)</f>
        <v/>
      </c>
    </row>
    <row r="890">
      <c r="A890" s="39" t="str">
        <f>IF(AND($L890*1&gt;=$G$3,$L890*1&lt;=$G$4,$I890*$J890&gt;0,OR($I890&lt;&gt;$I891,$L890-$L891&gt;25),$I890/POW(10,$J890)*MAXIFS(Token!$B:$B,Token!$A:$A,$K890)&gt;0.01),$L890/86400+DATE(1970,1,1)+$G$6,)</f>
        <v/>
      </c>
      <c r="B890" s="27" t="str">
        <f t="shared" si="1"/>
        <v/>
      </c>
      <c r="C890" s="14" t="str">
        <f>IF($A890&lt;&gt;"",MINIFS(Merchant!$A:$A,Merchant!$B:$B,$G$2),)</f>
        <v/>
      </c>
      <c r="D890" s="14" t="str">
        <f t="shared" si="2"/>
        <v/>
      </c>
      <c r="E890" s="14" t="str">
        <f t="shared" si="3"/>
        <v/>
      </c>
      <c r="F890" s="7" t="str">
        <f>IF($A890&lt;&gt;"",MAXIFS(Token!$B:$B,Token!$A:$A,$D890),)</f>
        <v/>
      </c>
    </row>
    <row r="891">
      <c r="A891" s="39" t="str">
        <f>IF(AND($L891*1&gt;=$G$3,$L891*1&lt;=$G$4,$I891*$J891&gt;0,OR($I891&lt;&gt;$I892,$L891-$L892&gt;25),$I891/POW(10,$J891)*MAXIFS(Token!$B:$B,Token!$A:$A,$K891)&gt;0.01),$L891/86400+DATE(1970,1,1)+$G$6,)</f>
        <v/>
      </c>
      <c r="B891" s="27" t="str">
        <f t="shared" si="1"/>
        <v/>
      </c>
      <c r="C891" s="14" t="str">
        <f>IF($A891&lt;&gt;"",MINIFS(Merchant!$A:$A,Merchant!$B:$B,$G$2),)</f>
        <v/>
      </c>
      <c r="D891" s="14" t="str">
        <f t="shared" si="2"/>
        <v/>
      </c>
      <c r="E891" s="14" t="str">
        <f t="shared" si="3"/>
        <v/>
      </c>
      <c r="F891" s="7" t="str">
        <f>IF($A891&lt;&gt;"",MAXIFS(Token!$B:$B,Token!$A:$A,$D891),)</f>
        <v/>
      </c>
    </row>
    <row r="892">
      <c r="A892" s="39" t="str">
        <f>IF(AND($L892*1&gt;=$G$3,$L892*1&lt;=$G$4,$I892*$J892&gt;0,OR($I892&lt;&gt;$I893,$L892-$L893&gt;25),$I892/POW(10,$J892)*MAXIFS(Token!$B:$B,Token!$A:$A,$K892)&gt;0.01),$L892/86400+DATE(1970,1,1)+$G$6,)</f>
        <v/>
      </c>
      <c r="B892" s="27" t="str">
        <f t="shared" si="1"/>
        <v/>
      </c>
      <c r="C892" s="14" t="str">
        <f>IF($A892&lt;&gt;"",MINIFS(Merchant!$A:$A,Merchant!$B:$B,$G$2),)</f>
        <v/>
      </c>
      <c r="D892" s="14" t="str">
        <f t="shared" si="2"/>
        <v/>
      </c>
      <c r="E892" s="14" t="str">
        <f t="shared" si="3"/>
        <v/>
      </c>
      <c r="F892" s="7" t="str">
        <f>IF($A892&lt;&gt;"",MAXIFS(Token!$B:$B,Token!$A:$A,$D892),)</f>
        <v/>
      </c>
    </row>
    <row r="893">
      <c r="A893" s="39" t="str">
        <f>IF(AND($L893*1&gt;=$G$3,$L893*1&lt;=$G$4,$I893*$J893&gt;0,OR($I893&lt;&gt;$I894,$L893-$L894&gt;25),$I893/POW(10,$J893)*MAXIFS(Token!$B:$B,Token!$A:$A,$K893)&gt;0.01),$L893/86400+DATE(1970,1,1)+$G$6,)</f>
        <v/>
      </c>
      <c r="B893" s="27" t="str">
        <f t="shared" si="1"/>
        <v/>
      </c>
      <c r="C893" s="14" t="str">
        <f>IF($A893&lt;&gt;"",MINIFS(Merchant!$A:$A,Merchant!$B:$B,$G$2),)</f>
        <v/>
      </c>
      <c r="D893" s="14" t="str">
        <f t="shared" si="2"/>
        <v/>
      </c>
      <c r="E893" s="14" t="str">
        <f t="shared" si="3"/>
        <v/>
      </c>
      <c r="F893" s="7" t="str">
        <f>IF($A893&lt;&gt;"",MAXIFS(Token!$B:$B,Token!$A:$A,$D893),)</f>
        <v/>
      </c>
    </row>
    <row r="894">
      <c r="A894" s="39" t="str">
        <f>IF(AND($L894*1&gt;=$G$3,$L894*1&lt;=$G$4,$I894*$J894&gt;0,OR($I894&lt;&gt;$I895,$L894-$L895&gt;25),$I894/POW(10,$J894)*MAXIFS(Token!$B:$B,Token!$A:$A,$K894)&gt;0.01),$L894/86400+DATE(1970,1,1)+$G$6,)</f>
        <v/>
      </c>
      <c r="B894" s="27" t="str">
        <f t="shared" si="1"/>
        <v/>
      </c>
      <c r="C894" s="14" t="str">
        <f>IF($A894&lt;&gt;"",MINIFS(Merchant!$A:$A,Merchant!$B:$B,$G$2),)</f>
        <v/>
      </c>
      <c r="D894" s="14" t="str">
        <f t="shared" si="2"/>
        <v/>
      </c>
      <c r="E894" s="14" t="str">
        <f t="shared" si="3"/>
        <v/>
      </c>
      <c r="F894" s="7" t="str">
        <f>IF($A894&lt;&gt;"",MAXIFS(Token!$B:$B,Token!$A:$A,$D894),)</f>
        <v/>
      </c>
    </row>
    <row r="895">
      <c r="A895" s="39" t="str">
        <f>IF(AND($L895*1&gt;=$G$3,$L895*1&lt;=$G$4,$I895*$J895&gt;0,OR($I895&lt;&gt;$I896,$L895-$L896&gt;25),$I895/POW(10,$J895)*MAXIFS(Token!$B:$B,Token!$A:$A,$K895)&gt;0.01),$L895/86400+DATE(1970,1,1)+$G$6,)</f>
        <v/>
      </c>
      <c r="B895" s="27" t="str">
        <f t="shared" si="1"/>
        <v/>
      </c>
      <c r="C895" s="14" t="str">
        <f>IF($A895&lt;&gt;"",MINIFS(Merchant!$A:$A,Merchant!$B:$B,$G$2),)</f>
        <v/>
      </c>
      <c r="D895" s="14" t="str">
        <f t="shared" si="2"/>
        <v/>
      </c>
      <c r="E895" s="14" t="str">
        <f t="shared" si="3"/>
        <v/>
      </c>
      <c r="F895" s="7" t="str">
        <f>IF($A895&lt;&gt;"",MAXIFS(Token!$B:$B,Token!$A:$A,$D895),)</f>
        <v/>
      </c>
    </row>
    <row r="896">
      <c r="A896" s="39" t="str">
        <f>IF(AND($L896*1&gt;=$G$3,$L896*1&lt;=$G$4,$I896*$J896&gt;0,OR($I896&lt;&gt;$I897,$L896-$L897&gt;25),$I896/POW(10,$J896)*MAXIFS(Token!$B:$B,Token!$A:$A,$K896)&gt;0.01),$L896/86400+DATE(1970,1,1)+$G$6,)</f>
        <v/>
      </c>
      <c r="B896" s="27" t="str">
        <f t="shared" si="1"/>
        <v/>
      </c>
      <c r="C896" s="14" t="str">
        <f>IF($A896&lt;&gt;"",MINIFS(Merchant!$A:$A,Merchant!$B:$B,$G$2),)</f>
        <v/>
      </c>
      <c r="D896" s="14" t="str">
        <f t="shared" si="2"/>
        <v/>
      </c>
      <c r="E896" s="14" t="str">
        <f t="shared" si="3"/>
        <v/>
      </c>
      <c r="F896" s="7" t="str">
        <f>IF($A896&lt;&gt;"",MAXIFS(Token!$B:$B,Token!$A:$A,$D896),)</f>
        <v/>
      </c>
    </row>
    <row r="897">
      <c r="A897" s="39" t="str">
        <f>IF(AND($L897*1&gt;=$G$3,$L897*1&lt;=$G$4,$I897*$J897&gt;0,OR($I897&lt;&gt;$I898,$L897-$L898&gt;25),$I897/POW(10,$J897)*MAXIFS(Token!$B:$B,Token!$A:$A,$K897)&gt;0.01),$L897/86400+DATE(1970,1,1)+$G$6,)</f>
        <v/>
      </c>
      <c r="B897" s="27" t="str">
        <f t="shared" si="1"/>
        <v/>
      </c>
      <c r="C897" s="14" t="str">
        <f>IF($A897&lt;&gt;"",MINIFS(Merchant!$A:$A,Merchant!$B:$B,$G$2),)</f>
        <v/>
      </c>
      <c r="D897" s="14" t="str">
        <f t="shared" si="2"/>
        <v/>
      </c>
      <c r="E897" s="14" t="str">
        <f t="shared" si="3"/>
        <v/>
      </c>
      <c r="F897" s="7" t="str">
        <f>IF($A897&lt;&gt;"",MAXIFS(Token!$B:$B,Token!$A:$A,$D897),)</f>
        <v/>
      </c>
    </row>
    <row r="898">
      <c r="A898" s="39" t="str">
        <f>IF(AND($L898*1&gt;=$G$3,$L898*1&lt;=$G$4,$I898*$J898&gt;0,OR($I898&lt;&gt;$I899,$L898-$L899&gt;25),$I898/POW(10,$J898)*MAXIFS(Token!$B:$B,Token!$A:$A,$K898)&gt;0.01),$L898/86400+DATE(1970,1,1)+$G$6,)</f>
        <v/>
      </c>
      <c r="B898" s="27" t="str">
        <f t="shared" si="1"/>
        <v/>
      </c>
      <c r="C898" s="14" t="str">
        <f>IF($A898&lt;&gt;"",MINIFS(Merchant!$A:$A,Merchant!$B:$B,$G$2),)</f>
        <v/>
      </c>
      <c r="D898" s="14" t="str">
        <f t="shared" si="2"/>
        <v/>
      </c>
      <c r="E898" s="14" t="str">
        <f t="shared" si="3"/>
        <v/>
      </c>
      <c r="F898" s="7" t="str">
        <f>IF($A898&lt;&gt;"",MAXIFS(Token!$B:$B,Token!$A:$A,$D898),)</f>
        <v/>
      </c>
    </row>
    <row r="899">
      <c r="A899" s="39" t="str">
        <f>IF(AND($L899*1&gt;=$G$3,$L899*1&lt;=$G$4,$I899*$J899&gt;0,OR($I899&lt;&gt;$I900,$L899-$L900&gt;25),$I899/POW(10,$J899)*MAXIFS(Token!$B:$B,Token!$A:$A,$K899)&gt;0.01),$L899/86400+DATE(1970,1,1)+$G$6,)</f>
        <v/>
      </c>
      <c r="B899" s="27" t="str">
        <f t="shared" si="1"/>
        <v/>
      </c>
      <c r="C899" s="14" t="str">
        <f>IF($A899&lt;&gt;"",MINIFS(Merchant!$A:$A,Merchant!$B:$B,$G$2),)</f>
        <v/>
      </c>
      <c r="D899" s="14" t="str">
        <f t="shared" si="2"/>
        <v/>
      </c>
      <c r="E899" s="14" t="str">
        <f t="shared" si="3"/>
        <v/>
      </c>
      <c r="F899" s="7" t="str">
        <f>IF($A899&lt;&gt;"",MAXIFS(Token!$B:$B,Token!$A:$A,$D899),)</f>
        <v/>
      </c>
    </row>
    <row r="900">
      <c r="A900" s="39" t="str">
        <f>IF(AND($L900*1&gt;=$G$3,$L900*1&lt;=$G$4,$I900*$J900&gt;0,OR($I900&lt;&gt;$I901,$L900-$L901&gt;25),$I900/POW(10,$J900)*MAXIFS(Token!$B:$B,Token!$A:$A,$K900)&gt;0.01),$L900/86400+DATE(1970,1,1)+$G$6,)</f>
        <v/>
      </c>
      <c r="B900" s="27" t="str">
        <f t="shared" si="1"/>
        <v/>
      </c>
      <c r="C900" s="14" t="str">
        <f>IF($A900&lt;&gt;"",MINIFS(Merchant!$A:$A,Merchant!$B:$B,$G$2),)</f>
        <v/>
      </c>
      <c r="D900" s="14" t="str">
        <f t="shared" si="2"/>
        <v/>
      </c>
      <c r="E900" s="14" t="str">
        <f t="shared" si="3"/>
        <v/>
      </c>
      <c r="F900" s="7" t="str">
        <f>IF($A900&lt;&gt;"",MAXIFS(Token!$B:$B,Token!$A:$A,$D900),)</f>
        <v/>
      </c>
    </row>
    <row r="901">
      <c r="A901" s="39" t="str">
        <f>IF(AND($L901*1&gt;=$G$3,$L901*1&lt;=$G$4,$I901*$J901&gt;0,OR($I901&lt;&gt;$I902,$L901-$L902&gt;25),$I901/POW(10,$J901)*MAXIFS(Token!$B:$B,Token!$A:$A,$K901)&gt;0.01),$L901/86400+DATE(1970,1,1)+$G$6,)</f>
        <v/>
      </c>
      <c r="B901" s="27" t="str">
        <f t="shared" si="1"/>
        <v/>
      </c>
      <c r="C901" s="14" t="str">
        <f>IF($A901&lt;&gt;"",MINIFS(Merchant!$A:$A,Merchant!$B:$B,$G$2),)</f>
        <v/>
      </c>
      <c r="D901" s="14" t="str">
        <f t="shared" si="2"/>
        <v/>
      </c>
      <c r="E901" s="14" t="str">
        <f t="shared" si="3"/>
        <v/>
      </c>
      <c r="F901" s="7" t="str">
        <f>IF($A901&lt;&gt;"",MAXIFS(Token!$B:$B,Token!$A:$A,$D901),)</f>
        <v/>
      </c>
    </row>
    <row r="902">
      <c r="A902" s="39" t="str">
        <f>IF(AND($L902*1&gt;=$G$3,$L902*1&lt;=$G$4,$I902*$J902&gt;0,OR($I902&lt;&gt;$I903,$L902-$L903&gt;25),$I902/POW(10,$J902)*MAXIFS(Token!$B:$B,Token!$A:$A,$K902)&gt;0.01),$L902/86400+DATE(1970,1,1)+$G$6,)</f>
        <v/>
      </c>
      <c r="B902" s="27" t="str">
        <f t="shared" si="1"/>
        <v/>
      </c>
      <c r="C902" s="14" t="str">
        <f>IF($A902&lt;&gt;"",MINIFS(Merchant!$A:$A,Merchant!$B:$B,$G$2),)</f>
        <v/>
      </c>
      <c r="D902" s="14" t="str">
        <f t="shared" si="2"/>
        <v/>
      </c>
      <c r="E902" s="14" t="str">
        <f t="shared" si="3"/>
        <v/>
      </c>
      <c r="F902" s="7" t="str">
        <f>IF($A902&lt;&gt;"",MAXIFS(Token!$B:$B,Token!$A:$A,$D902),)</f>
        <v/>
      </c>
    </row>
    <row r="903">
      <c r="A903" s="39" t="str">
        <f>IF(AND($L903*1&gt;=$G$3,$L903*1&lt;=$G$4,$I903*$J903&gt;0,OR($I903&lt;&gt;$I904,$L903-$L904&gt;25),$I903/POW(10,$J903)*MAXIFS(Token!$B:$B,Token!$A:$A,$K903)&gt;0.01),$L903/86400+DATE(1970,1,1)+$G$6,)</f>
        <v/>
      </c>
      <c r="B903" s="27" t="str">
        <f t="shared" si="1"/>
        <v/>
      </c>
      <c r="C903" s="14" t="str">
        <f>IF($A903&lt;&gt;"",MINIFS(Merchant!$A:$A,Merchant!$B:$B,$G$2),)</f>
        <v/>
      </c>
      <c r="D903" s="14" t="str">
        <f t="shared" si="2"/>
        <v/>
      </c>
      <c r="E903" s="14" t="str">
        <f t="shared" si="3"/>
        <v/>
      </c>
      <c r="F903" s="7" t="str">
        <f>IF($A903&lt;&gt;"",MAXIFS(Token!$B:$B,Token!$A:$A,$D903),)</f>
        <v/>
      </c>
    </row>
    <row r="904">
      <c r="A904" s="39" t="str">
        <f>IF(AND($L904*1&gt;=$G$3,$L904*1&lt;=$G$4,$I904*$J904&gt;0,OR($I904&lt;&gt;$I905,$L904-$L905&gt;25),$I904/POW(10,$J904)*MAXIFS(Token!$B:$B,Token!$A:$A,$K904)&gt;0.01),$L904/86400+DATE(1970,1,1)+$G$6,)</f>
        <v/>
      </c>
      <c r="B904" s="27" t="str">
        <f t="shared" si="1"/>
        <v/>
      </c>
      <c r="C904" s="14" t="str">
        <f>IF($A904&lt;&gt;"",MINIFS(Merchant!$A:$A,Merchant!$B:$B,$G$2),)</f>
        <v/>
      </c>
      <c r="D904" s="14" t="str">
        <f t="shared" si="2"/>
        <v/>
      </c>
      <c r="E904" s="14" t="str">
        <f t="shared" si="3"/>
        <v/>
      </c>
      <c r="F904" s="7" t="str">
        <f>IF($A904&lt;&gt;"",MAXIFS(Token!$B:$B,Token!$A:$A,$D904),)</f>
        <v/>
      </c>
    </row>
    <row r="905">
      <c r="A905" s="39" t="str">
        <f>IF(AND($L905*1&gt;=$G$3,$L905*1&lt;=$G$4,$I905*$J905&gt;0,OR($I905&lt;&gt;$I906,$L905-$L906&gt;25),$I905/POW(10,$J905)*MAXIFS(Token!$B:$B,Token!$A:$A,$K905)&gt;0.01),$L905/86400+DATE(1970,1,1)+$G$6,)</f>
        <v/>
      </c>
      <c r="B905" s="27" t="str">
        <f t="shared" si="1"/>
        <v/>
      </c>
      <c r="C905" s="14" t="str">
        <f>IF($A905&lt;&gt;"",MINIFS(Merchant!$A:$A,Merchant!$B:$B,$G$2),)</f>
        <v/>
      </c>
      <c r="D905" s="14" t="str">
        <f t="shared" si="2"/>
        <v/>
      </c>
      <c r="E905" s="14" t="str">
        <f t="shared" si="3"/>
        <v/>
      </c>
      <c r="F905" s="7" t="str">
        <f>IF($A905&lt;&gt;"",MAXIFS(Token!$B:$B,Token!$A:$A,$D905),)</f>
        <v/>
      </c>
    </row>
    <row r="906">
      <c r="A906" s="39" t="str">
        <f>IF(AND($L906*1&gt;=$G$3,$L906*1&lt;=$G$4,$I906*$J906&gt;0,OR($I906&lt;&gt;$I907,$L906-$L907&gt;25),$I906/POW(10,$J906)*MAXIFS(Token!$B:$B,Token!$A:$A,$K906)&gt;0.01),$L906/86400+DATE(1970,1,1)+$G$6,)</f>
        <v/>
      </c>
      <c r="B906" s="27" t="str">
        <f t="shared" si="1"/>
        <v/>
      </c>
      <c r="C906" s="14" t="str">
        <f>IF($A906&lt;&gt;"",MINIFS(Merchant!$A:$A,Merchant!$B:$B,$G$2),)</f>
        <v/>
      </c>
      <c r="D906" s="14" t="str">
        <f t="shared" si="2"/>
        <v/>
      </c>
      <c r="E906" s="14" t="str">
        <f t="shared" si="3"/>
        <v/>
      </c>
      <c r="F906" s="7" t="str">
        <f>IF($A906&lt;&gt;"",MAXIFS(Token!$B:$B,Token!$A:$A,$D906),)</f>
        <v/>
      </c>
    </row>
    <row r="907">
      <c r="A907" s="39" t="str">
        <f>IF(AND($L907*1&gt;=$G$3,$L907*1&lt;=$G$4,$I907*$J907&gt;0,OR($I907&lt;&gt;$I908,$L907-$L908&gt;25),$I907/POW(10,$J907)*MAXIFS(Token!$B:$B,Token!$A:$A,$K907)&gt;0.01),$L907/86400+DATE(1970,1,1)+$G$6,)</f>
        <v/>
      </c>
      <c r="B907" s="27" t="str">
        <f t="shared" si="1"/>
        <v/>
      </c>
      <c r="C907" s="14" t="str">
        <f>IF($A907&lt;&gt;"",MINIFS(Merchant!$A:$A,Merchant!$B:$B,$G$2),)</f>
        <v/>
      </c>
      <c r="D907" s="14" t="str">
        <f t="shared" si="2"/>
        <v/>
      </c>
      <c r="E907" s="14" t="str">
        <f t="shared" si="3"/>
        <v/>
      </c>
      <c r="F907" s="7" t="str">
        <f>IF($A907&lt;&gt;"",MAXIFS(Token!$B:$B,Token!$A:$A,$D907),)</f>
        <v/>
      </c>
    </row>
    <row r="908">
      <c r="A908" s="39" t="str">
        <f>IF(AND($L908*1&gt;=$G$3,$L908*1&lt;=$G$4,$I908*$J908&gt;0,OR($I908&lt;&gt;$I909,$L908-$L909&gt;25),$I908/POW(10,$J908)*MAXIFS(Token!$B:$B,Token!$A:$A,$K908)&gt;0.01),$L908/86400+DATE(1970,1,1)+$G$6,)</f>
        <v/>
      </c>
      <c r="B908" s="27" t="str">
        <f t="shared" si="1"/>
        <v/>
      </c>
      <c r="C908" s="14" t="str">
        <f>IF($A908&lt;&gt;"",MINIFS(Merchant!$A:$A,Merchant!$B:$B,$G$2),)</f>
        <v/>
      </c>
      <c r="D908" s="14" t="str">
        <f t="shared" si="2"/>
        <v/>
      </c>
      <c r="E908" s="14" t="str">
        <f t="shared" si="3"/>
        <v/>
      </c>
      <c r="F908" s="7" t="str">
        <f>IF($A908&lt;&gt;"",MAXIFS(Token!$B:$B,Token!$A:$A,$D908),)</f>
        <v/>
      </c>
    </row>
    <row r="909">
      <c r="A909" s="39" t="str">
        <f>IF(AND($L909*1&gt;=$G$3,$L909*1&lt;=$G$4,$I909*$J909&gt;0,OR($I909&lt;&gt;$I910,$L909-$L910&gt;25),$I909/POW(10,$J909)*MAXIFS(Token!$B:$B,Token!$A:$A,$K909)&gt;0.01),$L909/86400+DATE(1970,1,1)+$G$6,)</f>
        <v/>
      </c>
      <c r="B909" s="27" t="str">
        <f t="shared" si="1"/>
        <v/>
      </c>
      <c r="C909" s="14" t="str">
        <f>IF($A909&lt;&gt;"",MINIFS(Merchant!$A:$A,Merchant!$B:$B,$G$2),)</f>
        <v/>
      </c>
      <c r="D909" s="14" t="str">
        <f t="shared" si="2"/>
        <v/>
      </c>
      <c r="E909" s="14" t="str">
        <f t="shared" si="3"/>
        <v/>
      </c>
      <c r="F909" s="7" t="str">
        <f>IF($A909&lt;&gt;"",MAXIFS(Token!$B:$B,Token!$A:$A,$D909),)</f>
        <v/>
      </c>
    </row>
    <row r="910">
      <c r="A910" s="39" t="str">
        <f>IF(AND($L910*1&gt;=$G$3,$L910*1&lt;=$G$4,$I910*$J910&gt;0,OR($I910&lt;&gt;$I911,$L910-$L911&gt;25),$I910/POW(10,$J910)*MAXIFS(Token!$B:$B,Token!$A:$A,$K910)&gt;0.01),$L910/86400+DATE(1970,1,1)+$G$6,)</f>
        <v/>
      </c>
      <c r="B910" s="27" t="str">
        <f t="shared" si="1"/>
        <v/>
      </c>
      <c r="C910" s="14" t="str">
        <f>IF($A910&lt;&gt;"",MINIFS(Merchant!$A:$A,Merchant!$B:$B,$G$2),)</f>
        <v/>
      </c>
      <c r="D910" s="14" t="str">
        <f t="shared" si="2"/>
        <v/>
      </c>
      <c r="E910" s="14" t="str">
        <f t="shared" si="3"/>
        <v/>
      </c>
      <c r="F910" s="7" t="str">
        <f>IF($A910&lt;&gt;"",MAXIFS(Token!$B:$B,Token!$A:$A,$D910),)</f>
        <v/>
      </c>
    </row>
    <row r="911">
      <c r="A911" s="39" t="str">
        <f>IF(AND($L911*1&gt;=$G$3,$L911*1&lt;=$G$4,$I911*$J911&gt;0,OR($I911&lt;&gt;$I912,$L911-$L912&gt;25),$I911/POW(10,$J911)*MAXIFS(Token!$B:$B,Token!$A:$A,$K911)&gt;0.01),$L911/86400+DATE(1970,1,1)+$G$6,)</f>
        <v/>
      </c>
      <c r="B911" s="27" t="str">
        <f t="shared" si="1"/>
        <v/>
      </c>
      <c r="C911" s="14" t="str">
        <f>IF($A911&lt;&gt;"",MINIFS(Merchant!$A:$A,Merchant!$B:$B,$G$2),)</f>
        <v/>
      </c>
      <c r="D911" s="14" t="str">
        <f t="shared" si="2"/>
        <v/>
      </c>
      <c r="E911" s="14" t="str">
        <f t="shared" si="3"/>
        <v/>
      </c>
      <c r="F911" s="7" t="str">
        <f>IF($A911&lt;&gt;"",MAXIFS(Token!$B:$B,Token!$A:$A,$D911),)</f>
        <v/>
      </c>
    </row>
    <row r="912">
      <c r="A912" s="39" t="str">
        <f>IF(AND($L912*1&gt;=$G$3,$L912*1&lt;=$G$4,$I912*$J912&gt;0,OR($I912&lt;&gt;$I913,$L912-$L913&gt;25),$I912/POW(10,$J912)*MAXIFS(Token!$B:$B,Token!$A:$A,$K912)&gt;0.01),$L912/86400+DATE(1970,1,1)+$G$6,)</f>
        <v/>
      </c>
      <c r="B912" s="27" t="str">
        <f t="shared" si="1"/>
        <v/>
      </c>
      <c r="C912" s="14" t="str">
        <f>IF($A912&lt;&gt;"",MINIFS(Merchant!$A:$A,Merchant!$B:$B,$G$2),)</f>
        <v/>
      </c>
      <c r="D912" s="14" t="str">
        <f t="shared" si="2"/>
        <v/>
      </c>
      <c r="E912" s="14" t="str">
        <f t="shared" si="3"/>
        <v/>
      </c>
      <c r="F912" s="7" t="str">
        <f>IF($A912&lt;&gt;"",MAXIFS(Token!$B:$B,Token!$A:$A,$D912),)</f>
        <v/>
      </c>
    </row>
    <row r="913">
      <c r="A913" s="39" t="str">
        <f>IF(AND($L913*1&gt;=$G$3,$L913*1&lt;=$G$4,$I913*$J913&gt;0,OR($I913&lt;&gt;$I914,$L913-$L914&gt;25),$I913/POW(10,$J913)*MAXIFS(Token!$B:$B,Token!$A:$A,$K913)&gt;0.01),$L913/86400+DATE(1970,1,1)+$G$6,)</f>
        <v/>
      </c>
      <c r="B913" s="27" t="str">
        <f t="shared" si="1"/>
        <v/>
      </c>
      <c r="C913" s="14" t="str">
        <f>IF($A913&lt;&gt;"",MINIFS(Merchant!$A:$A,Merchant!$B:$B,$G$2),)</f>
        <v/>
      </c>
      <c r="D913" s="14" t="str">
        <f t="shared" si="2"/>
        <v/>
      </c>
      <c r="E913" s="14" t="str">
        <f t="shared" si="3"/>
        <v/>
      </c>
      <c r="F913" s="7" t="str">
        <f>IF($A913&lt;&gt;"",MAXIFS(Token!$B:$B,Token!$A:$A,$D913),)</f>
        <v/>
      </c>
    </row>
    <row r="914">
      <c r="A914" s="39" t="str">
        <f>IF(AND($L914*1&gt;=$G$3,$L914*1&lt;=$G$4,$I914*$J914&gt;0,OR($I914&lt;&gt;$I915,$L914-$L915&gt;25),$I914/POW(10,$J914)*MAXIFS(Token!$B:$B,Token!$A:$A,$K914)&gt;0.01),$L914/86400+DATE(1970,1,1)+$G$6,)</f>
        <v/>
      </c>
      <c r="B914" s="27" t="str">
        <f t="shared" si="1"/>
        <v/>
      </c>
      <c r="C914" s="14" t="str">
        <f>IF($A914&lt;&gt;"",MINIFS(Merchant!$A:$A,Merchant!$B:$B,$G$2),)</f>
        <v/>
      </c>
      <c r="D914" s="14" t="str">
        <f t="shared" si="2"/>
        <v/>
      </c>
      <c r="E914" s="14" t="str">
        <f t="shared" si="3"/>
        <v/>
      </c>
      <c r="F914" s="7" t="str">
        <f>IF($A914&lt;&gt;"",MAXIFS(Token!$B:$B,Token!$A:$A,$D914),)</f>
        <v/>
      </c>
    </row>
    <row r="915">
      <c r="A915" s="39" t="str">
        <f>IF(AND($L915*1&gt;=$G$3,$L915*1&lt;=$G$4,$I915*$J915&gt;0,OR($I915&lt;&gt;$I916,$L915-$L916&gt;25),$I915/POW(10,$J915)*MAXIFS(Token!$B:$B,Token!$A:$A,$K915)&gt;0.01),$L915/86400+DATE(1970,1,1)+$G$6,)</f>
        <v/>
      </c>
      <c r="B915" s="27" t="str">
        <f t="shared" si="1"/>
        <v/>
      </c>
      <c r="C915" s="14" t="str">
        <f>IF($A915&lt;&gt;"",MINIFS(Merchant!$A:$A,Merchant!$B:$B,$G$2),)</f>
        <v/>
      </c>
      <c r="D915" s="14" t="str">
        <f t="shared" si="2"/>
        <v/>
      </c>
      <c r="E915" s="14" t="str">
        <f t="shared" si="3"/>
        <v/>
      </c>
      <c r="F915" s="7" t="str">
        <f>IF($A915&lt;&gt;"",MAXIFS(Token!$B:$B,Token!$A:$A,$D915),)</f>
        <v/>
      </c>
    </row>
    <row r="916">
      <c r="A916" s="39" t="str">
        <f>IF(AND($L916*1&gt;=$G$3,$L916*1&lt;=$G$4,$I916*$J916&gt;0,OR($I916&lt;&gt;$I917,$L916-$L917&gt;25),$I916/POW(10,$J916)*MAXIFS(Token!$B:$B,Token!$A:$A,$K916)&gt;0.01),$L916/86400+DATE(1970,1,1)+$G$6,)</f>
        <v/>
      </c>
      <c r="B916" s="27" t="str">
        <f t="shared" si="1"/>
        <v/>
      </c>
      <c r="C916" s="14" t="str">
        <f>IF($A916&lt;&gt;"",MINIFS(Merchant!$A:$A,Merchant!$B:$B,$G$2),)</f>
        <v/>
      </c>
      <c r="D916" s="14" t="str">
        <f t="shared" si="2"/>
        <v/>
      </c>
      <c r="E916" s="14" t="str">
        <f t="shared" si="3"/>
        <v/>
      </c>
      <c r="F916" s="7" t="str">
        <f>IF($A916&lt;&gt;"",MAXIFS(Token!$B:$B,Token!$A:$A,$D916),)</f>
        <v/>
      </c>
    </row>
    <row r="917">
      <c r="A917" s="39" t="str">
        <f>IF(AND($L917*1&gt;=$G$3,$L917*1&lt;=$G$4,$I917*$J917&gt;0,OR($I917&lt;&gt;$I918,$L917-$L918&gt;25),$I917/POW(10,$J917)*MAXIFS(Token!$B:$B,Token!$A:$A,$K917)&gt;0.01),$L917/86400+DATE(1970,1,1)+$G$6,)</f>
        <v/>
      </c>
      <c r="B917" s="27" t="str">
        <f t="shared" si="1"/>
        <v/>
      </c>
      <c r="C917" s="14" t="str">
        <f>IF($A917&lt;&gt;"",MINIFS(Merchant!$A:$A,Merchant!$B:$B,$G$2),)</f>
        <v/>
      </c>
      <c r="D917" s="14" t="str">
        <f t="shared" si="2"/>
        <v/>
      </c>
      <c r="E917" s="14" t="str">
        <f t="shared" si="3"/>
        <v/>
      </c>
      <c r="F917" s="7" t="str">
        <f>IF($A917&lt;&gt;"",MAXIFS(Token!$B:$B,Token!$A:$A,$D917),)</f>
        <v/>
      </c>
    </row>
    <row r="918">
      <c r="A918" s="39" t="str">
        <f>IF(AND($L918*1&gt;=$G$3,$L918*1&lt;=$G$4,$I918*$J918&gt;0,OR($I918&lt;&gt;$I919,$L918-$L919&gt;25),$I918/POW(10,$J918)*MAXIFS(Token!$B:$B,Token!$A:$A,$K918)&gt;0.01),$L918/86400+DATE(1970,1,1)+$G$6,)</f>
        <v/>
      </c>
      <c r="B918" s="27" t="str">
        <f t="shared" si="1"/>
        <v/>
      </c>
      <c r="C918" s="14" t="str">
        <f>IF($A918&lt;&gt;"",MINIFS(Merchant!$A:$A,Merchant!$B:$B,$G$2),)</f>
        <v/>
      </c>
      <c r="D918" s="14" t="str">
        <f t="shared" si="2"/>
        <v/>
      </c>
      <c r="E918" s="14" t="str">
        <f t="shared" si="3"/>
        <v/>
      </c>
      <c r="F918" s="7" t="str">
        <f>IF($A918&lt;&gt;"",MAXIFS(Token!$B:$B,Token!$A:$A,$D918),)</f>
        <v/>
      </c>
    </row>
    <row r="919">
      <c r="A919" s="39" t="str">
        <f>IF(AND($L919*1&gt;=$G$3,$L919*1&lt;=$G$4,$I919*$J919&gt;0,OR($I919&lt;&gt;$I920,$L919-$L920&gt;25),$I919/POW(10,$J919)*MAXIFS(Token!$B:$B,Token!$A:$A,$K919)&gt;0.01),$L919/86400+DATE(1970,1,1)+$G$6,)</f>
        <v/>
      </c>
      <c r="B919" s="27" t="str">
        <f t="shared" si="1"/>
        <v/>
      </c>
      <c r="C919" s="14" t="str">
        <f>IF($A919&lt;&gt;"",MINIFS(Merchant!$A:$A,Merchant!$B:$B,$G$2),)</f>
        <v/>
      </c>
      <c r="D919" s="14" t="str">
        <f t="shared" si="2"/>
        <v/>
      </c>
      <c r="E919" s="14" t="str">
        <f t="shared" si="3"/>
        <v/>
      </c>
      <c r="F919" s="7" t="str">
        <f>IF($A919&lt;&gt;"",MAXIFS(Token!$B:$B,Token!$A:$A,$D919),)</f>
        <v/>
      </c>
    </row>
    <row r="920">
      <c r="A920" s="39" t="str">
        <f>IF(AND($L920*1&gt;=$G$3,$L920*1&lt;=$G$4,$I920*$J920&gt;0,OR($I920&lt;&gt;$I921,$L920-$L921&gt;25),$I920/POW(10,$J920)*MAXIFS(Token!$B:$B,Token!$A:$A,$K920)&gt;0.01),$L920/86400+DATE(1970,1,1)+$G$6,)</f>
        <v/>
      </c>
      <c r="B920" s="27" t="str">
        <f t="shared" si="1"/>
        <v/>
      </c>
      <c r="C920" s="14" t="str">
        <f>IF($A920&lt;&gt;"",MINIFS(Merchant!$A:$A,Merchant!$B:$B,$G$2),)</f>
        <v/>
      </c>
      <c r="D920" s="14" t="str">
        <f t="shared" si="2"/>
        <v/>
      </c>
      <c r="E920" s="14" t="str">
        <f t="shared" si="3"/>
        <v/>
      </c>
      <c r="F920" s="7" t="str">
        <f>IF($A920&lt;&gt;"",MAXIFS(Token!$B:$B,Token!$A:$A,$D920),)</f>
        <v/>
      </c>
    </row>
    <row r="921">
      <c r="A921" s="39" t="str">
        <f>IF(AND($L921*1&gt;=$G$3,$L921*1&lt;=$G$4,$I921*$J921&gt;0,OR($I921&lt;&gt;$I922,$L921-$L922&gt;25),$I921/POW(10,$J921)*MAXIFS(Token!$B:$B,Token!$A:$A,$K921)&gt;0.01),$L921/86400+DATE(1970,1,1)+$G$6,)</f>
        <v/>
      </c>
      <c r="B921" s="27" t="str">
        <f t="shared" si="1"/>
        <v/>
      </c>
      <c r="C921" s="14" t="str">
        <f>IF($A921&lt;&gt;"",MINIFS(Merchant!$A:$A,Merchant!$B:$B,$G$2),)</f>
        <v/>
      </c>
      <c r="D921" s="14" t="str">
        <f t="shared" si="2"/>
        <v/>
      </c>
      <c r="E921" s="14" t="str">
        <f t="shared" si="3"/>
        <v/>
      </c>
      <c r="F921" s="7" t="str">
        <f>IF($A921&lt;&gt;"",MAXIFS(Token!$B:$B,Token!$A:$A,$D921),)</f>
        <v/>
      </c>
    </row>
    <row r="922">
      <c r="A922" s="39" t="str">
        <f>IF(AND($L922*1&gt;=$G$3,$L922*1&lt;=$G$4,$I922*$J922&gt;0,OR($I922&lt;&gt;$I923,$L922-$L923&gt;25),$I922/POW(10,$J922)*MAXIFS(Token!$B:$B,Token!$A:$A,$K922)&gt;0.01),$L922/86400+DATE(1970,1,1)+$G$6,)</f>
        <v/>
      </c>
      <c r="B922" s="27" t="str">
        <f t="shared" si="1"/>
        <v/>
      </c>
      <c r="C922" s="14" t="str">
        <f>IF($A922&lt;&gt;"",MINIFS(Merchant!$A:$A,Merchant!$B:$B,$G$2),)</f>
        <v/>
      </c>
      <c r="D922" s="14" t="str">
        <f t="shared" si="2"/>
        <v/>
      </c>
      <c r="E922" s="14" t="str">
        <f t="shared" si="3"/>
        <v/>
      </c>
      <c r="F922" s="7" t="str">
        <f>IF($A922&lt;&gt;"",MAXIFS(Token!$B:$B,Token!$A:$A,$D922),)</f>
        <v/>
      </c>
    </row>
    <row r="923">
      <c r="A923" s="39" t="str">
        <f>IF(AND($L923*1&gt;=$G$3,$L923*1&lt;=$G$4,$I923*$J923&gt;0,OR($I923&lt;&gt;$I924,$L923-$L924&gt;25),$I923/POW(10,$J923)*MAXIFS(Token!$B:$B,Token!$A:$A,$K923)&gt;0.01),$L923/86400+DATE(1970,1,1)+$G$6,)</f>
        <v/>
      </c>
      <c r="B923" s="27" t="str">
        <f t="shared" si="1"/>
        <v/>
      </c>
      <c r="C923" s="14" t="str">
        <f>IF($A923&lt;&gt;"",MINIFS(Merchant!$A:$A,Merchant!$B:$B,$G$2),)</f>
        <v/>
      </c>
      <c r="D923" s="14" t="str">
        <f t="shared" si="2"/>
        <v/>
      </c>
      <c r="E923" s="14" t="str">
        <f t="shared" si="3"/>
        <v/>
      </c>
      <c r="F923" s="7" t="str">
        <f>IF($A923&lt;&gt;"",MAXIFS(Token!$B:$B,Token!$A:$A,$D923),)</f>
        <v/>
      </c>
    </row>
    <row r="924">
      <c r="A924" s="39" t="str">
        <f>IF(AND($L924*1&gt;=$G$3,$L924*1&lt;=$G$4,$I924*$J924&gt;0,OR($I924&lt;&gt;$I925,$L924-$L925&gt;25),$I924/POW(10,$J924)*MAXIFS(Token!$B:$B,Token!$A:$A,$K924)&gt;0.01),$L924/86400+DATE(1970,1,1)+$G$6,)</f>
        <v/>
      </c>
      <c r="B924" s="27" t="str">
        <f t="shared" si="1"/>
        <v/>
      </c>
      <c r="C924" s="14" t="str">
        <f>IF($A924&lt;&gt;"",MINIFS(Merchant!$A:$A,Merchant!$B:$B,$G$2),)</f>
        <v/>
      </c>
      <c r="D924" s="14" t="str">
        <f t="shared" si="2"/>
        <v/>
      </c>
      <c r="E924" s="14" t="str">
        <f t="shared" si="3"/>
        <v/>
      </c>
      <c r="F924" s="7" t="str">
        <f>IF($A924&lt;&gt;"",MAXIFS(Token!$B:$B,Token!$A:$A,$D924),)</f>
        <v/>
      </c>
    </row>
    <row r="925">
      <c r="A925" s="39" t="str">
        <f>IF(AND($L925*1&gt;=$G$3,$L925*1&lt;=$G$4,$I925*$J925&gt;0,OR($I925&lt;&gt;$I926,$L925-$L926&gt;25),$I925/POW(10,$J925)*MAXIFS(Token!$B:$B,Token!$A:$A,$K925)&gt;0.01),$L925/86400+DATE(1970,1,1)+$G$6,)</f>
        <v/>
      </c>
      <c r="B925" s="27" t="str">
        <f t="shared" si="1"/>
        <v/>
      </c>
      <c r="C925" s="14" t="str">
        <f>IF($A925&lt;&gt;"",MINIFS(Merchant!$A:$A,Merchant!$B:$B,$G$2),)</f>
        <v/>
      </c>
      <c r="D925" s="14" t="str">
        <f t="shared" si="2"/>
        <v/>
      </c>
      <c r="E925" s="14" t="str">
        <f t="shared" si="3"/>
        <v/>
      </c>
      <c r="F925" s="7" t="str">
        <f>IF($A925&lt;&gt;"",MAXIFS(Token!$B:$B,Token!$A:$A,$D925),)</f>
        <v/>
      </c>
    </row>
    <row r="926">
      <c r="A926" s="39" t="str">
        <f>IF(AND($L926*1&gt;=$G$3,$L926*1&lt;=$G$4,$I926*$J926&gt;0,OR($I926&lt;&gt;$I927,$L926-$L927&gt;25),$I926/POW(10,$J926)*MAXIFS(Token!$B:$B,Token!$A:$A,$K926)&gt;0.01),$L926/86400+DATE(1970,1,1)+$G$6,)</f>
        <v/>
      </c>
      <c r="B926" s="27" t="str">
        <f t="shared" si="1"/>
        <v/>
      </c>
      <c r="C926" s="14" t="str">
        <f>IF($A926&lt;&gt;"",MINIFS(Merchant!$A:$A,Merchant!$B:$B,$G$2),)</f>
        <v/>
      </c>
      <c r="D926" s="14" t="str">
        <f t="shared" si="2"/>
        <v/>
      </c>
      <c r="E926" s="14" t="str">
        <f t="shared" si="3"/>
        <v/>
      </c>
      <c r="F926" s="7" t="str">
        <f>IF($A926&lt;&gt;"",MAXIFS(Token!$B:$B,Token!$A:$A,$D926),)</f>
        <v/>
      </c>
    </row>
    <row r="927">
      <c r="A927" s="39" t="str">
        <f>IF(AND($L927*1&gt;=$G$3,$L927*1&lt;=$G$4,$I927*$J927&gt;0,OR($I927&lt;&gt;$I928,$L927-$L928&gt;25),$I927/POW(10,$J927)*MAXIFS(Token!$B:$B,Token!$A:$A,$K927)&gt;0.01),$L927/86400+DATE(1970,1,1)+$G$6,)</f>
        <v/>
      </c>
      <c r="B927" s="27" t="str">
        <f t="shared" si="1"/>
        <v/>
      </c>
      <c r="C927" s="14" t="str">
        <f>IF($A927&lt;&gt;"",MINIFS(Merchant!$A:$A,Merchant!$B:$B,$G$2),)</f>
        <v/>
      </c>
      <c r="D927" s="14" t="str">
        <f t="shared" si="2"/>
        <v/>
      </c>
      <c r="E927" s="14" t="str">
        <f t="shared" si="3"/>
        <v/>
      </c>
      <c r="F927" s="7" t="str">
        <f>IF($A927&lt;&gt;"",MAXIFS(Token!$B:$B,Token!$A:$A,$D927),)</f>
        <v/>
      </c>
    </row>
    <row r="928">
      <c r="A928" s="39" t="str">
        <f>IF(AND($L928*1&gt;=$G$3,$L928*1&lt;=$G$4,$I928*$J928&gt;0,OR($I928&lt;&gt;$I929,$L928-$L929&gt;25),$I928/POW(10,$J928)*MAXIFS(Token!$B:$B,Token!$A:$A,$K928)&gt;0.01),$L928/86400+DATE(1970,1,1)+$G$6,)</f>
        <v/>
      </c>
      <c r="B928" s="27" t="str">
        <f t="shared" si="1"/>
        <v/>
      </c>
      <c r="C928" s="14" t="str">
        <f>IF($A928&lt;&gt;"",MINIFS(Merchant!$A:$A,Merchant!$B:$B,$G$2),)</f>
        <v/>
      </c>
      <c r="D928" s="14" t="str">
        <f t="shared" si="2"/>
        <v/>
      </c>
      <c r="E928" s="14" t="str">
        <f t="shared" si="3"/>
        <v/>
      </c>
      <c r="F928" s="7" t="str">
        <f>IF($A928&lt;&gt;"",MAXIFS(Token!$B:$B,Token!$A:$A,$D928),)</f>
        <v/>
      </c>
    </row>
    <row r="929">
      <c r="A929" s="39" t="str">
        <f>IF(AND($L929*1&gt;=$G$3,$L929*1&lt;=$G$4,$I929*$J929&gt;0,OR($I929&lt;&gt;$I930,$L929-$L930&gt;25),$I929/POW(10,$J929)*MAXIFS(Token!$B:$B,Token!$A:$A,$K929)&gt;0.01),$L929/86400+DATE(1970,1,1)+$G$6,)</f>
        <v/>
      </c>
      <c r="B929" s="27" t="str">
        <f t="shared" si="1"/>
        <v/>
      </c>
      <c r="C929" s="14" t="str">
        <f>IF($A929&lt;&gt;"",MINIFS(Merchant!$A:$A,Merchant!$B:$B,$G$2),)</f>
        <v/>
      </c>
      <c r="D929" s="14" t="str">
        <f t="shared" si="2"/>
        <v/>
      </c>
      <c r="E929" s="14" t="str">
        <f t="shared" si="3"/>
        <v/>
      </c>
      <c r="F929" s="7" t="str">
        <f>IF($A929&lt;&gt;"",MAXIFS(Token!$B:$B,Token!$A:$A,$D929),)</f>
        <v/>
      </c>
    </row>
    <row r="930">
      <c r="A930" s="39" t="str">
        <f>IF(AND($L930*1&gt;=$G$3,$L930*1&lt;=$G$4,$I930*$J930&gt;0,OR($I930&lt;&gt;$I931,$L930-$L931&gt;25),$I930/POW(10,$J930)*MAXIFS(Token!$B:$B,Token!$A:$A,$K930)&gt;0.01),$L930/86400+DATE(1970,1,1)+$G$6,)</f>
        <v/>
      </c>
      <c r="B930" s="27" t="str">
        <f t="shared" si="1"/>
        <v/>
      </c>
      <c r="C930" s="14" t="str">
        <f>IF($A930&lt;&gt;"",MINIFS(Merchant!$A:$A,Merchant!$B:$B,$G$2),)</f>
        <v/>
      </c>
      <c r="D930" s="14" t="str">
        <f t="shared" si="2"/>
        <v/>
      </c>
      <c r="E930" s="14" t="str">
        <f t="shared" si="3"/>
        <v/>
      </c>
      <c r="F930" s="7" t="str">
        <f>IF($A930&lt;&gt;"",MAXIFS(Token!$B:$B,Token!$A:$A,$D930),)</f>
        <v/>
      </c>
    </row>
    <row r="931">
      <c r="A931" s="39" t="str">
        <f>IF(AND($L931*1&gt;=$G$3,$L931*1&lt;=$G$4,$I931*$J931&gt;0,OR($I931&lt;&gt;$I932,$L931-$L932&gt;25),$I931/POW(10,$J931)*MAXIFS(Token!$B:$B,Token!$A:$A,$K931)&gt;0.01),$L931/86400+DATE(1970,1,1)+$G$6,)</f>
        <v/>
      </c>
      <c r="B931" s="27" t="str">
        <f t="shared" si="1"/>
        <v/>
      </c>
      <c r="C931" s="14" t="str">
        <f>IF($A931&lt;&gt;"",MINIFS(Merchant!$A:$A,Merchant!$B:$B,$G$2),)</f>
        <v/>
      </c>
      <c r="D931" s="14" t="str">
        <f t="shared" si="2"/>
        <v/>
      </c>
      <c r="E931" s="14" t="str">
        <f t="shared" si="3"/>
        <v/>
      </c>
      <c r="F931" s="7" t="str">
        <f>IF($A931&lt;&gt;"",MAXIFS(Token!$B:$B,Token!$A:$A,$D931),)</f>
        <v/>
      </c>
    </row>
    <row r="932">
      <c r="A932" s="39" t="str">
        <f>IF(AND($L932*1&gt;=$G$3,$L932*1&lt;=$G$4,$I932*$J932&gt;0,OR($I932&lt;&gt;$I933,$L932-$L933&gt;25),$I932/POW(10,$J932)*MAXIFS(Token!$B:$B,Token!$A:$A,$K932)&gt;0.01),$L932/86400+DATE(1970,1,1)+$G$6,)</f>
        <v/>
      </c>
      <c r="B932" s="27" t="str">
        <f t="shared" si="1"/>
        <v/>
      </c>
      <c r="C932" s="14" t="str">
        <f>IF($A932&lt;&gt;"",MINIFS(Merchant!$A:$A,Merchant!$B:$B,$G$2),)</f>
        <v/>
      </c>
      <c r="D932" s="14" t="str">
        <f t="shared" si="2"/>
        <v/>
      </c>
      <c r="E932" s="14" t="str">
        <f t="shared" si="3"/>
        <v/>
      </c>
      <c r="F932" s="7" t="str">
        <f>IF($A932&lt;&gt;"",MAXIFS(Token!$B:$B,Token!$A:$A,$D932),)</f>
        <v/>
      </c>
    </row>
    <row r="933">
      <c r="A933" s="39" t="str">
        <f>IF(AND($L933*1&gt;=$G$3,$L933*1&lt;=$G$4,$I933*$J933&gt;0,OR($I933&lt;&gt;$I934,$L933-$L934&gt;25),$I933/POW(10,$J933)*MAXIFS(Token!$B:$B,Token!$A:$A,$K933)&gt;0.01),$L933/86400+DATE(1970,1,1)+$G$6,)</f>
        <v/>
      </c>
      <c r="B933" s="27" t="str">
        <f t="shared" si="1"/>
        <v/>
      </c>
      <c r="C933" s="14" t="str">
        <f>IF($A933&lt;&gt;"",MINIFS(Merchant!$A:$A,Merchant!$B:$B,$G$2),)</f>
        <v/>
      </c>
      <c r="D933" s="14" t="str">
        <f t="shared" si="2"/>
        <v/>
      </c>
      <c r="E933" s="14" t="str">
        <f t="shared" si="3"/>
        <v/>
      </c>
      <c r="F933" s="7" t="str">
        <f>IF($A933&lt;&gt;"",MAXIFS(Token!$B:$B,Token!$A:$A,$D933),)</f>
        <v/>
      </c>
    </row>
    <row r="934">
      <c r="A934" s="39" t="str">
        <f>IF(AND($L934*1&gt;=$G$3,$L934*1&lt;=$G$4,$I934*$J934&gt;0,OR($I934&lt;&gt;$I935,$L934-$L935&gt;25),$I934/POW(10,$J934)*MAXIFS(Token!$B:$B,Token!$A:$A,$K934)&gt;0.01),$L934/86400+DATE(1970,1,1)+$G$6,)</f>
        <v/>
      </c>
      <c r="B934" s="27" t="str">
        <f t="shared" si="1"/>
        <v/>
      </c>
      <c r="C934" s="14" t="str">
        <f>IF($A934&lt;&gt;"",MINIFS(Merchant!$A:$A,Merchant!$B:$B,$G$2),)</f>
        <v/>
      </c>
      <c r="D934" s="14" t="str">
        <f t="shared" si="2"/>
        <v/>
      </c>
      <c r="E934" s="14" t="str">
        <f t="shared" si="3"/>
        <v/>
      </c>
      <c r="F934" s="7" t="str">
        <f>IF($A934&lt;&gt;"",MAXIFS(Token!$B:$B,Token!$A:$A,$D934),)</f>
        <v/>
      </c>
    </row>
    <row r="935">
      <c r="A935" s="39" t="str">
        <f>IF(AND($L935*1&gt;=$G$3,$L935*1&lt;=$G$4,$I935*$J935&gt;0,OR($I935&lt;&gt;$I936,$L935-$L936&gt;25),$I935/POW(10,$J935)*MAXIFS(Token!$B:$B,Token!$A:$A,$K935)&gt;0.01),$L935/86400+DATE(1970,1,1)+$G$6,)</f>
        <v/>
      </c>
      <c r="B935" s="27" t="str">
        <f t="shared" si="1"/>
        <v/>
      </c>
      <c r="C935" s="14" t="str">
        <f>IF($A935&lt;&gt;"",MINIFS(Merchant!$A:$A,Merchant!$B:$B,$G$2),)</f>
        <v/>
      </c>
      <c r="D935" s="14" t="str">
        <f t="shared" si="2"/>
        <v/>
      </c>
      <c r="E935" s="14" t="str">
        <f t="shared" si="3"/>
        <v/>
      </c>
      <c r="F935" s="7" t="str">
        <f>IF($A935&lt;&gt;"",MAXIFS(Token!$B:$B,Token!$A:$A,$D935),)</f>
        <v/>
      </c>
    </row>
    <row r="936">
      <c r="A936" s="39" t="str">
        <f>IF(AND($L936*1&gt;=$G$3,$L936*1&lt;=$G$4,$I936*$J936&gt;0,OR($I936&lt;&gt;$I937,$L936-$L937&gt;25),$I936/POW(10,$J936)*MAXIFS(Token!$B:$B,Token!$A:$A,$K936)&gt;0.01),$L936/86400+DATE(1970,1,1)+$G$6,)</f>
        <v/>
      </c>
      <c r="B936" s="27" t="str">
        <f t="shared" si="1"/>
        <v/>
      </c>
      <c r="C936" s="14" t="str">
        <f>IF($A936&lt;&gt;"",MINIFS(Merchant!$A:$A,Merchant!$B:$B,$G$2),)</f>
        <v/>
      </c>
      <c r="D936" s="14" t="str">
        <f t="shared" si="2"/>
        <v/>
      </c>
      <c r="E936" s="14" t="str">
        <f t="shared" si="3"/>
        <v/>
      </c>
      <c r="F936" s="7" t="str">
        <f>IF($A936&lt;&gt;"",MAXIFS(Token!$B:$B,Token!$A:$A,$D936),)</f>
        <v/>
      </c>
    </row>
    <row r="937">
      <c r="A937" s="39" t="str">
        <f>IF(AND($L937*1&gt;=$G$3,$L937*1&lt;=$G$4,$I937*$J937&gt;0,OR($I937&lt;&gt;$I938,$L937-$L938&gt;25),$I937/POW(10,$J937)*MAXIFS(Token!$B:$B,Token!$A:$A,$K937)&gt;0.01),$L937/86400+DATE(1970,1,1)+$G$6,)</f>
        <v/>
      </c>
      <c r="B937" s="27" t="str">
        <f t="shared" si="1"/>
        <v/>
      </c>
      <c r="C937" s="14" t="str">
        <f>IF($A937&lt;&gt;"",MINIFS(Merchant!$A:$A,Merchant!$B:$B,$G$2),)</f>
        <v/>
      </c>
      <c r="D937" s="14" t="str">
        <f t="shared" si="2"/>
        <v/>
      </c>
      <c r="E937" s="14" t="str">
        <f t="shared" si="3"/>
        <v/>
      </c>
      <c r="F937" s="7" t="str">
        <f>IF($A937&lt;&gt;"",MAXIFS(Token!$B:$B,Token!$A:$A,$D937),)</f>
        <v/>
      </c>
    </row>
    <row r="938">
      <c r="A938" s="39" t="str">
        <f>IF(AND($L938*1&gt;=$G$3,$L938*1&lt;=$G$4,$I938*$J938&gt;0,OR($I938&lt;&gt;$I939,$L938-$L939&gt;25),$I938/POW(10,$J938)*MAXIFS(Token!$B:$B,Token!$A:$A,$K938)&gt;0.01),$L938/86400+DATE(1970,1,1)+$G$6,)</f>
        <v/>
      </c>
      <c r="B938" s="27" t="str">
        <f t="shared" si="1"/>
        <v/>
      </c>
      <c r="C938" s="14" t="str">
        <f>IF($A938&lt;&gt;"",MINIFS(Merchant!$A:$A,Merchant!$B:$B,$G$2),)</f>
        <v/>
      </c>
      <c r="D938" s="14" t="str">
        <f t="shared" si="2"/>
        <v/>
      </c>
      <c r="E938" s="14" t="str">
        <f t="shared" si="3"/>
        <v/>
      </c>
      <c r="F938" s="7" t="str">
        <f>IF($A938&lt;&gt;"",MAXIFS(Token!$B:$B,Token!$A:$A,$D938),)</f>
        <v/>
      </c>
    </row>
    <row r="939">
      <c r="A939" s="39" t="str">
        <f>IF(AND($L939*1&gt;=$G$3,$L939*1&lt;=$G$4,$I939*$J939&gt;0,OR($I939&lt;&gt;$I940,$L939-$L940&gt;25),$I939/POW(10,$J939)*MAXIFS(Token!$B:$B,Token!$A:$A,$K939)&gt;0.01),$L939/86400+DATE(1970,1,1)+$G$6,)</f>
        <v/>
      </c>
      <c r="B939" s="27" t="str">
        <f t="shared" si="1"/>
        <v/>
      </c>
      <c r="C939" s="14" t="str">
        <f>IF($A939&lt;&gt;"",MINIFS(Merchant!$A:$A,Merchant!$B:$B,$G$2),)</f>
        <v/>
      </c>
      <c r="D939" s="14" t="str">
        <f t="shared" si="2"/>
        <v/>
      </c>
      <c r="E939" s="14" t="str">
        <f t="shared" si="3"/>
        <v/>
      </c>
      <c r="F939" s="7" t="str">
        <f>IF($A939&lt;&gt;"",MAXIFS(Token!$B:$B,Token!$A:$A,$D939),)</f>
        <v/>
      </c>
    </row>
    <row r="940">
      <c r="A940" s="39" t="str">
        <f>IF(AND($L940*1&gt;=$G$3,$L940*1&lt;=$G$4,$I940*$J940&gt;0,OR($I940&lt;&gt;$I941,$L940-$L941&gt;25),$I940/POW(10,$J940)*MAXIFS(Token!$B:$B,Token!$A:$A,$K940)&gt;0.01),$L940/86400+DATE(1970,1,1)+$G$6,)</f>
        <v/>
      </c>
      <c r="B940" s="27" t="str">
        <f t="shared" si="1"/>
        <v/>
      </c>
      <c r="C940" s="14" t="str">
        <f>IF($A940&lt;&gt;"",MINIFS(Merchant!$A:$A,Merchant!$B:$B,$G$2),)</f>
        <v/>
      </c>
      <c r="D940" s="14" t="str">
        <f t="shared" si="2"/>
        <v/>
      </c>
      <c r="E940" s="14" t="str">
        <f t="shared" si="3"/>
        <v/>
      </c>
      <c r="F940" s="7" t="str">
        <f>IF($A940&lt;&gt;"",MAXIFS(Token!$B:$B,Token!$A:$A,$D940),)</f>
        <v/>
      </c>
    </row>
    <row r="941">
      <c r="A941" s="39" t="str">
        <f>IF(AND($L941*1&gt;=$G$3,$L941*1&lt;=$G$4,$I941*$J941&gt;0,OR($I941&lt;&gt;$I942,$L941-$L942&gt;25),$I941/POW(10,$J941)*MAXIFS(Token!$B:$B,Token!$A:$A,$K941)&gt;0.01),$L941/86400+DATE(1970,1,1)+$G$6,)</f>
        <v/>
      </c>
      <c r="B941" s="27" t="str">
        <f t="shared" si="1"/>
        <v/>
      </c>
      <c r="C941" s="14" t="str">
        <f>IF($A941&lt;&gt;"",MINIFS(Merchant!$A:$A,Merchant!$B:$B,$G$2),)</f>
        <v/>
      </c>
      <c r="D941" s="14" t="str">
        <f t="shared" si="2"/>
        <v/>
      </c>
      <c r="E941" s="14" t="str">
        <f t="shared" si="3"/>
        <v/>
      </c>
      <c r="F941" s="7" t="str">
        <f>IF($A941&lt;&gt;"",MAXIFS(Token!$B:$B,Token!$A:$A,$D941),)</f>
        <v/>
      </c>
    </row>
    <row r="942">
      <c r="A942" s="39" t="str">
        <f>IF(AND($L942*1&gt;=$G$3,$L942*1&lt;=$G$4,$I942*$J942&gt;0,OR($I942&lt;&gt;$I943,$L942-$L943&gt;25),$I942/POW(10,$J942)*MAXIFS(Token!$B:$B,Token!$A:$A,$K942)&gt;0.01),$L942/86400+DATE(1970,1,1)+$G$6,)</f>
        <v/>
      </c>
      <c r="B942" s="27" t="str">
        <f t="shared" si="1"/>
        <v/>
      </c>
      <c r="C942" s="14" t="str">
        <f>IF($A942&lt;&gt;"",MINIFS(Merchant!$A:$A,Merchant!$B:$B,$G$2),)</f>
        <v/>
      </c>
      <c r="D942" s="14" t="str">
        <f t="shared" si="2"/>
        <v/>
      </c>
      <c r="E942" s="14" t="str">
        <f t="shared" si="3"/>
        <v/>
      </c>
      <c r="F942" s="7" t="str">
        <f>IF($A942&lt;&gt;"",MAXIFS(Token!$B:$B,Token!$A:$A,$D942),)</f>
        <v/>
      </c>
    </row>
    <row r="943">
      <c r="A943" s="39" t="str">
        <f>IF(AND($L943*1&gt;=$G$3,$L943*1&lt;=$G$4,$I943*$J943&gt;0,OR($I943&lt;&gt;$I944,$L943-$L944&gt;25),$I943/POW(10,$J943)*MAXIFS(Token!$B:$B,Token!$A:$A,$K943)&gt;0.01),$L943/86400+DATE(1970,1,1)+$G$6,)</f>
        <v/>
      </c>
      <c r="B943" s="27" t="str">
        <f t="shared" si="1"/>
        <v/>
      </c>
      <c r="C943" s="14" t="str">
        <f>IF($A943&lt;&gt;"",MINIFS(Merchant!$A:$A,Merchant!$B:$B,$G$2),)</f>
        <v/>
      </c>
      <c r="D943" s="14" t="str">
        <f t="shared" si="2"/>
        <v/>
      </c>
      <c r="E943" s="14" t="str">
        <f t="shared" si="3"/>
        <v/>
      </c>
      <c r="F943" s="7" t="str">
        <f>IF($A943&lt;&gt;"",MAXIFS(Token!$B:$B,Token!$A:$A,$D943),)</f>
        <v/>
      </c>
    </row>
    <row r="944">
      <c r="A944" s="39" t="str">
        <f>IF(AND($L944*1&gt;=$G$3,$L944*1&lt;=$G$4,$I944*$J944&gt;0,OR($I944&lt;&gt;$I945,$L944-$L945&gt;25),$I944/POW(10,$J944)*MAXIFS(Token!$B:$B,Token!$A:$A,$K944)&gt;0.01),$L944/86400+DATE(1970,1,1)+$G$6,)</f>
        <v/>
      </c>
      <c r="B944" s="27" t="str">
        <f t="shared" si="1"/>
        <v/>
      </c>
      <c r="C944" s="14" t="str">
        <f>IF($A944&lt;&gt;"",MINIFS(Merchant!$A:$A,Merchant!$B:$B,$G$2),)</f>
        <v/>
      </c>
      <c r="D944" s="14" t="str">
        <f t="shared" si="2"/>
        <v/>
      </c>
      <c r="E944" s="14" t="str">
        <f t="shared" si="3"/>
        <v/>
      </c>
      <c r="F944" s="7" t="str">
        <f>IF($A944&lt;&gt;"",MAXIFS(Token!$B:$B,Token!$A:$A,$D944),)</f>
        <v/>
      </c>
    </row>
    <row r="945">
      <c r="A945" s="39" t="str">
        <f>IF(AND($L945*1&gt;=$G$3,$L945*1&lt;=$G$4,$I945*$J945&gt;0,OR($I945&lt;&gt;$I946,$L945-$L946&gt;25),$I945/POW(10,$J945)*MAXIFS(Token!$B:$B,Token!$A:$A,$K945)&gt;0.01),$L945/86400+DATE(1970,1,1)+$G$6,)</f>
        <v/>
      </c>
      <c r="B945" s="27" t="str">
        <f t="shared" si="1"/>
        <v/>
      </c>
      <c r="C945" s="14" t="str">
        <f>IF($A945&lt;&gt;"",MINIFS(Merchant!$A:$A,Merchant!$B:$B,$G$2),)</f>
        <v/>
      </c>
      <c r="D945" s="14" t="str">
        <f t="shared" si="2"/>
        <v/>
      </c>
      <c r="E945" s="14" t="str">
        <f t="shared" si="3"/>
        <v/>
      </c>
      <c r="F945" s="7" t="str">
        <f>IF($A945&lt;&gt;"",MAXIFS(Token!$B:$B,Token!$A:$A,$D945),)</f>
        <v/>
      </c>
    </row>
    <row r="946">
      <c r="A946" s="39" t="str">
        <f>IF(AND($L946*1&gt;=$G$3,$L946*1&lt;=$G$4,$I946*$J946&gt;0,OR($I946&lt;&gt;$I947,$L946-$L947&gt;25),$I946/POW(10,$J946)*MAXIFS(Token!$B:$B,Token!$A:$A,$K946)&gt;0.01),$L946/86400+DATE(1970,1,1)+$G$6,)</f>
        <v/>
      </c>
      <c r="B946" s="27" t="str">
        <f t="shared" si="1"/>
        <v/>
      </c>
      <c r="C946" s="14" t="str">
        <f>IF($A946&lt;&gt;"",MINIFS(Merchant!$A:$A,Merchant!$B:$B,$G$2),)</f>
        <v/>
      </c>
      <c r="D946" s="14" t="str">
        <f t="shared" si="2"/>
        <v/>
      </c>
      <c r="E946" s="14" t="str">
        <f t="shared" si="3"/>
        <v/>
      </c>
      <c r="F946" s="7" t="str">
        <f>IF($A946&lt;&gt;"",MAXIFS(Token!$B:$B,Token!$A:$A,$D946),)</f>
        <v/>
      </c>
    </row>
    <row r="947">
      <c r="A947" s="39" t="str">
        <f>IF(AND($L947*1&gt;=$G$3,$L947*1&lt;=$G$4,$I947*$J947&gt;0,OR($I947&lt;&gt;$I948,$L947-$L948&gt;25),$I947/POW(10,$J947)*MAXIFS(Token!$B:$B,Token!$A:$A,$K947)&gt;0.01),$L947/86400+DATE(1970,1,1)+$G$6,)</f>
        <v/>
      </c>
      <c r="B947" s="27" t="str">
        <f t="shared" si="1"/>
        <v/>
      </c>
      <c r="C947" s="14" t="str">
        <f>IF($A947&lt;&gt;"",MINIFS(Merchant!$A:$A,Merchant!$B:$B,$G$2),)</f>
        <v/>
      </c>
      <c r="D947" s="14" t="str">
        <f t="shared" si="2"/>
        <v/>
      </c>
      <c r="E947" s="14" t="str">
        <f t="shared" si="3"/>
        <v/>
      </c>
      <c r="F947" s="7" t="str">
        <f>IF($A947&lt;&gt;"",MAXIFS(Token!$B:$B,Token!$A:$A,$D947),)</f>
        <v/>
      </c>
    </row>
    <row r="948">
      <c r="A948" s="39" t="str">
        <f>IF(AND($L948*1&gt;=$G$3,$L948*1&lt;=$G$4,$I948*$J948&gt;0,OR($I948&lt;&gt;$I949,$L948-$L949&gt;25),$I948/POW(10,$J948)*MAXIFS(Token!$B:$B,Token!$A:$A,$K948)&gt;0.01),$L948/86400+DATE(1970,1,1)+$G$6,)</f>
        <v/>
      </c>
      <c r="B948" s="27" t="str">
        <f t="shared" si="1"/>
        <v/>
      </c>
      <c r="C948" s="14" t="str">
        <f>IF($A948&lt;&gt;"",MINIFS(Merchant!$A:$A,Merchant!$B:$B,$G$2),)</f>
        <v/>
      </c>
      <c r="D948" s="14" t="str">
        <f t="shared" si="2"/>
        <v/>
      </c>
      <c r="E948" s="14" t="str">
        <f t="shared" si="3"/>
        <v/>
      </c>
      <c r="F948" s="7" t="str">
        <f>IF($A948&lt;&gt;"",MAXIFS(Token!$B:$B,Token!$A:$A,$D948),)</f>
        <v/>
      </c>
    </row>
    <row r="949">
      <c r="A949" s="39" t="str">
        <f>IF(AND($L949*1&gt;=$G$3,$L949*1&lt;=$G$4,$I949*$J949&gt;0,OR($I949&lt;&gt;$I950,$L949-$L950&gt;25),$I949/POW(10,$J949)*MAXIFS(Token!$B:$B,Token!$A:$A,$K949)&gt;0.01),$L949/86400+DATE(1970,1,1)+$G$6,)</f>
        <v/>
      </c>
      <c r="B949" s="27" t="str">
        <f t="shared" si="1"/>
        <v/>
      </c>
      <c r="C949" s="14" t="str">
        <f>IF($A949&lt;&gt;"",MINIFS(Merchant!$A:$A,Merchant!$B:$B,$G$2),)</f>
        <v/>
      </c>
      <c r="D949" s="14" t="str">
        <f t="shared" si="2"/>
        <v/>
      </c>
      <c r="E949" s="14" t="str">
        <f t="shared" si="3"/>
        <v/>
      </c>
      <c r="F949" s="7" t="str">
        <f>IF($A949&lt;&gt;"",MAXIFS(Token!$B:$B,Token!$A:$A,$D949),)</f>
        <v/>
      </c>
    </row>
    <row r="950">
      <c r="A950" s="39" t="str">
        <f>IF(AND($L950*1&gt;=$G$3,$L950*1&lt;=$G$4,$I950*$J950&gt;0,OR($I950&lt;&gt;$I951,$L950-$L951&gt;25),$I950/POW(10,$J950)*MAXIFS(Token!$B:$B,Token!$A:$A,$K950)&gt;0.01),$L950/86400+DATE(1970,1,1)+$G$6,)</f>
        <v/>
      </c>
      <c r="B950" s="27" t="str">
        <f t="shared" si="1"/>
        <v/>
      </c>
      <c r="C950" s="14" t="str">
        <f>IF($A950&lt;&gt;"",MINIFS(Merchant!$A:$A,Merchant!$B:$B,$G$2),)</f>
        <v/>
      </c>
      <c r="D950" s="14" t="str">
        <f t="shared" si="2"/>
        <v/>
      </c>
      <c r="E950" s="14" t="str">
        <f t="shared" si="3"/>
        <v/>
      </c>
      <c r="F950" s="7" t="str">
        <f>IF($A950&lt;&gt;"",MAXIFS(Token!$B:$B,Token!$A:$A,$D950),)</f>
        <v/>
      </c>
    </row>
    <row r="951">
      <c r="A951" s="39" t="str">
        <f>IF(AND($L951*1&gt;=$G$3,$L951*1&lt;=$G$4,$I951*$J951&gt;0,OR($I951&lt;&gt;$I952,$L951-$L952&gt;25),$I951/POW(10,$J951)*MAXIFS(Token!$B:$B,Token!$A:$A,$K951)&gt;0.01),$L951/86400+DATE(1970,1,1)+$G$6,)</f>
        <v/>
      </c>
      <c r="B951" s="27" t="str">
        <f t="shared" si="1"/>
        <v/>
      </c>
      <c r="C951" s="14" t="str">
        <f>IF($A951&lt;&gt;"",MINIFS(Merchant!$A:$A,Merchant!$B:$B,$G$2),)</f>
        <v/>
      </c>
      <c r="D951" s="14" t="str">
        <f t="shared" si="2"/>
        <v/>
      </c>
      <c r="E951" s="14" t="str">
        <f t="shared" si="3"/>
        <v/>
      </c>
      <c r="F951" s="7" t="str">
        <f>IF($A951&lt;&gt;"",MAXIFS(Token!$B:$B,Token!$A:$A,$D951),)</f>
        <v/>
      </c>
    </row>
    <row r="952">
      <c r="A952" s="39" t="str">
        <f>IF(AND($L952*1&gt;=$G$3,$L952*1&lt;=$G$4,$I952*$J952&gt;0,OR($I952&lt;&gt;$I953,$L952-$L953&gt;25),$I952/POW(10,$J952)*MAXIFS(Token!$B:$B,Token!$A:$A,$K952)&gt;0.01),$L952/86400+DATE(1970,1,1)+$G$6,)</f>
        <v/>
      </c>
      <c r="B952" s="27" t="str">
        <f t="shared" si="1"/>
        <v/>
      </c>
      <c r="C952" s="14" t="str">
        <f>IF($A952&lt;&gt;"",MINIFS(Merchant!$A:$A,Merchant!$B:$B,$G$2),)</f>
        <v/>
      </c>
      <c r="D952" s="14" t="str">
        <f t="shared" si="2"/>
        <v/>
      </c>
      <c r="E952" s="14" t="str">
        <f t="shared" si="3"/>
        <v/>
      </c>
      <c r="F952" s="7" t="str">
        <f>IF($A952&lt;&gt;"",MAXIFS(Token!$B:$B,Token!$A:$A,$D952),)</f>
        <v/>
      </c>
    </row>
    <row r="953">
      <c r="A953" s="39" t="str">
        <f>IF(AND($L953*1&gt;=$G$3,$L953*1&lt;=$G$4,$I953*$J953&gt;0,OR($I953&lt;&gt;$I954,$L953-$L954&gt;25),$I953/POW(10,$J953)*MAXIFS(Token!$B:$B,Token!$A:$A,$K953)&gt;0.01),$L953/86400+DATE(1970,1,1)+$G$6,)</f>
        <v/>
      </c>
      <c r="B953" s="27" t="str">
        <f t="shared" si="1"/>
        <v/>
      </c>
      <c r="C953" s="14" t="str">
        <f>IF($A953&lt;&gt;"",MINIFS(Merchant!$A:$A,Merchant!$B:$B,$G$2),)</f>
        <v/>
      </c>
      <c r="D953" s="14" t="str">
        <f t="shared" si="2"/>
        <v/>
      </c>
      <c r="E953" s="14" t="str">
        <f t="shared" si="3"/>
        <v/>
      </c>
      <c r="F953" s="7" t="str">
        <f>IF($A953&lt;&gt;"",MAXIFS(Token!$B:$B,Token!$A:$A,$D953),)</f>
        <v/>
      </c>
    </row>
    <row r="954">
      <c r="A954" s="39" t="str">
        <f>IF(AND($L954*1&gt;=$G$3,$L954*1&lt;=$G$4,$I954*$J954&gt;0,OR($I954&lt;&gt;$I955,$L954-$L955&gt;25),$I954/POW(10,$J954)*MAXIFS(Token!$B:$B,Token!$A:$A,$K954)&gt;0.01),$L954/86400+DATE(1970,1,1)+$G$6,)</f>
        <v/>
      </c>
      <c r="B954" s="27" t="str">
        <f t="shared" si="1"/>
        <v/>
      </c>
      <c r="C954" s="14" t="str">
        <f>IF($A954&lt;&gt;"",MINIFS(Merchant!$A:$A,Merchant!$B:$B,$G$2),)</f>
        <v/>
      </c>
      <c r="D954" s="14" t="str">
        <f t="shared" si="2"/>
        <v/>
      </c>
      <c r="E954" s="14" t="str">
        <f t="shared" si="3"/>
        <v/>
      </c>
      <c r="F954" s="7" t="str">
        <f>IF($A954&lt;&gt;"",MAXIFS(Token!$B:$B,Token!$A:$A,$D954),)</f>
        <v/>
      </c>
    </row>
    <row r="955">
      <c r="A955" s="39" t="str">
        <f>IF(AND($L955*1&gt;=$G$3,$L955*1&lt;=$G$4,$I955*$J955&gt;0,OR($I955&lt;&gt;$I956,$L955-$L956&gt;25),$I955/POW(10,$J955)*MAXIFS(Token!$B:$B,Token!$A:$A,$K955)&gt;0.01),$L955/86400+DATE(1970,1,1)+$G$6,)</f>
        <v/>
      </c>
      <c r="B955" s="27" t="str">
        <f t="shared" si="1"/>
        <v/>
      </c>
      <c r="C955" s="14" t="str">
        <f>IF($A955&lt;&gt;"",MINIFS(Merchant!$A:$A,Merchant!$B:$B,$G$2),)</f>
        <v/>
      </c>
      <c r="D955" s="14" t="str">
        <f t="shared" si="2"/>
        <v/>
      </c>
      <c r="E955" s="14" t="str">
        <f t="shared" si="3"/>
        <v/>
      </c>
      <c r="F955" s="7" t="str">
        <f>IF($A955&lt;&gt;"",MAXIFS(Token!$B:$B,Token!$A:$A,$D955),)</f>
        <v/>
      </c>
    </row>
    <row r="956">
      <c r="A956" s="39" t="str">
        <f>IF(AND($L956*1&gt;=$G$3,$L956*1&lt;=$G$4,$I956*$J956&gt;0,OR($I956&lt;&gt;$I957,$L956-$L957&gt;25),$I956/POW(10,$J956)*MAXIFS(Token!$B:$B,Token!$A:$A,$K956)&gt;0.01),$L956/86400+DATE(1970,1,1)+$G$6,)</f>
        <v/>
      </c>
      <c r="B956" s="27" t="str">
        <f t="shared" si="1"/>
        <v/>
      </c>
      <c r="C956" s="14" t="str">
        <f>IF($A956&lt;&gt;"",MINIFS(Merchant!$A:$A,Merchant!$B:$B,$G$2),)</f>
        <v/>
      </c>
      <c r="D956" s="14" t="str">
        <f t="shared" si="2"/>
        <v/>
      </c>
      <c r="E956" s="14" t="str">
        <f t="shared" si="3"/>
        <v/>
      </c>
      <c r="F956" s="7" t="str">
        <f>IF($A956&lt;&gt;"",MAXIFS(Token!$B:$B,Token!$A:$A,$D956),)</f>
        <v/>
      </c>
    </row>
    <row r="957">
      <c r="A957" s="39" t="str">
        <f>IF(AND($L957*1&gt;=$G$3,$L957*1&lt;=$G$4,$I957*$J957&gt;0,OR($I957&lt;&gt;$I958,$L957-$L958&gt;25),$I957/POW(10,$J957)*MAXIFS(Token!$B:$B,Token!$A:$A,$K957)&gt;0.01),$L957/86400+DATE(1970,1,1)+$G$6,)</f>
        <v/>
      </c>
      <c r="B957" s="27" t="str">
        <f t="shared" si="1"/>
        <v/>
      </c>
      <c r="C957" s="14" t="str">
        <f>IF($A957&lt;&gt;"",MINIFS(Merchant!$A:$A,Merchant!$B:$B,$G$2),)</f>
        <v/>
      </c>
      <c r="D957" s="14" t="str">
        <f t="shared" si="2"/>
        <v/>
      </c>
      <c r="E957" s="14" t="str">
        <f t="shared" si="3"/>
        <v/>
      </c>
      <c r="F957" s="7" t="str">
        <f>IF($A957&lt;&gt;"",MAXIFS(Token!$B:$B,Token!$A:$A,$D957),)</f>
        <v/>
      </c>
    </row>
    <row r="958">
      <c r="A958" s="39" t="str">
        <f>IF(AND($L958*1&gt;=$G$3,$L958*1&lt;=$G$4,$I958*$J958&gt;0,OR($I958&lt;&gt;$I959,$L958-$L959&gt;25),$I958/POW(10,$J958)*MAXIFS(Token!$B:$B,Token!$A:$A,$K958)&gt;0.01),$L958/86400+DATE(1970,1,1)+$G$6,)</f>
        <v/>
      </c>
      <c r="B958" s="27" t="str">
        <f t="shared" si="1"/>
        <v/>
      </c>
      <c r="C958" s="14" t="str">
        <f>IF($A958&lt;&gt;"",MINIFS(Merchant!$A:$A,Merchant!$B:$B,$G$2),)</f>
        <v/>
      </c>
      <c r="D958" s="14" t="str">
        <f t="shared" si="2"/>
        <v/>
      </c>
      <c r="E958" s="14" t="str">
        <f t="shared" si="3"/>
        <v/>
      </c>
      <c r="F958" s="7" t="str">
        <f>IF($A958&lt;&gt;"",MAXIFS(Token!$B:$B,Token!$A:$A,$D958),)</f>
        <v/>
      </c>
    </row>
    <row r="959">
      <c r="A959" s="39" t="str">
        <f>IF(AND($L959*1&gt;=$G$3,$L959*1&lt;=$G$4,$I959*$J959&gt;0,OR($I959&lt;&gt;$I960,$L959-$L960&gt;25),$I959/POW(10,$J959)*MAXIFS(Token!$B:$B,Token!$A:$A,$K959)&gt;0.01),$L959/86400+DATE(1970,1,1)+$G$6,)</f>
        <v/>
      </c>
      <c r="B959" s="27" t="str">
        <f t="shared" si="1"/>
        <v/>
      </c>
      <c r="C959" s="14" t="str">
        <f>IF($A959&lt;&gt;"",MINIFS(Merchant!$A:$A,Merchant!$B:$B,$G$2),)</f>
        <v/>
      </c>
      <c r="D959" s="14" t="str">
        <f t="shared" si="2"/>
        <v/>
      </c>
      <c r="E959" s="14" t="str">
        <f t="shared" si="3"/>
        <v/>
      </c>
      <c r="F959" s="7" t="str">
        <f>IF($A959&lt;&gt;"",MAXIFS(Token!$B:$B,Token!$A:$A,$D959),)</f>
        <v/>
      </c>
    </row>
    <row r="960">
      <c r="A960" s="39" t="str">
        <f>IF(AND($L960*1&gt;=$G$3,$L960*1&lt;=$G$4,$I960*$J960&gt;0,OR($I960&lt;&gt;$I961,$L960-$L961&gt;25),$I960/POW(10,$J960)*MAXIFS(Token!$B:$B,Token!$A:$A,$K960)&gt;0.01),$L960/86400+DATE(1970,1,1)+$G$6,)</f>
        <v/>
      </c>
      <c r="B960" s="27" t="str">
        <f t="shared" si="1"/>
        <v/>
      </c>
      <c r="C960" s="14" t="str">
        <f>IF($A960&lt;&gt;"",MINIFS(Merchant!$A:$A,Merchant!$B:$B,$G$2),)</f>
        <v/>
      </c>
      <c r="D960" s="14" t="str">
        <f t="shared" si="2"/>
        <v/>
      </c>
      <c r="E960" s="14" t="str">
        <f t="shared" si="3"/>
        <v/>
      </c>
      <c r="F960" s="7" t="str">
        <f>IF($A960&lt;&gt;"",MAXIFS(Token!$B:$B,Token!$A:$A,$D960),)</f>
        <v/>
      </c>
    </row>
    <row r="961">
      <c r="A961" s="39" t="str">
        <f>IF(AND($L961*1&gt;=$G$3,$L961*1&lt;=$G$4,$I961*$J961&gt;0,OR($I961&lt;&gt;$I962,$L961-$L962&gt;25),$I961/POW(10,$J961)*MAXIFS(Token!$B:$B,Token!$A:$A,$K961)&gt;0.01),$L961/86400+DATE(1970,1,1)+$G$6,)</f>
        <v/>
      </c>
      <c r="B961" s="27" t="str">
        <f t="shared" si="1"/>
        <v/>
      </c>
      <c r="C961" s="14" t="str">
        <f>IF($A961&lt;&gt;"",MINIFS(Merchant!$A:$A,Merchant!$B:$B,$G$2),)</f>
        <v/>
      </c>
      <c r="D961" s="14" t="str">
        <f t="shared" si="2"/>
        <v/>
      </c>
      <c r="E961" s="14" t="str">
        <f t="shared" si="3"/>
        <v/>
      </c>
      <c r="F961" s="7" t="str">
        <f>IF($A961&lt;&gt;"",MAXIFS(Token!$B:$B,Token!$A:$A,$D961),)</f>
        <v/>
      </c>
    </row>
    <row r="962">
      <c r="A962" s="39" t="str">
        <f>IF(AND($L962*1&gt;=$G$3,$L962*1&lt;=$G$4,$I962*$J962&gt;0,OR($I962&lt;&gt;$I963,$L962-$L963&gt;25),$I962/POW(10,$J962)*MAXIFS(Token!$B:$B,Token!$A:$A,$K962)&gt;0.01),$L962/86400+DATE(1970,1,1)+$G$6,)</f>
        <v/>
      </c>
      <c r="B962" s="27" t="str">
        <f t="shared" si="1"/>
        <v/>
      </c>
      <c r="C962" s="14" t="str">
        <f>IF($A962&lt;&gt;"",MINIFS(Merchant!$A:$A,Merchant!$B:$B,$G$2),)</f>
        <v/>
      </c>
      <c r="D962" s="14" t="str">
        <f t="shared" si="2"/>
        <v/>
      </c>
      <c r="E962" s="14" t="str">
        <f t="shared" si="3"/>
        <v/>
      </c>
      <c r="F962" s="7" t="str">
        <f>IF($A962&lt;&gt;"",MAXIFS(Token!$B:$B,Token!$A:$A,$D962),)</f>
        <v/>
      </c>
    </row>
    <row r="963">
      <c r="A963" s="39" t="str">
        <f>IF(AND($L963*1&gt;=$G$3,$L963*1&lt;=$G$4,$I963*$J963&gt;0,OR($I963&lt;&gt;$I964,$L963-$L964&gt;25),$I963/POW(10,$J963)*MAXIFS(Token!$B:$B,Token!$A:$A,$K963)&gt;0.01),$L963/86400+DATE(1970,1,1)+$G$6,)</f>
        <v/>
      </c>
      <c r="B963" s="27" t="str">
        <f t="shared" si="1"/>
        <v/>
      </c>
      <c r="C963" s="14" t="str">
        <f>IF($A963&lt;&gt;"",MINIFS(Merchant!$A:$A,Merchant!$B:$B,$G$2),)</f>
        <v/>
      </c>
      <c r="D963" s="14" t="str">
        <f t="shared" si="2"/>
        <v/>
      </c>
      <c r="E963" s="14" t="str">
        <f t="shared" si="3"/>
        <v/>
      </c>
      <c r="F963" s="7" t="str">
        <f>IF($A963&lt;&gt;"",MAXIFS(Token!$B:$B,Token!$A:$A,$D963),)</f>
        <v/>
      </c>
    </row>
    <row r="964">
      <c r="A964" s="39" t="str">
        <f>IF(AND($L964*1&gt;=$G$3,$L964*1&lt;=$G$4,$I964*$J964&gt;0,OR($I964&lt;&gt;$I965,$L964-$L965&gt;25),$I964/POW(10,$J964)*MAXIFS(Token!$B:$B,Token!$A:$A,$K964)&gt;0.01),$L964/86400+DATE(1970,1,1)+$G$6,)</f>
        <v/>
      </c>
      <c r="B964" s="27" t="str">
        <f t="shared" si="1"/>
        <v/>
      </c>
      <c r="C964" s="14" t="str">
        <f>IF($A964&lt;&gt;"",MINIFS(Merchant!$A:$A,Merchant!$B:$B,$G$2),)</f>
        <v/>
      </c>
      <c r="D964" s="14" t="str">
        <f t="shared" si="2"/>
        <v/>
      </c>
      <c r="E964" s="14" t="str">
        <f t="shared" si="3"/>
        <v/>
      </c>
      <c r="F964" s="7" t="str">
        <f>IF($A964&lt;&gt;"",MAXIFS(Token!$B:$B,Token!$A:$A,$D964),)</f>
        <v/>
      </c>
    </row>
    <row r="965">
      <c r="A965" s="39" t="str">
        <f>IF(AND($L965*1&gt;=$G$3,$L965*1&lt;=$G$4,$I965*$J965&gt;0,OR($I965&lt;&gt;$I966,$L965-$L966&gt;25),$I965/POW(10,$J965)*MAXIFS(Token!$B:$B,Token!$A:$A,$K965)&gt;0.01),$L965/86400+DATE(1970,1,1)+$G$6,)</f>
        <v/>
      </c>
      <c r="B965" s="27" t="str">
        <f t="shared" si="1"/>
        <v/>
      </c>
      <c r="C965" s="14" t="str">
        <f>IF($A965&lt;&gt;"",MINIFS(Merchant!$A:$A,Merchant!$B:$B,$G$2),)</f>
        <v/>
      </c>
      <c r="D965" s="14" t="str">
        <f t="shared" si="2"/>
        <v/>
      </c>
      <c r="E965" s="14" t="str">
        <f t="shared" si="3"/>
        <v/>
      </c>
      <c r="F965" s="7" t="str">
        <f>IF($A965&lt;&gt;"",MAXIFS(Token!$B:$B,Token!$A:$A,$D965),)</f>
        <v/>
      </c>
    </row>
    <row r="966">
      <c r="A966" s="39" t="str">
        <f>IF(AND($L966*1&gt;=$G$3,$L966*1&lt;=$G$4,$I966*$J966&gt;0,OR($I966&lt;&gt;$I967,$L966-$L967&gt;25),$I966/POW(10,$J966)*MAXIFS(Token!$B:$B,Token!$A:$A,$K966)&gt;0.01),$L966/86400+DATE(1970,1,1)+$G$6,)</f>
        <v/>
      </c>
      <c r="B966" s="27" t="str">
        <f t="shared" si="1"/>
        <v/>
      </c>
      <c r="C966" s="14" t="str">
        <f>IF($A966&lt;&gt;"",MINIFS(Merchant!$A:$A,Merchant!$B:$B,$G$2),)</f>
        <v/>
      </c>
      <c r="D966" s="14" t="str">
        <f t="shared" si="2"/>
        <v/>
      </c>
      <c r="E966" s="14" t="str">
        <f t="shared" si="3"/>
        <v/>
      </c>
      <c r="F966" s="7" t="str">
        <f>IF($A966&lt;&gt;"",MAXIFS(Token!$B:$B,Token!$A:$A,$D966),)</f>
        <v/>
      </c>
    </row>
    <row r="967">
      <c r="A967" s="39" t="str">
        <f>IF(AND($L967*1&gt;=$G$3,$L967*1&lt;=$G$4,$I967*$J967&gt;0,OR($I967&lt;&gt;$I968,$L967-$L968&gt;25),$I967/POW(10,$J967)*MAXIFS(Token!$B:$B,Token!$A:$A,$K967)&gt;0.01),$L967/86400+DATE(1970,1,1)+$G$6,)</f>
        <v/>
      </c>
      <c r="B967" s="27" t="str">
        <f t="shared" si="1"/>
        <v/>
      </c>
      <c r="C967" s="14" t="str">
        <f>IF($A967&lt;&gt;"",MINIFS(Merchant!$A:$A,Merchant!$B:$B,$G$2),)</f>
        <v/>
      </c>
      <c r="D967" s="14" t="str">
        <f t="shared" si="2"/>
        <v/>
      </c>
      <c r="E967" s="14" t="str">
        <f t="shared" si="3"/>
        <v/>
      </c>
      <c r="F967" s="7" t="str">
        <f>IF($A967&lt;&gt;"",MAXIFS(Token!$B:$B,Token!$A:$A,$D967),)</f>
        <v/>
      </c>
    </row>
    <row r="968">
      <c r="A968" s="39" t="str">
        <f>IF(AND($L968*1&gt;=$G$3,$L968*1&lt;=$G$4,$I968*$J968&gt;0,OR($I968&lt;&gt;$I969,$L968-$L969&gt;25),$I968/POW(10,$J968)*MAXIFS(Token!$B:$B,Token!$A:$A,$K968)&gt;0.01),$L968/86400+DATE(1970,1,1)+$G$6,)</f>
        <v/>
      </c>
      <c r="B968" s="27" t="str">
        <f t="shared" si="1"/>
        <v/>
      </c>
      <c r="C968" s="14" t="str">
        <f>IF($A968&lt;&gt;"",MINIFS(Merchant!$A:$A,Merchant!$B:$B,$G$2),)</f>
        <v/>
      </c>
      <c r="D968" s="14" t="str">
        <f t="shared" si="2"/>
        <v/>
      </c>
      <c r="E968" s="14" t="str">
        <f t="shared" si="3"/>
        <v/>
      </c>
      <c r="F968" s="7" t="str">
        <f>IF($A968&lt;&gt;"",MAXIFS(Token!$B:$B,Token!$A:$A,$D968),)</f>
        <v/>
      </c>
    </row>
    <row r="969">
      <c r="A969" s="39" t="str">
        <f>IF(AND($L969*1&gt;=$G$3,$L969*1&lt;=$G$4,$I969*$J969&gt;0,OR($I969&lt;&gt;$I970,$L969-$L970&gt;25),$I969/POW(10,$J969)*MAXIFS(Token!$B:$B,Token!$A:$A,$K969)&gt;0.01),$L969/86400+DATE(1970,1,1)+$G$6,)</f>
        <v/>
      </c>
      <c r="B969" s="27" t="str">
        <f t="shared" si="1"/>
        <v/>
      </c>
      <c r="C969" s="14" t="str">
        <f>IF($A969&lt;&gt;"",MINIFS(Merchant!$A:$A,Merchant!$B:$B,$G$2),)</f>
        <v/>
      </c>
      <c r="D969" s="14" t="str">
        <f t="shared" si="2"/>
        <v/>
      </c>
      <c r="E969" s="14" t="str">
        <f t="shared" si="3"/>
        <v/>
      </c>
      <c r="F969" s="7" t="str">
        <f>IF($A969&lt;&gt;"",MAXIFS(Token!$B:$B,Token!$A:$A,$D969),)</f>
        <v/>
      </c>
    </row>
    <row r="970">
      <c r="A970" s="39" t="str">
        <f>IF(AND($L970*1&gt;=$G$3,$L970*1&lt;=$G$4,$I970*$J970&gt;0,OR($I970&lt;&gt;$I971,$L970-$L971&gt;25),$I970/POW(10,$J970)*MAXIFS(Token!$B:$B,Token!$A:$A,$K970)&gt;0.01),$L970/86400+DATE(1970,1,1)+$G$6,)</f>
        <v/>
      </c>
      <c r="B970" s="27" t="str">
        <f t="shared" si="1"/>
        <v/>
      </c>
      <c r="C970" s="14" t="str">
        <f>IF($A970&lt;&gt;"",MINIFS(Merchant!$A:$A,Merchant!$B:$B,$G$2),)</f>
        <v/>
      </c>
      <c r="D970" s="14" t="str">
        <f t="shared" si="2"/>
        <v/>
      </c>
      <c r="E970" s="14" t="str">
        <f t="shared" si="3"/>
        <v/>
      </c>
      <c r="F970" s="7" t="str">
        <f>IF($A970&lt;&gt;"",MAXIFS(Token!$B:$B,Token!$A:$A,$D970),)</f>
        <v/>
      </c>
    </row>
    <row r="971">
      <c r="A971" s="39" t="str">
        <f>IF(AND($L971*1&gt;=$G$3,$L971*1&lt;=$G$4,$I971*$J971&gt;0,OR($I971&lt;&gt;$I972,$L971-$L972&gt;25),$I971/POW(10,$J971)*MAXIFS(Token!$B:$B,Token!$A:$A,$K971)&gt;0.01),$L971/86400+DATE(1970,1,1)+$G$6,)</f>
        <v/>
      </c>
      <c r="B971" s="27" t="str">
        <f t="shared" si="1"/>
        <v/>
      </c>
      <c r="C971" s="14" t="str">
        <f>IF($A971&lt;&gt;"",MINIFS(Merchant!$A:$A,Merchant!$B:$B,$G$2),)</f>
        <v/>
      </c>
      <c r="D971" s="14" t="str">
        <f t="shared" si="2"/>
        <v/>
      </c>
      <c r="E971" s="14" t="str">
        <f t="shared" si="3"/>
        <v/>
      </c>
      <c r="F971" s="7" t="str">
        <f>IF($A971&lt;&gt;"",MAXIFS(Token!$B:$B,Token!$A:$A,$D971),)</f>
        <v/>
      </c>
    </row>
    <row r="972">
      <c r="A972" s="39" t="str">
        <f>IF(AND($L972*1&gt;=$G$3,$L972*1&lt;=$G$4,$I972*$J972&gt;0,OR($I972&lt;&gt;$I973,$L972-$L973&gt;25),$I972/POW(10,$J972)*MAXIFS(Token!$B:$B,Token!$A:$A,$K972)&gt;0.01),$L972/86400+DATE(1970,1,1)+$G$6,)</f>
        <v/>
      </c>
      <c r="B972" s="27" t="str">
        <f t="shared" si="1"/>
        <v/>
      </c>
      <c r="C972" s="14" t="str">
        <f>IF($A972&lt;&gt;"",MINIFS(Merchant!$A:$A,Merchant!$B:$B,$G$2),)</f>
        <v/>
      </c>
      <c r="D972" s="14" t="str">
        <f t="shared" si="2"/>
        <v/>
      </c>
      <c r="E972" s="14" t="str">
        <f t="shared" si="3"/>
        <v/>
      </c>
      <c r="F972" s="7" t="str">
        <f>IF($A972&lt;&gt;"",MAXIFS(Token!$B:$B,Token!$A:$A,$D972),)</f>
        <v/>
      </c>
    </row>
    <row r="973">
      <c r="A973" s="39" t="str">
        <f>IF(AND($L973*1&gt;=$G$3,$L973*1&lt;=$G$4,$I973*$J973&gt;0,OR($I973&lt;&gt;$I974,$L973-$L974&gt;25),$I973/POW(10,$J973)*MAXIFS(Token!$B:$B,Token!$A:$A,$K973)&gt;0.01),$L973/86400+DATE(1970,1,1)+$G$6,)</f>
        <v/>
      </c>
      <c r="B973" s="27" t="str">
        <f t="shared" si="1"/>
        <v/>
      </c>
      <c r="C973" s="14" t="str">
        <f>IF($A973&lt;&gt;"",MINIFS(Merchant!$A:$A,Merchant!$B:$B,$G$2),)</f>
        <v/>
      </c>
      <c r="D973" s="14" t="str">
        <f t="shared" si="2"/>
        <v/>
      </c>
      <c r="E973" s="14" t="str">
        <f t="shared" si="3"/>
        <v/>
      </c>
      <c r="F973" s="7" t="str">
        <f>IF($A973&lt;&gt;"",MAXIFS(Token!$B:$B,Token!$A:$A,$D973),)</f>
        <v/>
      </c>
    </row>
    <row r="974">
      <c r="A974" s="39" t="str">
        <f>IF(AND($L974*1&gt;=$G$3,$L974*1&lt;=$G$4,$I974*$J974&gt;0,OR($I974&lt;&gt;$I975,$L974-$L975&gt;25),$I974/POW(10,$J974)*MAXIFS(Token!$B:$B,Token!$A:$A,$K974)&gt;0.01),$L974/86400+DATE(1970,1,1)+$G$6,)</f>
        <v/>
      </c>
      <c r="B974" s="27" t="str">
        <f t="shared" si="1"/>
        <v/>
      </c>
      <c r="C974" s="14" t="str">
        <f>IF($A974&lt;&gt;"",MINIFS(Merchant!$A:$A,Merchant!$B:$B,$G$2),)</f>
        <v/>
      </c>
      <c r="D974" s="14" t="str">
        <f t="shared" si="2"/>
        <v/>
      </c>
      <c r="E974" s="14" t="str">
        <f t="shared" si="3"/>
        <v/>
      </c>
      <c r="F974" s="7" t="str">
        <f>IF($A974&lt;&gt;"",MAXIFS(Token!$B:$B,Token!$A:$A,$D974),)</f>
        <v/>
      </c>
    </row>
    <row r="975">
      <c r="A975" s="39" t="str">
        <f>IF(AND($L975*1&gt;=$G$3,$L975*1&lt;=$G$4,$I975*$J975&gt;0,OR($I975&lt;&gt;$I976,$L975-$L976&gt;25),$I975/POW(10,$J975)*MAXIFS(Token!$B:$B,Token!$A:$A,$K975)&gt;0.01),$L975/86400+DATE(1970,1,1)+$G$6,)</f>
        <v/>
      </c>
      <c r="B975" s="27" t="str">
        <f t="shared" si="1"/>
        <v/>
      </c>
      <c r="C975" s="14" t="str">
        <f>IF($A975&lt;&gt;"",MINIFS(Merchant!$A:$A,Merchant!$B:$B,$G$2),)</f>
        <v/>
      </c>
      <c r="D975" s="14" t="str">
        <f t="shared" si="2"/>
        <v/>
      </c>
      <c r="E975" s="14" t="str">
        <f t="shared" si="3"/>
        <v/>
      </c>
      <c r="F975" s="7" t="str">
        <f>IF($A975&lt;&gt;"",MAXIFS(Token!$B:$B,Token!$A:$A,$D975),)</f>
        <v/>
      </c>
    </row>
    <row r="976">
      <c r="A976" s="39" t="str">
        <f>IF(AND($L976*1&gt;=$G$3,$L976*1&lt;=$G$4,$I976*$J976&gt;0,OR($I976&lt;&gt;$I977,$L976-$L977&gt;25),$I976/POW(10,$J976)*MAXIFS(Token!$B:$B,Token!$A:$A,$K976)&gt;0.01),$L976/86400+DATE(1970,1,1)+$G$6,)</f>
        <v/>
      </c>
      <c r="B976" s="27" t="str">
        <f t="shared" si="1"/>
        <v/>
      </c>
      <c r="C976" s="14" t="str">
        <f>IF($A976&lt;&gt;"",MINIFS(Merchant!$A:$A,Merchant!$B:$B,$G$2),)</f>
        <v/>
      </c>
      <c r="D976" s="14" t="str">
        <f t="shared" si="2"/>
        <v/>
      </c>
      <c r="E976" s="14" t="str">
        <f t="shared" si="3"/>
        <v/>
      </c>
      <c r="F976" s="7" t="str">
        <f>IF($A976&lt;&gt;"",MAXIFS(Token!$B:$B,Token!$A:$A,$D976),)</f>
        <v/>
      </c>
    </row>
    <row r="977">
      <c r="A977" s="39" t="str">
        <f>IF(AND($L977*1&gt;=$G$3,$L977*1&lt;=$G$4,$I977*$J977&gt;0,OR($I977&lt;&gt;$I978,$L977-$L978&gt;25),$I977/POW(10,$J977)*MAXIFS(Token!$B:$B,Token!$A:$A,$K977)&gt;0.01),$L977/86400+DATE(1970,1,1)+$G$6,)</f>
        <v/>
      </c>
      <c r="B977" s="27" t="str">
        <f t="shared" si="1"/>
        <v/>
      </c>
      <c r="C977" s="14" t="str">
        <f>IF($A977&lt;&gt;"",MINIFS(Merchant!$A:$A,Merchant!$B:$B,$G$2),)</f>
        <v/>
      </c>
      <c r="D977" s="14" t="str">
        <f t="shared" si="2"/>
        <v/>
      </c>
      <c r="E977" s="14" t="str">
        <f t="shared" si="3"/>
        <v/>
      </c>
      <c r="F977" s="7" t="str">
        <f>IF($A977&lt;&gt;"",MAXIFS(Token!$B:$B,Token!$A:$A,$D977),)</f>
        <v/>
      </c>
    </row>
    <row r="978">
      <c r="A978" s="39" t="str">
        <f>IF(AND($L978*1&gt;=$G$3,$L978*1&lt;=$G$4,$I978*$J978&gt;0,OR($I978&lt;&gt;$I979,$L978-$L979&gt;25),$I978/POW(10,$J978)*MAXIFS(Token!$B:$B,Token!$A:$A,$K978)&gt;0.01),$L978/86400+DATE(1970,1,1)+$G$6,)</f>
        <v/>
      </c>
      <c r="B978" s="27" t="str">
        <f t="shared" si="1"/>
        <v/>
      </c>
      <c r="C978" s="14" t="str">
        <f>IF($A978&lt;&gt;"",MINIFS(Merchant!$A:$A,Merchant!$B:$B,$G$2),)</f>
        <v/>
      </c>
      <c r="D978" s="14" t="str">
        <f t="shared" si="2"/>
        <v/>
      </c>
      <c r="E978" s="14" t="str">
        <f t="shared" si="3"/>
        <v/>
      </c>
      <c r="F978" s="7" t="str">
        <f>IF($A978&lt;&gt;"",MAXIFS(Token!$B:$B,Token!$A:$A,$D978),)</f>
        <v/>
      </c>
    </row>
    <row r="979">
      <c r="A979" s="39" t="str">
        <f>IF(AND($L979*1&gt;=$G$3,$L979*1&lt;=$G$4,$I979*$J979&gt;0,OR($I979&lt;&gt;$I980,$L979-$L980&gt;25),$I979/POW(10,$J979)*MAXIFS(Token!$B:$B,Token!$A:$A,$K979)&gt;0.01),$L979/86400+DATE(1970,1,1)+$G$6,)</f>
        <v/>
      </c>
      <c r="B979" s="27" t="str">
        <f t="shared" si="1"/>
        <v/>
      </c>
      <c r="C979" s="14" t="str">
        <f>IF($A979&lt;&gt;"",MINIFS(Merchant!$A:$A,Merchant!$B:$B,$G$2),)</f>
        <v/>
      </c>
      <c r="D979" s="14" t="str">
        <f t="shared" si="2"/>
        <v/>
      </c>
      <c r="E979" s="14" t="str">
        <f t="shared" si="3"/>
        <v/>
      </c>
      <c r="F979" s="7" t="str">
        <f>IF($A979&lt;&gt;"",MAXIFS(Token!$B:$B,Token!$A:$A,$D979),)</f>
        <v/>
      </c>
    </row>
    <row r="980">
      <c r="A980" s="39" t="str">
        <f>IF(AND($L980*1&gt;=$G$3,$L980*1&lt;=$G$4,$I980*$J980&gt;0,OR($I980&lt;&gt;$I981,$L980-$L981&gt;25),$I980/POW(10,$J980)*MAXIFS(Token!$B:$B,Token!$A:$A,$K980)&gt;0.01),$L980/86400+DATE(1970,1,1)+$G$6,)</f>
        <v/>
      </c>
      <c r="B980" s="27" t="str">
        <f t="shared" si="1"/>
        <v/>
      </c>
      <c r="C980" s="14" t="str">
        <f>IF($A980&lt;&gt;"",MINIFS(Merchant!$A:$A,Merchant!$B:$B,$G$2),)</f>
        <v/>
      </c>
      <c r="D980" s="14" t="str">
        <f t="shared" si="2"/>
        <v/>
      </c>
      <c r="E980" s="14" t="str">
        <f t="shared" si="3"/>
        <v/>
      </c>
      <c r="F980" s="7" t="str">
        <f>IF($A980&lt;&gt;"",MAXIFS(Token!$B:$B,Token!$A:$A,$D980),)</f>
        <v/>
      </c>
    </row>
    <row r="981">
      <c r="A981" s="39" t="str">
        <f>IF(AND($L981*1&gt;=$G$3,$L981*1&lt;=$G$4,$I981*$J981&gt;0,OR($I981&lt;&gt;$I982,$L981-$L982&gt;25),$I981/POW(10,$J981)*MAXIFS(Token!$B:$B,Token!$A:$A,$K981)&gt;0.01),$L981/86400+DATE(1970,1,1)+$G$6,)</f>
        <v/>
      </c>
      <c r="B981" s="27" t="str">
        <f t="shared" si="1"/>
        <v/>
      </c>
      <c r="C981" s="14" t="str">
        <f>IF($A981&lt;&gt;"",MINIFS(Merchant!$A:$A,Merchant!$B:$B,$G$2),)</f>
        <v/>
      </c>
      <c r="D981" s="14" t="str">
        <f t="shared" si="2"/>
        <v/>
      </c>
      <c r="E981" s="14" t="str">
        <f t="shared" si="3"/>
        <v/>
      </c>
      <c r="F981" s="7" t="str">
        <f>IF($A981&lt;&gt;"",MAXIFS(Token!$B:$B,Token!$A:$A,$D981),)</f>
        <v/>
      </c>
    </row>
    <row r="982">
      <c r="A982" s="39" t="str">
        <f>IF(AND($L982*1&gt;=$G$3,$L982*1&lt;=$G$4,$I982*$J982&gt;0,OR($I982&lt;&gt;$I983,$L982-$L983&gt;25),$I982/POW(10,$J982)*MAXIFS(Token!$B:$B,Token!$A:$A,$K982)&gt;0.01),$L982/86400+DATE(1970,1,1)+$G$6,)</f>
        <v/>
      </c>
      <c r="B982" s="27" t="str">
        <f t="shared" si="1"/>
        <v/>
      </c>
      <c r="C982" s="14" t="str">
        <f>IF($A982&lt;&gt;"",MINIFS(Merchant!$A:$A,Merchant!$B:$B,$G$2),)</f>
        <v/>
      </c>
      <c r="D982" s="14" t="str">
        <f t="shared" si="2"/>
        <v/>
      </c>
      <c r="E982" s="14" t="str">
        <f t="shared" si="3"/>
        <v/>
      </c>
      <c r="F982" s="7" t="str">
        <f>IF($A982&lt;&gt;"",MAXIFS(Token!$B:$B,Token!$A:$A,$D982),)</f>
        <v/>
      </c>
    </row>
    <row r="983">
      <c r="A983" s="39" t="str">
        <f>IF(AND($L983*1&gt;=$G$3,$L983*1&lt;=$G$4,$I983*$J983&gt;0,OR($I983&lt;&gt;$I984,$L983-$L984&gt;25),$I983/POW(10,$J983)*MAXIFS(Token!$B:$B,Token!$A:$A,$K983)&gt;0.01),$L983/86400+DATE(1970,1,1)+$G$6,)</f>
        <v/>
      </c>
      <c r="B983" s="27" t="str">
        <f t="shared" si="1"/>
        <v/>
      </c>
      <c r="C983" s="14" t="str">
        <f>IF($A983&lt;&gt;"",MINIFS(Merchant!$A:$A,Merchant!$B:$B,$G$2),)</f>
        <v/>
      </c>
      <c r="D983" s="14" t="str">
        <f t="shared" si="2"/>
        <v/>
      </c>
      <c r="E983" s="14" t="str">
        <f t="shared" si="3"/>
        <v/>
      </c>
      <c r="F983" s="7" t="str">
        <f>IF($A983&lt;&gt;"",MAXIFS(Token!$B:$B,Token!$A:$A,$D983),)</f>
        <v/>
      </c>
    </row>
    <row r="984">
      <c r="A984" s="39" t="str">
        <f>IF(AND($L984*1&gt;=$G$3,$L984*1&lt;=$G$4,$I984*$J984&gt;0,OR($I984&lt;&gt;$I985,$L984-$L985&gt;25),$I984/POW(10,$J984)*MAXIFS(Token!$B:$B,Token!$A:$A,$K984)&gt;0.01),$L984/86400+DATE(1970,1,1)+$G$6,)</f>
        <v/>
      </c>
      <c r="B984" s="27" t="str">
        <f t="shared" si="1"/>
        <v/>
      </c>
      <c r="C984" s="14" t="str">
        <f>IF($A984&lt;&gt;"",MINIFS(Merchant!$A:$A,Merchant!$B:$B,$G$2),)</f>
        <v/>
      </c>
      <c r="D984" s="14" t="str">
        <f t="shared" si="2"/>
        <v/>
      </c>
      <c r="E984" s="14" t="str">
        <f t="shared" si="3"/>
        <v/>
      </c>
      <c r="F984" s="7" t="str">
        <f>IF($A984&lt;&gt;"",MAXIFS(Token!$B:$B,Token!$A:$A,$D984),)</f>
        <v/>
      </c>
    </row>
    <row r="985">
      <c r="A985" s="39" t="str">
        <f>IF(AND($L985*1&gt;=$G$3,$L985*1&lt;=$G$4,$I985*$J985&gt;0,OR($I985&lt;&gt;$I986,$L985-$L986&gt;25),$I985/POW(10,$J985)*MAXIFS(Token!$B:$B,Token!$A:$A,$K985)&gt;0.01),$L985/86400+DATE(1970,1,1)+$G$6,)</f>
        <v/>
      </c>
      <c r="B985" s="27" t="str">
        <f t="shared" si="1"/>
        <v/>
      </c>
      <c r="C985" s="14" t="str">
        <f>IF($A985&lt;&gt;"",MINIFS(Merchant!$A:$A,Merchant!$B:$B,$G$2),)</f>
        <v/>
      </c>
      <c r="D985" s="14" t="str">
        <f t="shared" si="2"/>
        <v/>
      </c>
      <c r="E985" s="14" t="str">
        <f t="shared" si="3"/>
        <v/>
      </c>
      <c r="F985" s="7" t="str">
        <f>IF($A985&lt;&gt;"",MAXIFS(Token!$B:$B,Token!$A:$A,$D985),)</f>
        <v/>
      </c>
    </row>
    <row r="986">
      <c r="A986" s="39" t="str">
        <f>IF(AND($L986*1&gt;=$G$3,$L986*1&lt;=$G$4,$I986*$J986&gt;0,OR($I986&lt;&gt;$I987,$L986-$L987&gt;25),$I986/POW(10,$J986)*MAXIFS(Token!$B:$B,Token!$A:$A,$K986)&gt;0.01),$L986/86400+DATE(1970,1,1)+$G$6,)</f>
        <v/>
      </c>
      <c r="B986" s="27" t="str">
        <f t="shared" si="1"/>
        <v/>
      </c>
      <c r="C986" s="14" t="str">
        <f>IF($A986&lt;&gt;"",MINIFS(Merchant!$A:$A,Merchant!$B:$B,$G$2),)</f>
        <v/>
      </c>
      <c r="D986" s="14" t="str">
        <f t="shared" si="2"/>
        <v/>
      </c>
      <c r="E986" s="14" t="str">
        <f t="shared" si="3"/>
        <v/>
      </c>
      <c r="F986" s="7" t="str">
        <f>IF($A986&lt;&gt;"",MAXIFS(Token!$B:$B,Token!$A:$A,$D986),)</f>
        <v/>
      </c>
    </row>
    <row r="987">
      <c r="A987" s="39" t="str">
        <f>IF(AND($L987*1&gt;=$G$3,$L987*1&lt;=$G$4,$I987*$J987&gt;0,OR($I987&lt;&gt;$I988,$L987-$L988&gt;25),$I987/POW(10,$J987)*MAXIFS(Token!$B:$B,Token!$A:$A,$K987)&gt;0.01),$L987/86400+DATE(1970,1,1)+$G$6,)</f>
        <v/>
      </c>
      <c r="B987" s="27" t="str">
        <f t="shared" si="1"/>
        <v/>
      </c>
      <c r="C987" s="14" t="str">
        <f>IF($A987&lt;&gt;"",MINIFS(Merchant!$A:$A,Merchant!$B:$B,$G$2),)</f>
        <v/>
      </c>
      <c r="D987" s="14" t="str">
        <f t="shared" si="2"/>
        <v/>
      </c>
      <c r="E987" s="14" t="str">
        <f t="shared" si="3"/>
        <v/>
      </c>
      <c r="F987" s="7" t="str">
        <f>IF($A987&lt;&gt;"",MAXIFS(Token!$B:$B,Token!$A:$A,$D987),)</f>
        <v/>
      </c>
    </row>
    <row r="988">
      <c r="A988" s="39" t="str">
        <f>IF(AND($L988*1&gt;=$G$3,$L988*1&lt;=$G$4,$I988*$J988&gt;0,OR($I988&lt;&gt;$I989,$L988-$L989&gt;25),$I988/POW(10,$J988)*MAXIFS(Token!$B:$B,Token!$A:$A,$K988)&gt;0.01),$L988/86400+DATE(1970,1,1)+$G$6,)</f>
        <v/>
      </c>
      <c r="B988" s="27" t="str">
        <f t="shared" si="1"/>
        <v/>
      </c>
      <c r="C988" s="14" t="str">
        <f>IF($A988&lt;&gt;"",MINIFS(Merchant!$A:$A,Merchant!$B:$B,$G$2),)</f>
        <v/>
      </c>
      <c r="D988" s="14" t="str">
        <f t="shared" si="2"/>
        <v/>
      </c>
      <c r="E988" s="14" t="str">
        <f t="shared" si="3"/>
        <v/>
      </c>
      <c r="F988" s="7" t="str">
        <f>IF($A988&lt;&gt;"",MAXIFS(Token!$B:$B,Token!$A:$A,$D988),)</f>
        <v/>
      </c>
    </row>
    <row r="989">
      <c r="A989" s="39" t="str">
        <f>IF(AND($L989*1&gt;=$G$3,$L989*1&lt;=$G$4,$I989*$J989&gt;0,OR($I989&lt;&gt;$I990,$L989-$L990&gt;25),$I989/POW(10,$J989)*MAXIFS(Token!$B:$B,Token!$A:$A,$K989)&gt;0.01),$L989/86400+DATE(1970,1,1)+$G$6,)</f>
        <v/>
      </c>
      <c r="B989" s="27" t="str">
        <f t="shared" si="1"/>
        <v/>
      </c>
      <c r="C989" s="14" t="str">
        <f>IF($A989&lt;&gt;"",MINIFS(Merchant!$A:$A,Merchant!$B:$B,$G$2),)</f>
        <v/>
      </c>
      <c r="D989" s="14" t="str">
        <f t="shared" si="2"/>
        <v/>
      </c>
      <c r="E989" s="14" t="str">
        <f t="shared" si="3"/>
        <v/>
      </c>
      <c r="F989" s="7" t="str">
        <f>IF($A989&lt;&gt;"",MAXIFS(Token!$B:$B,Token!$A:$A,$D989),)</f>
        <v/>
      </c>
    </row>
    <row r="990">
      <c r="A990" s="39" t="str">
        <f>IF(AND($L990*1&gt;=$G$3,$L990*1&lt;=$G$4,$I990*$J990&gt;0,OR($I990&lt;&gt;$I991,$L990-$L991&gt;25),$I990/POW(10,$J990)*MAXIFS(Token!$B:$B,Token!$A:$A,$K990)&gt;0.01),$L990/86400+DATE(1970,1,1)+$G$6,)</f>
        <v/>
      </c>
      <c r="B990" s="27" t="str">
        <f t="shared" si="1"/>
        <v/>
      </c>
      <c r="C990" s="14" t="str">
        <f>IF($A990&lt;&gt;"",MINIFS(Merchant!$A:$A,Merchant!$B:$B,$G$2),)</f>
        <v/>
      </c>
      <c r="D990" s="14" t="str">
        <f t="shared" si="2"/>
        <v/>
      </c>
      <c r="E990" s="14" t="str">
        <f t="shared" si="3"/>
        <v/>
      </c>
      <c r="F990" s="7" t="str">
        <f>IF($A990&lt;&gt;"",MAXIFS(Token!$B:$B,Token!$A:$A,$D990),)</f>
        <v/>
      </c>
    </row>
    <row r="991">
      <c r="A991" s="39" t="str">
        <f>IF(AND($L991*1&gt;=$G$3,$L991*1&lt;=$G$4,$I991*$J991&gt;0,OR($I991&lt;&gt;$I992,$L991-$L992&gt;25),$I991/POW(10,$J991)*MAXIFS(Token!$B:$B,Token!$A:$A,$K991)&gt;0.01),$L991/86400+DATE(1970,1,1)+$G$6,)</f>
        <v/>
      </c>
      <c r="B991" s="27" t="str">
        <f t="shared" si="1"/>
        <v/>
      </c>
      <c r="C991" s="14" t="str">
        <f>IF($A991&lt;&gt;"",MINIFS(Merchant!$A:$A,Merchant!$B:$B,$G$2),)</f>
        <v/>
      </c>
      <c r="D991" s="14" t="str">
        <f t="shared" si="2"/>
        <v/>
      </c>
      <c r="E991" s="14" t="str">
        <f t="shared" si="3"/>
        <v/>
      </c>
      <c r="F991" s="7" t="str">
        <f>IF($A991&lt;&gt;"",MAXIFS(Token!$B:$B,Token!$A:$A,$D991),)</f>
        <v/>
      </c>
    </row>
    <row r="992">
      <c r="A992" s="39" t="str">
        <f>IF(AND($L992*1&gt;=$G$3,$L992*1&lt;=$G$4,$I992*$J992&gt;0,OR($I992&lt;&gt;$I993,$L992-$L993&gt;25),$I992/POW(10,$J992)*MAXIFS(Token!$B:$B,Token!$A:$A,$K992)&gt;0.01),$L992/86400+DATE(1970,1,1)+$G$6,)</f>
        <v/>
      </c>
      <c r="B992" s="27" t="str">
        <f t="shared" si="1"/>
        <v/>
      </c>
      <c r="C992" s="14" t="str">
        <f>IF($A992&lt;&gt;"",MINIFS(Merchant!$A:$A,Merchant!$B:$B,$G$2),)</f>
        <v/>
      </c>
      <c r="D992" s="14" t="str">
        <f t="shared" si="2"/>
        <v/>
      </c>
      <c r="E992" s="14" t="str">
        <f t="shared" si="3"/>
        <v/>
      </c>
      <c r="F992" s="7" t="str">
        <f>IF($A992&lt;&gt;"",MAXIFS(Token!$B:$B,Token!$A:$A,$D992),)</f>
        <v/>
      </c>
    </row>
    <row r="993">
      <c r="A993" s="39" t="str">
        <f>IF(AND($L993*1&gt;=$G$3,$L993*1&lt;=$G$4,$I993*$J993&gt;0,OR($I993&lt;&gt;$I994,$L993-$L994&gt;25),$I993/POW(10,$J993)*MAXIFS(Token!$B:$B,Token!$A:$A,$K993)&gt;0.01),$L993/86400+DATE(1970,1,1)+$G$6,)</f>
        <v/>
      </c>
      <c r="B993" s="27" t="str">
        <f t="shared" si="1"/>
        <v/>
      </c>
      <c r="C993" s="14" t="str">
        <f>IF($A993&lt;&gt;"",MINIFS(Merchant!$A:$A,Merchant!$B:$B,$G$2),)</f>
        <v/>
      </c>
      <c r="D993" s="14" t="str">
        <f t="shared" si="2"/>
        <v/>
      </c>
      <c r="E993" s="14" t="str">
        <f t="shared" si="3"/>
        <v/>
      </c>
      <c r="F993" s="7" t="str">
        <f>IF($A993&lt;&gt;"",MAXIFS(Token!$B:$B,Token!$A:$A,$D993),)</f>
        <v/>
      </c>
    </row>
    <row r="994">
      <c r="A994" s="39" t="str">
        <f>IF(AND($L994*1&gt;=$G$3,$L994*1&lt;=$G$4,$I994*$J994&gt;0,OR($I994&lt;&gt;$I995,$L994-$L995&gt;25),$I994/POW(10,$J994)*MAXIFS(Token!$B:$B,Token!$A:$A,$K994)&gt;0.01),$L994/86400+DATE(1970,1,1)+$G$6,)</f>
        <v/>
      </c>
      <c r="B994" s="27" t="str">
        <f t="shared" si="1"/>
        <v/>
      </c>
      <c r="C994" s="14" t="str">
        <f>IF($A994&lt;&gt;"",MINIFS(Merchant!$A:$A,Merchant!$B:$B,$G$2),)</f>
        <v/>
      </c>
      <c r="D994" s="14" t="str">
        <f t="shared" si="2"/>
        <v/>
      </c>
      <c r="E994" s="14" t="str">
        <f t="shared" si="3"/>
        <v/>
      </c>
      <c r="F994" s="7" t="str">
        <f>IF($A994&lt;&gt;"",MAXIFS(Token!$B:$B,Token!$A:$A,$D994),)</f>
        <v/>
      </c>
    </row>
    <row r="995">
      <c r="A995" s="39" t="str">
        <f>IF(AND($L995*1&gt;=$G$3,$L995*1&lt;=$G$4,$I995*$J995&gt;0,OR($I995&lt;&gt;$I996,$L995-$L996&gt;25),$I995/POW(10,$J995)*MAXIFS(Token!$B:$B,Token!$A:$A,$K995)&gt;0.01),$L995/86400+DATE(1970,1,1)+$G$6,)</f>
        <v/>
      </c>
      <c r="B995" s="27" t="str">
        <f t="shared" si="1"/>
        <v/>
      </c>
      <c r="C995" s="14" t="str">
        <f>IF($A995&lt;&gt;"",MINIFS(Merchant!$A:$A,Merchant!$B:$B,$G$2),)</f>
        <v/>
      </c>
      <c r="D995" s="14" t="str">
        <f t="shared" si="2"/>
        <v/>
      </c>
      <c r="E995" s="14" t="str">
        <f t="shared" si="3"/>
        <v/>
      </c>
      <c r="F995" s="7" t="str">
        <f>IF($A995&lt;&gt;"",MAXIFS(Token!$B:$B,Token!$A:$A,$D995),)</f>
        <v/>
      </c>
    </row>
    <row r="996">
      <c r="A996" s="39" t="str">
        <f>IF(AND($L996*1&gt;=$G$3,$L996*1&lt;=$G$4,$I996*$J996&gt;0,OR($I996&lt;&gt;$I997,$L996-$L997&gt;25),$I996/POW(10,$J996)*MAXIFS(Token!$B:$B,Token!$A:$A,$K996)&gt;0.01),$L996/86400+DATE(1970,1,1)+$G$6,)</f>
        <v/>
      </c>
      <c r="B996" s="27" t="str">
        <f t="shared" si="1"/>
        <v/>
      </c>
      <c r="C996" s="14" t="str">
        <f>IF($A996&lt;&gt;"",MINIFS(Merchant!$A:$A,Merchant!$B:$B,$G$2),)</f>
        <v/>
      </c>
      <c r="D996" s="14" t="str">
        <f t="shared" si="2"/>
        <v/>
      </c>
      <c r="E996" s="14" t="str">
        <f t="shared" si="3"/>
        <v/>
      </c>
      <c r="F996" s="7" t="str">
        <f>IF($A996&lt;&gt;"",MAXIFS(Token!$B:$B,Token!$A:$A,$D996),)</f>
        <v/>
      </c>
    </row>
    <row r="997">
      <c r="A997" s="39" t="str">
        <f>IF(AND($L997*1&gt;=$G$3,$L997*1&lt;=$G$4,$I997*$J997&gt;0,OR($I997&lt;&gt;$I998,$L997-$L998&gt;25),$I997/POW(10,$J997)*MAXIFS(Token!$B:$B,Token!$A:$A,$K997)&gt;0.01),$L997/86400+DATE(1970,1,1)+$G$6,)</f>
        <v/>
      </c>
      <c r="B997" s="27" t="str">
        <f t="shared" si="1"/>
        <v/>
      </c>
      <c r="C997" s="14" t="str">
        <f>IF($A997&lt;&gt;"",MINIFS(Merchant!$A:$A,Merchant!$B:$B,$G$2),)</f>
        <v/>
      </c>
      <c r="D997" s="14" t="str">
        <f t="shared" si="2"/>
        <v/>
      </c>
      <c r="E997" s="14" t="str">
        <f t="shared" si="3"/>
        <v/>
      </c>
      <c r="F997" s="7" t="str">
        <f>IF($A997&lt;&gt;"",MAXIFS(Token!$B:$B,Token!$A:$A,$D997),)</f>
        <v/>
      </c>
    </row>
    <row r="998">
      <c r="A998" s="39" t="str">
        <f>IF(AND($L998*1&gt;=$G$3,$L998*1&lt;=$G$4,$I998*$J998&gt;0,OR($I998&lt;&gt;$I999,$L998-$L999&gt;25),$I998/POW(10,$J998)*MAXIFS(Token!$B:$B,Token!$A:$A,$K998)&gt;0.01),$L998/86400+DATE(1970,1,1)+$G$6,)</f>
        <v/>
      </c>
      <c r="B998" s="27" t="str">
        <f t="shared" si="1"/>
        <v/>
      </c>
      <c r="C998" s="14" t="str">
        <f>IF($A998&lt;&gt;"",MINIFS(Merchant!$A:$A,Merchant!$B:$B,$G$2),)</f>
        <v/>
      </c>
      <c r="D998" s="14" t="str">
        <f t="shared" si="2"/>
        <v/>
      </c>
      <c r="E998" s="14" t="str">
        <f t="shared" si="3"/>
        <v/>
      </c>
      <c r="F998" s="7" t="str">
        <f>IF($A998&lt;&gt;"",MAXIFS(Token!$B:$B,Token!$A:$A,$D998),)</f>
        <v/>
      </c>
    </row>
    <row r="999">
      <c r="A999" s="39" t="str">
        <f>IF(AND($L999*1&gt;=$G$3,$L999*1&lt;=$G$4,$I999*$J999&gt;0,OR($I999&lt;&gt;$I1000,$L999-$L1000&gt;25),$I999/POW(10,$J999)*MAXIFS(Token!$B:$B,Token!$A:$A,$K999)&gt;0.01),$L999/86400+DATE(1970,1,1)+$G$6,)</f>
        <v/>
      </c>
      <c r="B999" s="27" t="str">
        <f t="shared" si="1"/>
        <v/>
      </c>
      <c r="C999" s="14" t="str">
        <f>IF($A999&lt;&gt;"",MINIFS(Merchant!$A:$A,Merchant!$B:$B,$G$2),)</f>
        <v/>
      </c>
      <c r="D999" s="14" t="str">
        <f t="shared" si="2"/>
        <v/>
      </c>
      <c r="E999" s="14" t="str">
        <f t="shared" si="3"/>
        <v/>
      </c>
      <c r="F999" s="7" t="str">
        <f>IF($A999&lt;&gt;"",MAXIFS(Token!$B:$B,Token!$A:$A,$D999),)</f>
        <v/>
      </c>
    </row>
    <row r="1000">
      <c r="A1000" s="39" t="str">
        <f>IF(AND($L1000*1&gt;=$G$3,$L1000*1&lt;=$G$4,$I1000*$J1000&gt;0,OR($I1000&lt;&gt;$I1001,$L1000-$L1001&gt;25),$I1000/POW(10,$J1000)*MAXIFS(Token!$B:$B,Token!$A:$A,$K1000)&gt;0.01),$L1000/86400+DATE(1970,1,1)+$G$6,)</f>
        <v/>
      </c>
      <c r="B1000" s="27" t="str">
        <f t="shared" si="1"/>
        <v/>
      </c>
      <c r="C1000" s="14" t="str">
        <f>IF($A1000&lt;&gt;"",MINIFS(Merchant!$A:$A,Merchant!$B:$B,$G$2),)</f>
        <v/>
      </c>
      <c r="D1000" s="14" t="str">
        <f t="shared" si="2"/>
        <v/>
      </c>
      <c r="E1000" s="14" t="str">
        <f t="shared" si="3"/>
        <v/>
      </c>
      <c r="F1000" s="7" t="str">
        <f>IF($A1000&lt;&gt;"",MAXIFS(Token!$B:$B,Token!$A:$A,$D1000),)</f>
        <v/>
      </c>
    </row>
  </sheetData>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75"/>
    <col customWidth="1" min="6" max="6" width="12.75"/>
  </cols>
  <sheetData>
    <row r="1">
      <c r="A1" s="1" t="s">
        <v>4</v>
      </c>
      <c r="B1" s="1" t="s">
        <v>5</v>
      </c>
      <c r="C1" s="1" t="s">
        <v>6</v>
      </c>
      <c r="D1" s="1" t="s">
        <v>7</v>
      </c>
      <c r="E1" s="1" t="s">
        <v>8</v>
      </c>
      <c r="F1" s="11" t="s">
        <v>9</v>
      </c>
    </row>
    <row r="2">
      <c r="A2" s="12"/>
      <c r="B2" s="7"/>
      <c r="C2" s="13"/>
      <c r="D2" s="14"/>
      <c r="E2" s="13"/>
      <c r="F2" s="15"/>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75"/>
    <col customWidth="1" min="6" max="6" width="12.75"/>
  </cols>
  <sheetData>
    <row r="1">
      <c r="A1" s="1" t="s">
        <v>4</v>
      </c>
      <c r="B1" s="1" t="s">
        <v>5</v>
      </c>
      <c r="C1" s="1" t="s">
        <v>6</v>
      </c>
      <c r="D1" s="1" t="s">
        <v>7</v>
      </c>
      <c r="E1" s="1" t="s">
        <v>8</v>
      </c>
      <c r="F1" s="11" t="s">
        <v>9</v>
      </c>
    </row>
    <row r="2">
      <c r="A2" s="16">
        <v>44927.55890046296</v>
      </c>
      <c r="B2" s="17">
        <v>14.1</v>
      </c>
      <c r="C2" s="18">
        <v>2.0</v>
      </c>
      <c r="D2" s="19" t="s">
        <v>10</v>
      </c>
      <c r="E2" s="19">
        <v>14.1</v>
      </c>
      <c r="F2" s="20">
        <v>1.0</v>
      </c>
    </row>
    <row r="3">
      <c r="A3" s="16">
        <v>44918.480358796296</v>
      </c>
      <c r="B3" s="17">
        <v>20.5</v>
      </c>
      <c r="C3" s="18">
        <v>2.0</v>
      </c>
      <c r="D3" s="19" t="s">
        <v>10</v>
      </c>
      <c r="E3" s="19">
        <v>20.5</v>
      </c>
      <c r="F3" s="20">
        <v>1.0</v>
      </c>
    </row>
    <row r="4">
      <c r="A4" s="16">
        <v>44917.52658564815</v>
      </c>
      <c r="B4" s="17">
        <v>17.0</v>
      </c>
      <c r="C4" s="18">
        <v>2.0</v>
      </c>
      <c r="D4" s="19" t="s">
        <v>10</v>
      </c>
      <c r="E4" s="19">
        <v>17.0</v>
      </c>
      <c r="F4" s="20">
        <v>1.0</v>
      </c>
    </row>
    <row r="5">
      <c r="A5" s="16">
        <v>44915.818298611106</v>
      </c>
      <c r="B5" s="17">
        <v>75.0</v>
      </c>
      <c r="C5" s="18">
        <v>3.0</v>
      </c>
      <c r="D5" s="19" t="s">
        <v>10</v>
      </c>
      <c r="E5" s="19">
        <v>75.0</v>
      </c>
      <c r="F5" s="20">
        <v>1.0</v>
      </c>
    </row>
    <row r="6">
      <c r="A6" s="16">
        <v>44916.702835648146</v>
      </c>
      <c r="B6" s="17">
        <v>96.52</v>
      </c>
      <c r="C6" s="18">
        <v>5.0</v>
      </c>
      <c r="D6" s="19" t="s">
        <v>10</v>
      </c>
      <c r="E6" s="19">
        <v>96.52</v>
      </c>
      <c r="F6" s="20">
        <v>1.0</v>
      </c>
    </row>
    <row r="7">
      <c r="A7" s="16">
        <v>44913.53150462963</v>
      </c>
      <c r="B7" s="17">
        <v>1.3</v>
      </c>
      <c r="C7" s="18">
        <v>2.0</v>
      </c>
      <c r="D7" s="19" t="s">
        <v>10</v>
      </c>
      <c r="E7" s="19">
        <v>1.3</v>
      </c>
      <c r="F7" s="20">
        <v>1.0</v>
      </c>
    </row>
    <row r="8">
      <c r="A8" s="16">
        <v>44912.55907407407</v>
      </c>
      <c r="B8" s="17">
        <v>6.1</v>
      </c>
      <c r="C8" s="18">
        <v>2.0</v>
      </c>
      <c r="D8" s="19" t="s">
        <v>10</v>
      </c>
      <c r="E8" s="19">
        <v>6.1</v>
      </c>
      <c r="F8" s="20">
        <v>1.0</v>
      </c>
    </row>
    <row r="9">
      <c r="A9" s="16">
        <v>44912.52657407407</v>
      </c>
      <c r="B9" s="17">
        <v>0.1</v>
      </c>
      <c r="C9" s="18">
        <v>2.0</v>
      </c>
      <c r="D9" s="19" t="s">
        <v>10</v>
      </c>
      <c r="E9" s="19">
        <v>0.1</v>
      </c>
      <c r="F9" s="20">
        <v>1.0</v>
      </c>
    </row>
    <row r="10">
      <c r="A10" s="16">
        <v>44912.52594907407</v>
      </c>
      <c r="B10" s="17">
        <v>12.6</v>
      </c>
      <c r="C10" s="18">
        <v>2.0</v>
      </c>
      <c r="D10" s="19" t="s">
        <v>10</v>
      </c>
      <c r="E10" s="19">
        <v>12.6</v>
      </c>
      <c r="F10" s="20">
        <v>1.0</v>
      </c>
    </row>
    <row r="11">
      <c r="A11" s="16">
        <v>44911.60055555556</v>
      </c>
      <c r="B11" s="17">
        <v>8.4</v>
      </c>
      <c r="C11" s="18">
        <v>2.0</v>
      </c>
      <c r="D11" s="19" t="s">
        <v>10</v>
      </c>
      <c r="E11" s="19">
        <v>8.4</v>
      </c>
      <c r="F11" s="20">
        <v>1.0</v>
      </c>
    </row>
    <row r="12">
      <c r="A12" s="16">
        <v>44910.56533564815</v>
      </c>
      <c r="B12" s="17">
        <v>6.75</v>
      </c>
      <c r="C12" s="18">
        <v>2.0</v>
      </c>
      <c r="D12" s="19" t="s">
        <v>10</v>
      </c>
      <c r="E12" s="19">
        <v>6.75</v>
      </c>
      <c r="F12" s="20">
        <v>1.0</v>
      </c>
    </row>
    <row r="13">
      <c r="A13" s="16">
        <v>44910.56425925926</v>
      </c>
      <c r="B13" s="17">
        <v>5.8</v>
      </c>
      <c r="C13" s="18">
        <v>2.0</v>
      </c>
      <c r="D13" s="19" t="s">
        <v>10</v>
      </c>
      <c r="E13" s="19">
        <v>5.8</v>
      </c>
      <c r="F13" s="20">
        <v>1.0</v>
      </c>
    </row>
    <row r="14">
      <c r="A14" s="16">
        <v>44908.920590277776</v>
      </c>
      <c r="B14" s="17">
        <v>185.75</v>
      </c>
      <c r="C14" s="18">
        <v>5.0</v>
      </c>
      <c r="D14" s="19" t="s">
        <v>10</v>
      </c>
      <c r="E14" s="19">
        <v>185.75</v>
      </c>
      <c r="F14" s="20">
        <v>1.0</v>
      </c>
    </row>
    <row r="15">
      <c r="A15" s="16">
        <v>44906.54765046296</v>
      </c>
      <c r="B15" s="17">
        <v>9.5</v>
      </c>
      <c r="C15" s="18">
        <v>2.0</v>
      </c>
      <c r="D15" s="19" t="s">
        <v>10</v>
      </c>
      <c r="E15" s="19">
        <v>9.5</v>
      </c>
      <c r="F15" s="20">
        <v>1.0</v>
      </c>
    </row>
    <row r="16">
      <c r="A16" s="16">
        <v>44906.532997685186</v>
      </c>
      <c r="B16" s="17">
        <v>4.1</v>
      </c>
      <c r="C16" s="18">
        <v>2.0</v>
      </c>
      <c r="D16" s="19" t="s">
        <v>10</v>
      </c>
      <c r="E16" s="19">
        <v>4.1</v>
      </c>
      <c r="F16" s="20">
        <v>1.0</v>
      </c>
    </row>
    <row r="17">
      <c r="A17" s="16">
        <v>44905.58118055556</v>
      </c>
      <c r="B17" s="17">
        <v>4.3</v>
      </c>
      <c r="C17" s="18">
        <v>2.0</v>
      </c>
      <c r="D17" s="19" t="s">
        <v>10</v>
      </c>
      <c r="E17" s="19">
        <v>4.3</v>
      </c>
      <c r="F17" s="20">
        <v>1.0</v>
      </c>
    </row>
    <row r="18">
      <c r="A18" s="16">
        <v>44905.56113425926</v>
      </c>
      <c r="B18" s="17">
        <v>1.3</v>
      </c>
      <c r="C18" s="18">
        <v>2.0</v>
      </c>
      <c r="D18" s="19" t="s">
        <v>10</v>
      </c>
      <c r="E18" s="19">
        <v>1.3</v>
      </c>
      <c r="F18" s="20">
        <v>1.0</v>
      </c>
    </row>
    <row r="19">
      <c r="A19" s="16">
        <v>44905.468946759254</v>
      </c>
      <c r="B19" s="17">
        <v>12.3</v>
      </c>
      <c r="C19" s="18">
        <v>2.0</v>
      </c>
      <c r="D19" s="19" t="s">
        <v>10</v>
      </c>
      <c r="E19" s="19">
        <v>12.3</v>
      </c>
      <c r="F19" s="20">
        <v>1.0</v>
      </c>
    </row>
    <row r="20">
      <c r="A20" s="16">
        <v>44903.58361111111</v>
      </c>
      <c r="B20" s="17">
        <v>5.0</v>
      </c>
      <c r="C20" s="18">
        <v>2.0</v>
      </c>
      <c r="D20" s="19" t="s">
        <v>10</v>
      </c>
      <c r="E20" s="19">
        <v>5.0</v>
      </c>
      <c r="F20" s="20">
        <v>1.0</v>
      </c>
    </row>
    <row r="21">
      <c r="A21" s="16">
        <v>44903.58168981482</v>
      </c>
      <c r="B21" s="17">
        <v>7.7</v>
      </c>
      <c r="C21" s="18">
        <v>2.0</v>
      </c>
      <c r="D21" s="19" t="s">
        <v>10</v>
      </c>
      <c r="E21" s="19">
        <v>7.7</v>
      </c>
      <c r="F21" s="20">
        <v>1.0</v>
      </c>
    </row>
    <row r="22">
      <c r="A22" s="16">
        <v>44899.556122685186</v>
      </c>
      <c r="B22" s="17">
        <v>17.4</v>
      </c>
      <c r="C22" s="18">
        <v>2.0</v>
      </c>
      <c r="D22" s="19" t="s">
        <v>10</v>
      </c>
      <c r="E22" s="19">
        <v>17.4</v>
      </c>
      <c r="F22" s="20">
        <v>1.0</v>
      </c>
    </row>
    <row r="23">
      <c r="A23" s="16">
        <v>44897.58233796296</v>
      </c>
      <c r="B23" s="17">
        <v>7.3</v>
      </c>
      <c r="C23" s="18">
        <v>2.0</v>
      </c>
      <c r="D23" s="19" t="s">
        <v>10</v>
      </c>
      <c r="E23" s="19">
        <v>7.3</v>
      </c>
      <c r="F23" s="20">
        <v>1.0</v>
      </c>
    </row>
    <row r="24">
      <c r="A24" s="16">
        <v>44897.56538194444</v>
      </c>
      <c r="B24" s="17">
        <v>7.95</v>
      </c>
      <c r="C24" s="18">
        <v>2.0</v>
      </c>
      <c r="D24" s="19" t="s">
        <v>10</v>
      </c>
      <c r="E24" s="19">
        <v>7.95</v>
      </c>
      <c r="F24" s="20">
        <v>1.0</v>
      </c>
    </row>
    <row r="25">
      <c r="A25" s="16">
        <v>44896.56606481482</v>
      </c>
      <c r="B25" s="17">
        <v>6.4</v>
      </c>
      <c r="C25" s="18">
        <v>2.0</v>
      </c>
      <c r="D25" s="19" t="s">
        <v>10</v>
      </c>
      <c r="E25" s="19">
        <v>6.4</v>
      </c>
      <c r="F25" s="20">
        <v>1.0</v>
      </c>
    </row>
    <row r="26">
      <c r="A26" s="16">
        <v>44892.59351851852</v>
      </c>
      <c r="B26" s="17">
        <v>5.0</v>
      </c>
      <c r="C26" s="18">
        <v>2.0</v>
      </c>
      <c r="D26" s="19" t="s">
        <v>10</v>
      </c>
      <c r="E26" s="19">
        <v>5.0</v>
      </c>
      <c r="F26" s="20">
        <v>1.0</v>
      </c>
    </row>
    <row r="27">
      <c r="A27" s="16">
        <v>44892.592094907406</v>
      </c>
      <c r="B27" s="17">
        <v>3.1</v>
      </c>
      <c r="C27" s="18">
        <v>2.0</v>
      </c>
      <c r="D27" s="19" t="s">
        <v>10</v>
      </c>
      <c r="E27" s="19">
        <v>3.1</v>
      </c>
      <c r="F27" s="20">
        <v>1.0</v>
      </c>
    </row>
    <row r="28">
      <c r="A28" s="16">
        <v>44892.592094907406</v>
      </c>
      <c r="B28" s="17">
        <v>1.3</v>
      </c>
      <c r="C28" s="18">
        <v>2.0</v>
      </c>
      <c r="D28" s="19" t="s">
        <v>10</v>
      </c>
      <c r="E28" s="19">
        <v>1.3</v>
      </c>
      <c r="F28" s="20">
        <v>1.0</v>
      </c>
    </row>
    <row r="29">
      <c r="A29" s="16">
        <v>44892.59090277778</v>
      </c>
      <c r="B29" s="17">
        <v>10.0</v>
      </c>
      <c r="C29" s="18">
        <v>2.0</v>
      </c>
      <c r="D29" s="19" t="s">
        <v>10</v>
      </c>
      <c r="E29" s="19">
        <v>10.0</v>
      </c>
      <c r="F29" s="20">
        <v>1.0</v>
      </c>
    </row>
    <row r="30">
      <c r="A30" s="16">
        <v>44891.4365162037</v>
      </c>
      <c r="B30" s="17">
        <v>17.9</v>
      </c>
      <c r="C30" s="18">
        <v>2.0</v>
      </c>
      <c r="D30" s="19" t="s">
        <v>10</v>
      </c>
      <c r="E30" s="19">
        <v>17.9</v>
      </c>
      <c r="F30" s="20">
        <v>1.0</v>
      </c>
    </row>
    <row r="31">
      <c r="A31" s="16">
        <v>44890.57130787037</v>
      </c>
      <c r="B31" s="17">
        <v>5.5</v>
      </c>
      <c r="C31" s="18">
        <v>2.0</v>
      </c>
      <c r="D31" s="19" t="s">
        <v>10</v>
      </c>
      <c r="E31" s="19">
        <v>5.5</v>
      </c>
      <c r="F31" s="20">
        <v>1.0</v>
      </c>
    </row>
    <row r="32">
      <c r="A32" s="16">
        <v>44890.5472337963</v>
      </c>
      <c r="B32" s="17">
        <v>4.2</v>
      </c>
      <c r="C32" s="18">
        <v>2.0</v>
      </c>
      <c r="D32" s="19" t="s">
        <v>10</v>
      </c>
      <c r="E32" s="19">
        <v>4.2</v>
      </c>
      <c r="F32" s="20">
        <v>1.0</v>
      </c>
    </row>
    <row r="33">
      <c r="A33" s="16">
        <v>44889.58640046296</v>
      </c>
      <c r="B33" s="17">
        <v>4.2</v>
      </c>
      <c r="C33" s="18">
        <v>2.0</v>
      </c>
      <c r="D33" s="19" t="s">
        <v>10</v>
      </c>
      <c r="E33" s="19">
        <v>4.2</v>
      </c>
      <c r="F33" s="20">
        <v>1.0</v>
      </c>
    </row>
    <row r="34">
      <c r="A34" s="16">
        <v>44889.50722222222</v>
      </c>
      <c r="B34" s="17">
        <v>161.02</v>
      </c>
      <c r="C34" s="18">
        <v>5.0</v>
      </c>
      <c r="D34" s="19" t="s">
        <v>10</v>
      </c>
      <c r="E34" s="19">
        <v>161.02</v>
      </c>
      <c r="F34" s="20">
        <v>1.0</v>
      </c>
    </row>
    <row r="35">
      <c r="A35" s="16">
        <v>44885.560706018514</v>
      </c>
      <c r="B35" s="17">
        <v>3.0</v>
      </c>
      <c r="C35" s="18">
        <v>2.0</v>
      </c>
      <c r="D35" s="19" t="s">
        <v>10</v>
      </c>
      <c r="E35" s="19">
        <v>3.0</v>
      </c>
      <c r="F35" s="20">
        <v>1.0</v>
      </c>
    </row>
    <row r="36">
      <c r="A36" s="16">
        <v>44882.18960648148</v>
      </c>
      <c r="B36" s="17">
        <v>225.0</v>
      </c>
      <c r="C36" s="18">
        <v>4.0</v>
      </c>
      <c r="D36" s="19" t="s">
        <v>10</v>
      </c>
      <c r="E36" s="19">
        <v>225.0</v>
      </c>
      <c r="F36" s="20">
        <v>1.0</v>
      </c>
    </row>
    <row r="37">
      <c r="A37" s="16">
        <v>44882.188935185186</v>
      </c>
      <c r="B37" s="17">
        <v>25.0</v>
      </c>
      <c r="C37" s="18">
        <v>4.0</v>
      </c>
      <c r="D37" s="19" t="s">
        <v>10</v>
      </c>
      <c r="E37" s="19">
        <v>25.0</v>
      </c>
      <c r="F37" s="20">
        <v>1.0</v>
      </c>
    </row>
    <row r="38">
      <c r="A38" s="16">
        <v>44871.58184027778</v>
      </c>
      <c r="B38" s="17">
        <v>3.0</v>
      </c>
      <c r="C38" s="18">
        <v>2.0</v>
      </c>
      <c r="D38" s="19" t="s">
        <v>11</v>
      </c>
      <c r="E38" s="19">
        <v>3.0</v>
      </c>
      <c r="F38" s="20">
        <v>1.0</v>
      </c>
    </row>
    <row r="39">
      <c r="A39" s="16">
        <v>44870.571851851855</v>
      </c>
      <c r="B39" s="17">
        <v>15.3</v>
      </c>
      <c r="C39" s="18">
        <v>2.0</v>
      </c>
      <c r="D39" s="19" t="s">
        <v>11</v>
      </c>
      <c r="E39" s="19">
        <v>15.3</v>
      </c>
      <c r="F39" s="20">
        <v>1.0</v>
      </c>
    </row>
    <row r="40">
      <c r="A40" s="16">
        <v>44869.59862268518</v>
      </c>
      <c r="B40" s="17">
        <v>6.2</v>
      </c>
      <c r="C40" s="18">
        <v>2.0</v>
      </c>
      <c r="D40" s="19" t="s">
        <v>11</v>
      </c>
      <c r="E40" s="19">
        <v>6.2</v>
      </c>
      <c r="F40" s="20">
        <v>1.0</v>
      </c>
    </row>
    <row r="41">
      <c r="A41" s="16">
        <v>44868.484872685185</v>
      </c>
      <c r="B41" s="17">
        <v>10.0</v>
      </c>
      <c r="C41" s="18">
        <v>2.0</v>
      </c>
      <c r="D41" s="19" t="s">
        <v>11</v>
      </c>
      <c r="E41" s="19">
        <v>10.0</v>
      </c>
      <c r="F41" s="20">
        <v>1.0</v>
      </c>
    </row>
    <row r="42">
      <c r="A42" s="16">
        <v>44864.43746527778</v>
      </c>
      <c r="B42" s="17">
        <v>12.8</v>
      </c>
      <c r="C42" s="18">
        <v>2.0</v>
      </c>
      <c r="D42" s="19" t="s">
        <v>11</v>
      </c>
      <c r="E42" s="19">
        <v>12.8</v>
      </c>
      <c r="F42" s="20">
        <v>1.0</v>
      </c>
    </row>
    <row r="43">
      <c r="A43" s="16">
        <v>44863.47922453703</v>
      </c>
      <c r="B43" s="17">
        <v>16.1</v>
      </c>
      <c r="C43" s="18">
        <v>2.0</v>
      </c>
      <c r="D43" s="19" t="s">
        <v>11</v>
      </c>
      <c r="E43" s="19">
        <v>16.1</v>
      </c>
      <c r="F43" s="20">
        <v>1.0</v>
      </c>
    </row>
    <row r="44">
      <c r="A44" s="16">
        <v>44862.510150462964</v>
      </c>
      <c r="B44" s="17">
        <v>7.2</v>
      </c>
      <c r="C44" s="18">
        <v>2.0</v>
      </c>
      <c r="D44" s="19" t="s">
        <v>11</v>
      </c>
      <c r="E44" s="19">
        <v>7.2</v>
      </c>
      <c r="F44" s="20">
        <v>1.0</v>
      </c>
    </row>
    <row r="45">
      <c r="A45" s="16">
        <v>44861.51761574074</v>
      </c>
      <c r="B45" s="17">
        <v>3.0</v>
      </c>
      <c r="C45" s="18">
        <v>2.0</v>
      </c>
      <c r="D45" s="19" t="s">
        <v>11</v>
      </c>
      <c r="E45" s="19">
        <v>3.0</v>
      </c>
      <c r="F45" s="20">
        <v>1.0</v>
      </c>
    </row>
    <row r="46">
      <c r="A46" s="16">
        <v>44856.413136574076</v>
      </c>
      <c r="B46" s="17">
        <v>16.6</v>
      </c>
      <c r="C46" s="18">
        <v>2.0</v>
      </c>
      <c r="D46" s="19" t="s">
        <v>11</v>
      </c>
      <c r="E46" s="19">
        <v>16.6</v>
      </c>
      <c r="F46" s="20">
        <v>1.0</v>
      </c>
    </row>
    <row r="47">
      <c r="A47" s="16">
        <v>44855.48243055555</v>
      </c>
      <c r="B47" s="17">
        <v>6.25</v>
      </c>
      <c r="C47" s="18">
        <v>2.0</v>
      </c>
      <c r="D47" s="19" t="s">
        <v>11</v>
      </c>
      <c r="E47" s="19">
        <v>6.25</v>
      </c>
      <c r="F47" s="20">
        <v>1.0</v>
      </c>
    </row>
    <row r="48">
      <c r="A48" s="16">
        <v>44854.52428240741</v>
      </c>
      <c r="B48" s="17">
        <v>13.9</v>
      </c>
      <c r="C48" s="18">
        <v>2.0</v>
      </c>
      <c r="D48" s="19" t="s">
        <v>11</v>
      </c>
      <c r="E48" s="19">
        <v>13.9</v>
      </c>
      <c r="F48" s="20">
        <v>1.0</v>
      </c>
    </row>
    <row r="49">
      <c r="A49" s="16">
        <v>44855.71383101852</v>
      </c>
      <c r="B49" s="17">
        <v>50.0</v>
      </c>
      <c r="C49" s="18">
        <v>3.0</v>
      </c>
      <c r="D49" s="19" t="s">
        <v>11</v>
      </c>
      <c r="E49" s="19">
        <v>50.0</v>
      </c>
      <c r="F49" s="20">
        <v>1.0</v>
      </c>
    </row>
    <row r="50">
      <c r="A50" s="16">
        <v>44848.02658564815</v>
      </c>
      <c r="B50" s="17">
        <v>13000.0</v>
      </c>
      <c r="C50" s="18">
        <v>4.0</v>
      </c>
      <c r="D50" s="19" t="s">
        <v>11</v>
      </c>
      <c r="E50" s="19">
        <v>13000.0</v>
      </c>
      <c r="F50" s="20">
        <v>1.0</v>
      </c>
    </row>
    <row r="51">
      <c r="A51" s="16">
        <v>44843.93986111111</v>
      </c>
      <c r="B51" s="17">
        <v>155.07</v>
      </c>
      <c r="C51" s="18">
        <v>4.0</v>
      </c>
      <c r="D51" s="19" t="s">
        <v>11</v>
      </c>
      <c r="E51" s="19">
        <v>155.07</v>
      </c>
      <c r="F51" s="20">
        <v>1.0</v>
      </c>
    </row>
    <row r="52">
      <c r="A52" s="16">
        <v>44836.92371527778</v>
      </c>
      <c r="B52" s="17">
        <v>33.47</v>
      </c>
      <c r="C52" s="18">
        <v>4.0</v>
      </c>
      <c r="D52" s="19" t="s">
        <v>11</v>
      </c>
      <c r="E52" s="19">
        <v>33.47</v>
      </c>
      <c r="F52" s="20">
        <v>1.0</v>
      </c>
    </row>
    <row r="53">
      <c r="A53" s="16">
        <v>44836.923414351855</v>
      </c>
      <c r="B53" s="17">
        <v>34.0</v>
      </c>
      <c r="C53" s="18">
        <v>4.0</v>
      </c>
      <c r="D53" s="19" t="s">
        <v>11</v>
      </c>
      <c r="E53" s="19">
        <v>34.0</v>
      </c>
      <c r="F53" s="20">
        <v>1.0</v>
      </c>
    </row>
    <row r="54">
      <c r="A54" s="16">
        <v>44841.48767361111</v>
      </c>
      <c r="B54" s="17">
        <v>155.05</v>
      </c>
      <c r="C54" s="18">
        <v>5.0</v>
      </c>
      <c r="D54" s="19" t="s">
        <v>11</v>
      </c>
      <c r="E54" s="19">
        <v>155.05</v>
      </c>
      <c r="F54" s="20">
        <v>1.0</v>
      </c>
    </row>
    <row r="55">
      <c r="A55" s="16">
        <v>44836.57069444444</v>
      </c>
      <c r="B55" s="17">
        <v>10.0</v>
      </c>
      <c r="C55" s="18">
        <v>2.0</v>
      </c>
      <c r="D55" s="19" t="s">
        <v>11</v>
      </c>
      <c r="E55" s="19">
        <v>10.0</v>
      </c>
      <c r="F55" s="20">
        <v>1.0</v>
      </c>
    </row>
    <row r="56">
      <c r="A56" s="16">
        <v>44836.57015046296</v>
      </c>
      <c r="B56" s="17">
        <v>5.8</v>
      </c>
      <c r="C56" s="18">
        <v>2.0</v>
      </c>
      <c r="D56" s="19" t="s">
        <v>11</v>
      </c>
      <c r="E56" s="19">
        <v>5.8</v>
      </c>
      <c r="F56" s="20">
        <v>1.0</v>
      </c>
    </row>
    <row r="57">
      <c r="A57" s="16">
        <v>44834.531909722224</v>
      </c>
      <c r="B57" s="17">
        <v>3.0</v>
      </c>
      <c r="C57" s="18">
        <v>2.0</v>
      </c>
      <c r="D57" s="19" t="s">
        <v>11</v>
      </c>
      <c r="E57" s="19">
        <v>3.0</v>
      </c>
      <c r="F57" s="20">
        <v>1.0</v>
      </c>
    </row>
    <row r="58">
      <c r="A58" s="16">
        <v>44834.53063657407</v>
      </c>
      <c r="B58" s="17">
        <v>3.0</v>
      </c>
      <c r="C58" s="18">
        <v>2.0</v>
      </c>
      <c r="D58" s="19" t="s">
        <v>11</v>
      </c>
      <c r="E58" s="19">
        <v>3.0</v>
      </c>
      <c r="F58" s="20">
        <v>1.0</v>
      </c>
    </row>
    <row r="59">
      <c r="A59" s="16">
        <v>44834.51730324074</v>
      </c>
      <c r="B59" s="17">
        <v>4.5</v>
      </c>
      <c r="C59" s="18">
        <v>2.0</v>
      </c>
      <c r="D59" s="19" t="s">
        <v>11</v>
      </c>
      <c r="E59" s="19">
        <v>4.5</v>
      </c>
      <c r="F59" s="20">
        <v>1.0</v>
      </c>
    </row>
    <row r="60">
      <c r="A60" s="16">
        <v>44833.55574074074</v>
      </c>
      <c r="B60" s="17">
        <v>7.16</v>
      </c>
      <c r="C60" s="18">
        <v>2.0</v>
      </c>
      <c r="D60" s="19" t="s">
        <v>11</v>
      </c>
      <c r="E60" s="19">
        <v>7.16</v>
      </c>
      <c r="F60" s="20">
        <v>1.0</v>
      </c>
    </row>
    <row r="61">
      <c r="A61" s="16">
        <v>44831.75675925926</v>
      </c>
      <c r="B61" s="17">
        <v>34.0</v>
      </c>
      <c r="C61" s="18">
        <v>3.0</v>
      </c>
      <c r="D61" s="19" t="s">
        <v>11</v>
      </c>
      <c r="E61" s="19">
        <v>34.0</v>
      </c>
      <c r="F61" s="20">
        <v>1.0</v>
      </c>
    </row>
    <row r="62">
      <c r="A62" s="16">
        <v>44829.89949074074</v>
      </c>
      <c r="B62" s="17">
        <v>99.99</v>
      </c>
      <c r="C62" s="18">
        <v>4.0</v>
      </c>
      <c r="D62" s="19" t="s">
        <v>11</v>
      </c>
      <c r="E62" s="19">
        <v>99.99</v>
      </c>
      <c r="F62" s="20">
        <v>1.0</v>
      </c>
    </row>
    <row r="63">
      <c r="A63" s="16">
        <v>44829.54827546296</v>
      </c>
      <c r="B63" s="17">
        <v>12.0</v>
      </c>
      <c r="C63" s="18">
        <v>2.0</v>
      </c>
      <c r="D63" s="19" t="s">
        <v>11</v>
      </c>
      <c r="E63" s="19">
        <v>12.0</v>
      </c>
      <c r="F63" s="20">
        <v>1.0</v>
      </c>
    </row>
    <row r="64">
      <c r="A64" s="16">
        <v>44829.54597222222</v>
      </c>
      <c r="B64" s="17">
        <v>5.3</v>
      </c>
      <c r="C64" s="18">
        <v>2.0</v>
      </c>
      <c r="D64" s="19" t="s">
        <v>11</v>
      </c>
      <c r="E64" s="19">
        <v>5.3</v>
      </c>
      <c r="F64" s="20">
        <v>1.0</v>
      </c>
    </row>
    <row r="65">
      <c r="A65" s="16">
        <v>44828.54456018518</v>
      </c>
      <c r="B65" s="17">
        <v>13.0</v>
      </c>
      <c r="C65" s="18">
        <v>2.0</v>
      </c>
      <c r="D65" s="19" t="s">
        <v>11</v>
      </c>
      <c r="E65" s="19">
        <v>13.0</v>
      </c>
      <c r="F65" s="20">
        <v>1.0</v>
      </c>
    </row>
    <row r="66">
      <c r="A66" s="16">
        <v>44827.531423611115</v>
      </c>
      <c r="B66" s="17">
        <v>7.5</v>
      </c>
      <c r="C66" s="18">
        <v>2.0</v>
      </c>
      <c r="D66" s="19" t="s">
        <v>11</v>
      </c>
      <c r="E66" s="19">
        <v>7.5</v>
      </c>
      <c r="F66" s="20">
        <v>1.0</v>
      </c>
    </row>
    <row r="67">
      <c r="A67" s="16">
        <v>44826.552199074074</v>
      </c>
      <c r="B67" s="17">
        <v>5.5</v>
      </c>
      <c r="C67" s="18">
        <v>2.0</v>
      </c>
      <c r="D67" s="19" t="s">
        <v>11</v>
      </c>
      <c r="E67" s="19">
        <v>5.5</v>
      </c>
      <c r="F67" s="20">
        <v>1.0</v>
      </c>
    </row>
    <row r="68">
      <c r="A68" s="16">
        <v>44823.95327546296</v>
      </c>
      <c r="B68" s="17">
        <v>8.08798426</v>
      </c>
      <c r="C68" s="18">
        <v>4.0</v>
      </c>
      <c r="D68" s="19" t="s">
        <v>11</v>
      </c>
      <c r="E68" s="19">
        <v>8.08798426</v>
      </c>
      <c r="F68" s="20">
        <v>1.0</v>
      </c>
    </row>
    <row r="69">
      <c r="A69" s="16">
        <v>44823.95240740741</v>
      </c>
      <c r="B69" s="17">
        <v>41.7</v>
      </c>
      <c r="C69" s="18">
        <v>4.0</v>
      </c>
      <c r="D69" s="19" t="s">
        <v>11</v>
      </c>
      <c r="E69" s="19">
        <v>41.7</v>
      </c>
      <c r="F69" s="20">
        <v>1.0</v>
      </c>
    </row>
    <row r="70">
      <c r="A70" s="16">
        <v>44822.53549768519</v>
      </c>
      <c r="B70" s="17">
        <v>23.9</v>
      </c>
      <c r="C70" s="18">
        <v>2.0</v>
      </c>
      <c r="D70" s="19" t="s">
        <v>11</v>
      </c>
      <c r="E70" s="19">
        <v>23.9</v>
      </c>
      <c r="F70" s="20">
        <v>1.0</v>
      </c>
    </row>
    <row r="71">
      <c r="A71" s="16">
        <v>44822.52609953703</v>
      </c>
      <c r="B71" s="17">
        <v>18.0</v>
      </c>
      <c r="C71" s="18">
        <v>2.0</v>
      </c>
      <c r="D71" s="19" t="s">
        <v>11</v>
      </c>
      <c r="E71" s="19">
        <v>18.0</v>
      </c>
      <c r="F71" s="20">
        <v>1.0</v>
      </c>
    </row>
    <row r="72">
      <c r="A72" s="16">
        <v>44821.47199074074</v>
      </c>
      <c r="B72" s="17">
        <v>3.0</v>
      </c>
      <c r="C72" s="18">
        <v>2.0</v>
      </c>
      <c r="D72" s="19" t="s">
        <v>11</v>
      </c>
      <c r="E72" s="19">
        <v>3.0</v>
      </c>
      <c r="F72" s="20">
        <v>1.0</v>
      </c>
    </row>
    <row r="73">
      <c r="A73" s="16">
        <v>44821.4712037037</v>
      </c>
      <c r="B73" s="17">
        <v>16.9</v>
      </c>
      <c r="C73" s="18">
        <v>2.0</v>
      </c>
      <c r="D73" s="19" t="s">
        <v>11</v>
      </c>
      <c r="E73" s="19">
        <v>16.9</v>
      </c>
      <c r="F73" s="20">
        <v>1.0</v>
      </c>
    </row>
    <row r="74">
      <c r="A74" s="16">
        <v>44820.46251157408</v>
      </c>
      <c r="B74" s="17">
        <v>4.3</v>
      </c>
      <c r="C74" s="18">
        <v>2.0</v>
      </c>
      <c r="D74" s="19" t="s">
        <v>11</v>
      </c>
      <c r="E74" s="19">
        <v>4.3</v>
      </c>
      <c r="F74" s="20">
        <v>1.0</v>
      </c>
    </row>
    <row r="75">
      <c r="A75" s="16">
        <v>44819.34407407408</v>
      </c>
      <c r="B75" s="17">
        <v>5.6</v>
      </c>
      <c r="C75" s="18">
        <v>2.0</v>
      </c>
      <c r="D75" s="19" t="s">
        <v>11</v>
      </c>
      <c r="E75" s="19">
        <v>5.6</v>
      </c>
      <c r="F75" s="20">
        <v>1.0</v>
      </c>
    </row>
    <row r="76">
      <c r="A76" s="16">
        <v>44815.34100694444</v>
      </c>
      <c r="B76" s="17">
        <v>18.5</v>
      </c>
      <c r="C76" s="18">
        <v>2.0</v>
      </c>
      <c r="D76" s="19" t="s">
        <v>11</v>
      </c>
      <c r="E76" s="19">
        <v>18.5</v>
      </c>
      <c r="F76" s="20">
        <v>1.0</v>
      </c>
    </row>
    <row r="77">
      <c r="A77" s="12">
        <v>44814.78576388889</v>
      </c>
      <c r="B77" s="7">
        <v>136.84</v>
      </c>
      <c r="C77" s="13">
        <v>4.0</v>
      </c>
      <c r="D77" s="14" t="s">
        <v>11</v>
      </c>
      <c r="E77" s="14">
        <v>136.84</v>
      </c>
      <c r="F77" s="15">
        <v>1.0</v>
      </c>
    </row>
    <row r="78">
      <c r="A78" s="12">
        <v>44814.43583333334</v>
      </c>
      <c r="B78" s="7">
        <v>10.1</v>
      </c>
      <c r="C78" s="13">
        <v>2.0</v>
      </c>
      <c r="D78" s="14" t="s">
        <v>11</v>
      </c>
      <c r="E78" s="14">
        <v>10.1</v>
      </c>
      <c r="F78" s="15">
        <v>1.0</v>
      </c>
    </row>
    <row r="79">
      <c r="A79" s="12">
        <v>44813.87446759259</v>
      </c>
      <c r="B79" s="7">
        <v>30.0</v>
      </c>
      <c r="C79" s="13">
        <v>4.0</v>
      </c>
      <c r="D79" s="14" t="s">
        <v>11</v>
      </c>
      <c r="E79" s="14">
        <v>30.0</v>
      </c>
      <c r="F79" s="15">
        <v>1.0</v>
      </c>
    </row>
    <row r="80">
      <c r="A80" s="12">
        <v>44813.756377314814</v>
      </c>
      <c r="B80" s="7">
        <v>29.0</v>
      </c>
      <c r="C80" s="13">
        <v>3.0</v>
      </c>
      <c r="D80" s="14" t="s">
        <v>11</v>
      </c>
      <c r="E80" s="14">
        <v>29.0</v>
      </c>
      <c r="F80" s="15">
        <v>1.0</v>
      </c>
    </row>
    <row r="81">
      <c r="A81" s="12">
        <v>44813.45805555556</v>
      </c>
      <c r="B81" s="7">
        <v>4.5</v>
      </c>
      <c r="C81" s="13">
        <v>2.0</v>
      </c>
      <c r="D81" s="14" t="s">
        <v>11</v>
      </c>
      <c r="E81" s="14">
        <v>4.5</v>
      </c>
      <c r="F81" s="15">
        <v>1.0</v>
      </c>
    </row>
    <row r="82">
      <c r="A82" s="12">
        <v>44812.62673611111</v>
      </c>
      <c r="B82" s="7">
        <v>137.04</v>
      </c>
      <c r="C82" s="13">
        <v>4.0</v>
      </c>
      <c r="D82" s="14" t="s">
        <v>11</v>
      </c>
      <c r="E82" s="14">
        <v>137.04</v>
      </c>
      <c r="F82" s="15">
        <v>1.0</v>
      </c>
    </row>
    <row r="83">
      <c r="A83" s="12">
        <v>44812.31643518519</v>
      </c>
      <c r="B83" s="7">
        <v>2.6</v>
      </c>
      <c r="C83" s="13">
        <v>2.0</v>
      </c>
      <c r="D83" s="14" t="s">
        <v>11</v>
      </c>
      <c r="E83" s="14">
        <v>2.6</v>
      </c>
      <c r="F83" s="15">
        <v>1.0</v>
      </c>
    </row>
    <row r="84">
      <c r="A84" s="12">
        <v>44812.315416666665</v>
      </c>
      <c r="B84" s="7">
        <v>3.0</v>
      </c>
      <c r="C84" s="13">
        <v>2.0</v>
      </c>
      <c r="D84" s="14" t="s">
        <v>11</v>
      </c>
      <c r="E84" s="14">
        <v>3.0</v>
      </c>
      <c r="F84" s="15">
        <v>1.0</v>
      </c>
    </row>
    <row r="85">
      <c r="A85" s="12">
        <v>44808.46851851852</v>
      </c>
      <c r="B85" s="7">
        <v>112.4</v>
      </c>
      <c r="C85" s="13">
        <v>4.0</v>
      </c>
      <c r="D85" s="14" t="s">
        <v>11</v>
      </c>
      <c r="E85" s="14">
        <v>112.4</v>
      </c>
      <c r="F85" s="15">
        <v>1.0</v>
      </c>
    </row>
    <row r="86">
      <c r="A86" s="12">
        <v>44808.39748842592</v>
      </c>
      <c r="B86" s="7">
        <v>9.7</v>
      </c>
      <c r="C86" s="13">
        <v>2.0</v>
      </c>
      <c r="D86" s="14" t="s">
        <v>11</v>
      </c>
      <c r="E86" s="14">
        <v>9.7</v>
      </c>
      <c r="F86" s="15">
        <v>1.0</v>
      </c>
    </row>
    <row r="87">
      <c r="A87" s="12">
        <v>44807.373831018514</v>
      </c>
      <c r="B87" s="7">
        <v>27.0</v>
      </c>
      <c r="C87" s="13">
        <v>2.0</v>
      </c>
      <c r="D87" s="14" t="s">
        <v>11</v>
      </c>
      <c r="E87" s="14">
        <v>27.0</v>
      </c>
      <c r="F87" s="15">
        <v>1.0</v>
      </c>
    </row>
    <row r="88">
      <c r="A88" s="12">
        <v>44806.96091435185</v>
      </c>
      <c r="B88" s="7">
        <v>10.0</v>
      </c>
      <c r="C88" s="13">
        <v>4.0</v>
      </c>
      <c r="D88" s="14" t="s">
        <v>11</v>
      </c>
      <c r="E88" s="14">
        <v>10.0</v>
      </c>
      <c r="F88" s="15">
        <v>1.0</v>
      </c>
    </row>
    <row r="89">
      <c r="A89" s="12">
        <v>44806.750625</v>
      </c>
      <c r="B89" s="7">
        <v>20.0</v>
      </c>
      <c r="C89" s="13">
        <v>4.0</v>
      </c>
      <c r="D89" s="14" t="s">
        <v>11</v>
      </c>
      <c r="E89" s="14">
        <v>20.0</v>
      </c>
      <c r="F89" s="15">
        <v>1.0</v>
      </c>
    </row>
    <row r="90">
      <c r="A90" s="12">
        <v>44805.423043981486</v>
      </c>
      <c r="B90" s="7">
        <v>9.0</v>
      </c>
      <c r="C90" s="13">
        <v>2.0</v>
      </c>
      <c r="D90" s="14" t="s">
        <v>11</v>
      </c>
      <c r="E90" s="14">
        <v>9.0</v>
      </c>
      <c r="F90" s="15">
        <v>1.0</v>
      </c>
    </row>
    <row r="91">
      <c r="A91" s="12">
        <v>44805.41043981482</v>
      </c>
      <c r="B91" s="7">
        <v>7.0</v>
      </c>
      <c r="C91" s="13">
        <v>2.0</v>
      </c>
      <c r="D91" s="14" t="s">
        <v>11</v>
      </c>
      <c r="E91" s="14">
        <v>7.0</v>
      </c>
      <c r="F91" s="15">
        <v>1.0</v>
      </c>
    </row>
    <row r="92">
      <c r="A92" s="12">
        <v>44797.31664351852</v>
      </c>
      <c r="B92" s="7">
        <v>10.8</v>
      </c>
      <c r="C92" s="13">
        <v>2.0</v>
      </c>
      <c r="D92" s="14" t="s">
        <v>11</v>
      </c>
      <c r="E92" s="14">
        <v>10.8</v>
      </c>
      <c r="F92" s="15">
        <v>1.0</v>
      </c>
    </row>
    <row r="93">
      <c r="A93" s="12">
        <v>44795.77930555555</v>
      </c>
      <c r="B93" s="7">
        <v>60.52</v>
      </c>
      <c r="C93" s="13">
        <v>4.0</v>
      </c>
      <c r="D93" s="14" t="s">
        <v>11</v>
      </c>
      <c r="E93" s="14">
        <v>60.52</v>
      </c>
      <c r="F93" s="15">
        <v>1.0</v>
      </c>
    </row>
    <row r="94">
      <c r="A94" s="12">
        <v>44793.337488425925</v>
      </c>
      <c r="B94" s="7">
        <v>21.8</v>
      </c>
      <c r="C94" s="13">
        <v>2.0</v>
      </c>
      <c r="D94" s="14" t="s">
        <v>11</v>
      </c>
      <c r="E94" s="13">
        <v>21.8</v>
      </c>
      <c r="F94" s="15">
        <v>1.0</v>
      </c>
    </row>
    <row r="95">
      <c r="A95" s="12">
        <v>44792.415231481486</v>
      </c>
      <c r="B95" s="7">
        <v>1.3</v>
      </c>
      <c r="C95" s="13">
        <v>2.0</v>
      </c>
      <c r="D95" s="14" t="s">
        <v>11</v>
      </c>
      <c r="E95" s="13">
        <v>1.3</v>
      </c>
      <c r="F95" s="15">
        <v>1.0</v>
      </c>
    </row>
    <row r="96">
      <c r="A96" s="12">
        <v>44792.34773148148</v>
      </c>
      <c r="B96" s="7">
        <v>4.6</v>
      </c>
      <c r="C96" s="13">
        <v>2.0</v>
      </c>
      <c r="D96" s="14" t="s">
        <v>11</v>
      </c>
      <c r="E96" s="13">
        <v>4.6</v>
      </c>
      <c r="F96" s="15">
        <v>1.0</v>
      </c>
    </row>
    <row r="97">
      <c r="A97" s="12">
        <v>44791.44578703704</v>
      </c>
      <c r="B97" s="7">
        <v>11.0</v>
      </c>
      <c r="C97" s="13">
        <v>2.0</v>
      </c>
      <c r="D97" s="14" t="s">
        <v>11</v>
      </c>
      <c r="E97" s="13">
        <v>11.0</v>
      </c>
      <c r="F97" s="15">
        <v>1.0</v>
      </c>
    </row>
    <row r="98">
      <c r="A98" s="12">
        <v>44780.95482638889</v>
      </c>
      <c r="B98" s="7">
        <v>0.5</v>
      </c>
      <c r="C98" s="13">
        <v>4.0</v>
      </c>
      <c r="D98" s="14" t="s">
        <v>11</v>
      </c>
      <c r="E98" s="13">
        <v>0.5</v>
      </c>
      <c r="F98" s="15">
        <v>1.0</v>
      </c>
    </row>
    <row r="99">
      <c r="A99" s="12">
        <v>44780.82545138889</v>
      </c>
      <c r="B99" s="7">
        <v>30.0</v>
      </c>
      <c r="C99" s="13">
        <v>4.0</v>
      </c>
      <c r="D99" s="14" t="s">
        <v>11</v>
      </c>
      <c r="E99" s="13">
        <v>30.0</v>
      </c>
      <c r="F99" s="15">
        <v>1.0</v>
      </c>
    </row>
    <row r="100">
      <c r="A100" s="12">
        <v>44780.40914351852</v>
      </c>
      <c r="B100" s="7">
        <v>23.0</v>
      </c>
      <c r="C100" s="13">
        <v>4.0</v>
      </c>
      <c r="D100" s="14" t="s">
        <v>11</v>
      </c>
      <c r="E100" s="13">
        <v>23.0</v>
      </c>
      <c r="F100" s="15">
        <v>1.0</v>
      </c>
    </row>
    <row r="101">
      <c r="A101" s="12">
        <v>44779.6037037037</v>
      </c>
      <c r="B101" s="7">
        <v>20.0</v>
      </c>
      <c r="C101" s="13">
        <v>4.0</v>
      </c>
      <c r="D101" s="14" t="s">
        <v>11</v>
      </c>
      <c r="E101" s="13">
        <v>20.0</v>
      </c>
      <c r="F101" s="15">
        <v>1.0</v>
      </c>
    </row>
    <row r="102">
      <c r="A102" s="12">
        <v>44774.71737268519</v>
      </c>
      <c r="B102" s="7">
        <v>13.1</v>
      </c>
      <c r="C102" s="13">
        <v>4.0</v>
      </c>
      <c r="D102" s="14" t="s">
        <v>11</v>
      </c>
      <c r="E102" s="13">
        <v>13.1</v>
      </c>
      <c r="F102" s="15">
        <v>1.0</v>
      </c>
    </row>
    <row r="103">
      <c r="A103" s="12">
        <v>44773.210752314815</v>
      </c>
      <c r="B103" s="7">
        <v>13.0</v>
      </c>
      <c r="C103" s="13">
        <v>2.0</v>
      </c>
      <c r="D103" s="14" t="s">
        <v>11</v>
      </c>
      <c r="E103" s="13">
        <v>13.0</v>
      </c>
      <c r="F103" s="15">
        <v>1.0</v>
      </c>
    </row>
    <row r="104">
      <c r="A104" s="12">
        <v>44772.436215277776</v>
      </c>
      <c r="B104" s="7">
        <v>18.0</v>
      </c>
      <c r="C104" s="13">
        <v>2.0</v>
      </c>
      <c r="D104" s="14" t="s">
        <v>11</v>
      </c>
      <c r="E104" s="13">
        <v>18.0</v>
      </c>
      <c r="F104" s="15">
        <v>1.0</v>
      </c>
    </row>
    <row r="105">
      <c r="A105" s="12">
        <v>44771.43690972222</v>
      </c>
      <c r="B105" s="7">
        <v>3.0</v>
      </c>
      <c r="C105" s="13">
        <v>2.0</v>
      </c>
      <c r="D105" s="14" t="s">
        <v>11</v>
      </c>
      <c r="E105" s="13">
        <v>3.0</v>
      </c>
      <c r="F105" s="15">
        <v>1.0</v>
      </c>
    </row>
    <row r="106">
      <c r="A106" s="12">
        <v>44770.31542824074</v>
      </c>
      <c r="B106" s="7">
        <v>3.5</v>
      </c>
      <c r="C106" s="13">
        <v>2.0</v>
      </c>
      <c r="D106" s="14" t="s">
        <v>11</v>
      </c>
      <c r="E106" s="13">
        <v>3.5</v>
      </c>
      <c r="F106" s="15">
        <v>1.0</v>
      </c>
    </row>
    <row r="107">
      <c r="A107" s="12">
        <v>44769.443298611106</v>
      </c>
      <c r="B107" s="7">
        <v>10.8</v>
      </c>
      <c r="C107" s="13">
        <v>2.0</v>
      </c>
      <c r="D107" s="14" t="s">
        <v>11</v>
      </c>
      <c r="E107" s="13">
        <v>10.8</v>
      </c>
      <c r="F107" s="15">
        <v>1.0</v>
      </c>
    </row>
    <row r="108">
      <c r="A108" s="12">
        <v>44767.358206018514</v>
      </c>
      <c r="B108" s="7">
        <v>3.5</v>
      </c>
      <c r="C108" s="13">
        <v>2.0</v>
      </c>
      <c r="D108" s="14" t="s">
        <v>11</v>
      </c>
      <c r="E108" s="13">
        <v>3.5</v>
      </c>
      <c r="F108" s="15">
        <v>1.0</v>
      </c>
    </row>
    <row r="109">
      <c r="A109" s="12">
        <v>44766.891793981486</v>
      </c>
      <c r="B109" s="7">
        <v>19.2</v>
      </c>
      <c r="C109" s="13">
        <v>4.0</v>
      </c>
      <c r="D109" s="14" t="s">
        <v>11</v>
      </c>
      <c r="E109" s="13">
        <v>19.2</v>
      </c>
      <c r="F109" s="15">
        <v>1.0</v>
      </c>
    </row>
    <row r="110">
      <c r="A110" s="12">
        <v>44766.54278935185</v>
      </c>
      <c r="B110" s="7">
        <v>16.2</v>
      </c>
      <c r="C110" s="13">
        <v>2.0</v>
      </c>
      <c r="D110" s="14" t="s">
        <v>11</v>
      </c>
      <c r="E110" s="13">
        <v>16.2</v>
      </c>
      <c r="F110" s="15">
        <v>1.0</v>
      </c>
    </row>
    <row r="111">
      <c r="A111" s="12">
        <v>44764.484548611115</v>
      </c>
      <c r="B111" s="7">
        <v>3.0</v>
      </c>
      <c r="C111" s="13">
        <v>2.0</v>
      </c>
      <c r="D111" s="14" t="s">
        <v>11</v>
      </c>
      <c r="E111" s="13">
        <v>3.0</v>
      </c>
      <c r="F111" s="15">
        <v>1.0</v>
      </c>
    </row>
    <row r="112">
      <c r="A112" s="12">
        <v>44759.537986111114</v>
      </c>
      <c r="B112" s="7">
        <v>15.0</v>
      </c>
      <c r="C112" s="13">
        <v>2.0</v>
      </c>
      <c r="D112" s="14" t="s">
        <v>11</v>
      </c>
      <c r="E112" s="13">
        <v>15.0</v>
      </c>
      <c r="F112" s="15">
        <v>1.0</v>
      </c>
    </row>
    <row r="113">
      <c r="A113" s="12">
        <v>44758.51163194445</v>
      </c>
      <c r="B113" s="7">
        <v>8.19999999</v>
      </c>
      <c r="C113" s="13">
        <v>2.0</v>
      </c>
      <c r="D113" s="14" t="s">
        <v>11</v>
      </c>
      <c r="E113" s="13">
        <v>8.19999999</v>
      </c>
      <c r="F113" s="15">
        <v>1.0</v>
      </c>
    </row>
    <row r="114">
      <c r="A114" s="12">
        <v>44756.403715277775</v>
      </c>
      <c r="B114" s="7">
        <v>7.05</v>
      </c>
      <c r="C114" s="13">
        <v>2.0</v>
      </c>
      <c r="D114" s="14" t="s">
        <v>11</v>
      </c>
      <c r="E114" s="13">
        <v>7.05</v>
      </c>
      <c r="F114" s="15">
        <v>1.0</v>
      </c>
    </row>
    <row r="115">
      <c r="A115" s="12">
        <v>44755.44262731481</v>
      </c>
      <c r="B115" s="7">
        <v>3.5</v>
      </c>
      <c r="C115" s="13">
        <v>2.0</v>
      </c>
      <c r="D115" s="14" t="s">
        <v>11</v>
      </c>
      <c r="E115" s="13">
        <v>3.5</v>
      </c>
      <c r="F115" s="15">
        <v>1.0</v>
      </c>
    </row>
    <row r="116">
      <c r="A116" s="12">
        <v>44751.4221875</v>
      </c>
      <c r="B116" s="7">
        <v>11.0</v>
      </c>
      <c r="C116" s="13">
        <v>2.0</v>
      </c>
      <c r="D116" s="14" t="s">
        <v>11</v>
      </c>
      <c r="E116" s="13">
        <v>11.0</v>
      </c>
      <c r="F116" s="15">
        <v>1.0</v>
      </c>
    </row>
    <row r="117">
      <c r="A117" s="12">
        <v>44749.50597222222</v>
      </c>
      <c r="B117" s="7">
        <v>5.8</v>
      </c>
      <c r="C117" s="13">
        <v>2.0</v>
      </c>
      <c r="D117" s="14" t="s">
        <v>11</v>
      </c>
      <c r="E117" s="13">
        <v>5.8</v>
      </c>
      <c r="F117" s="15">
        <v>1.0</v>
      </c>
    </row>
    <row r="118">
      <c r="A118" s="12">
        <v>44748.50372685185</v>
      </c>
      <c r="B118" s="7">
        <v>9.19999999</v>
      </c>
      <c r="C118" s="13">
        <v>2.0</v>
      </c>
      <c r="D118" s="14" t="s">
        <v>11</v>
      </c>
      <c r="E118" s="13">
        <v>9.19999999</v>
      </c>
      <c r="F118" s="15">
        <v>1.0</v>
      </c>
    </row>
    <row r="119">
      <c r="A119" s="12">
        <v>44744.52138888889</v>
      </c>
      <c r="B119" s="7">
        <v>7.2</v>
      </c>
      <c r="C119" s="13">
        <v>2.0</v>
      </c>
      <c r="D119" s="14" t="s">
        <v>11</v>
      </c>
      <c r="E119" s="13">
        <v>7.2</v>
      </c>
      <c r="F119" s="15">
        <v>1.0</v>
      </c>
    </row>
    <row r="120">
      <c r="A120" s="12">
        <v>44743.52328703704</v>
      </c>
      <c r="B120" s="7">
        <v>6.6</v>
      </c>
      <c r="C120" s="13">
        <v>2.0</v>
      </c>
      <c r="D120" s="14" t="s">
        <v>11</v>
      </c>
      <c r="E120" s="13">
        <v>6.6</v>
      </c>
      <c r="F120" s="15">
        <v>1.0</v>
      </c>
    </row>
    <row r="121">
      <c r="A121" s="12">
        <v>44742.34605324074</v>
      </c>
      <c r="B121" s="7">
        <v>8.3</v>
      </c>
      <c r="C121" s="13">
        <v>2.0</v>
      </c>
      <c r="D121" s="14" t="s">
        <v>11</v>
      </c>
      <c r="E121" s="13">
        <v>8.3</v>
      </c>
      <c r="F121" s="15">
        <v>1.0</v>
      </c>
    </row>
    <row r="122">
      <c r="A122" s="12">
        <v>44738.518958333334</v>
      </c>
      <c r="B122" s="7">
        <v>12.35</v>
      </c>
      <c r="C122" s="13">
        <v>2.0</v>
      </c>
      <c r="D122" s="14" t="s">
        <v>11</v>
      </c>
      <c r="E122" s="13">
        <v>12.35</v>
      </c>
      <c r="F122" s="15">
        <v>1.0</v>
      </c>
    </row>
    <row r="123">
      <c r="A123" s="12">
        <v>44737.52877314815</v>
      </c>
      <c r="B123" s="7">
        <v>1.0</v>
      </c>
      <c r="C123" s="13">
        <v>2.0</v>
      </c>
      <c r="D123" s="14" t="s">
        <v>11</v>
      </c>
      <c r="E123" s="13">
        <v>1.0</v>
      </c>
      <c r="F123" s="15">
        <v>1.0</v>
      </c>
    </row>
    <row r="124">
      <c r="A124" s="12">
        <v>44737.52638888889</v>
      </c>
      <c r="B124" s="7">
        <v>2.5</v>
      </c>
      <c r="C124" s="13">
        <v>2.0</v>
      </c>
      <c r="D124" s="14" t="s">
        <v>11</v>
      </c>
      <c r="E124" s="13">
        <v>2.5</v>
      </c>
      <c r="F124" s="15">
        <v>1.0</v>
      </c>
    </row>
    <row r="125">
      <c r="A125" s="12">
        <v>44736.848773148144</v>
      </c>
      <c r="B125" s="7">
        <v>50.0</v>
      </c>
      <c r="C125" s="13">
        <v>3.0</v>
      </c>
      <c r="D125" s="14" t="s">
        <v>11</v>
      </c>
      <c r="E125" s="13">
        <v>50.0</v>
      </c>
      <c r="F125" s="15">
        <v>1.0</v>
      </c>
    </row>
    <row r="126">
      <c r="A126" s="12">
        <v>44736.544641203705</v>
      </c>
      <c r="B126" s="7">
        <v>4.2</v>
      </c>
      <c r="C126" s="13">
        <v>2.0</v>
      </c>
      <c r="D126" s="14" t="s">
        <v>11</v>
      </c>
      <c r="E126" s="13">
        <v>4.2</v>
      </c>
      <c r="F126" s="15">
        <v>1.0</v>
      </c>
    </row>
    <row r="127">
      <c r="A127" s="12">
        <v>44735.491168981476</v>
      </c>
      <c r="B127" s="7">
        <v>4.66</v>
      </c>
      <c r="C127" s="13">
        <v>2.0</v>
      </c>
      <c r="D127" s="14" t="s">
        <v>11</v>
      </c>
      <c r="E127" s="13">
        <v>4.66</v>
      </c>
      <c r="F127" s="15">
        <v>1.0</v>
      </c>
    </row>
    <row r="128">
      <c r="A128" s="12">
        <v>44735.48849537037</v>
      </c>
      <c r="B128" s="7">
        <v>6.35</v>
      </c>
      <c r="C128" s="13">
        <v>2.0</v>
      </c>
      <c r="D128" s="14" t="s">
        <v>11</v>
      </c>
      <c r="E128" s="13">
        <v>6.35</v>
      </c>
      <c r="F128" s="15">
        <v>1.0</v>
      </c>
    </row>
    <row r="129">
      <c r="A129" s="12">
        <v>44730.55094907407</v>
      </c>
      <c r="B129" s="7">
        <v>4.6</v>
      </c>
      <c r="C129" s="13">
        <v>2.0</v>
      </c>
      <c r="D129" s="14" t="s">
        <v>11</v>
      </c>
      <c r="E129" s="13">
        <v>4.59999999</v>
      </c>
      <c r="F129" s="15">
        <v>1.0</v>
      </c>
    </row>
    <row r="130">
      <c r="A130" s="12">
        <v>44729.54216435185</v>
      </c>
      <c r="B130" s="7">
        <v>4.75</v>
      </c>
      <c r="C130" s="13">
        <v>2.0</v>
      </c>
      <c r="D130" s="14" t="s">
        <v>11</v>
      </c>
      <c r="E130" s="13">
        <v>4.75</v>
      </c>
      <c r="F130" s="15">
        <v>1.0</v>
      </c>
    </row>
    <row r="131">
      <c r="A131" s="12">
        <v>44728.519432870366</v>
      </c>
      <c r="B131" s="7">
        <v>5.35</v>
      </c>
      <c r="C131" s="13">
        <v>2.0</v>
      </c>
      <c r="D131" s="14" t="s">
        <v>11</v>
      </c>
      <c r="E131" s="13">
        <v>5.34999999</v>
      </c>
      <c r="F131" s="15">
        <v>1.0</v>
      </c>
    </row>
    <row r="132">
      <c r="A132" s="12">
        <v>44724.4509837963</v>
      </c>
      <c r="B132" s="7">
        <v>3.8</v>
      </c>
      <c r="C132" s="13">
        <v>2.0</v>
      </c>
      <c r="D132" s="14" t="s">
        <v>11</v>
      </c>
      <c r="E132" s="13">
        <v>3.8</v>
      </c>
      <c r="F132" s="15">
        <v>1.0</v>
      </c>
    </row>
    <row r="133">
      <c r="A133" s="12">
        <v>44723.58341435185</v>
      </c>
      <c r="B133" s="7">
        <v>3.0</v>
      </c>
      <c r="C133" s="13">
        <v>2.0</v>
      </c>
      <c r="D133" s="14" t="s">
        <v>11</v>
      </c>
      <c r="E133" s="13">
        <v>3.0</v>
      </c>
      <c r="F133" s="15">
        <v>1.0</v>
      </c>
    </row>
    <row r="134">
      <c r="A134" s="12">
        <v>44722.54498842593</v>
      </c>
      <c r="B134" s="7">
        <v>3.0</v>
      </c>
      <c r="C134" s="13">
        <v>2.0</v>
      </c>
      <c r="D134" s="14" t="s">
        <v>11</v>
      </c>
      <c r="E134" s="13">
        <v>3.0</v>
      </c>
      <c r="F134" s="15">
        <v>1.0</v>
      </c>
    </row>
    <row r="135">
      <c r="A135" s="12">
        <v>44721.54378472222</v>
      </c>
      <c r="B135" s="7">
        <v>7.6</v>
      </c>
      <c r="C135" s="13">
        <v>2.0</v>
      </c>
      <c r="D135" s="14" t="s">
        <v>11</v>
      </c>
      <c r="E135" s="13">
        <v>7.6</v>
      </c>
      <c r="F135" s="15">
        <v>1.0</v>
      </c>
    </row>
    <row r="136">
      <c r="A136" s="12">
        <v>44717.502233796295</v>
      </c>
      <c r="B136" s="7">
        <v>6.8</v>
      </c>
      <c r="C136" s="13">
        <v>2.0</v>
      </c>
      <c r="D136" s="14" t="s">
        <v>11</v>
      </c>
      <c r="E136" s="13">
        <v>6.8</v>
      </c>
      <c r="F136" s="15">
        <v>1.0</v>
      </c>
    </row>
    <row r="137">
      <c r="A137" s="12">
        <v>44715.41519675926</v>
      </c>
      <c r="B137" s="7">
        <v>4.2</v>
      </c>
      <c r="C137" s="13">
        <v>2.0</v>
      </c>
      <c r="D137" s="14" t="s">
        <v>11</v>
      </c>
      <c r="E137" s="13">
        <v>4.2</v>
      </c>
      <c r="F137" s="15">
        <v>1.0</v>
      </c>
    </row>
    <row r="138">
      <c r="A138" s="12">
        <v>44714.37049768519</v>
      </c>
      <c r="B138" s="7">
        <v>7.0</v>
      </c>
      <c r="C138" s="13">
        <v>2.0</v>
      </c>
      <c r="D138" s="14" t="s">
        <v>11</v>
      </c>
      <c r="E138" s="13">
        <v>7.0</v>
      </c>
      <c r="F138" s="15">
        <v>1.0</v>
      </c>
    </row>
    <row r="139">
      <c r="A139" s="12">
        <v>44710.43712962963</v>
      </c>
      <c r="B139" s="7">
        <v>7.4</v>
      </c>
      <c r="C139" s="13">
        <v>2.0</v>
      </c>
      <c r="D139" s="14" t="s">
        <v>11</v>
      </c>
      <c r="E139" s="13">
        <v>7.4</v>
      </c>
      <c r="F139" s="15">
        <v>1.0</v>
      </c>
    </row>
    <row r="140">
      <c r="A140" s="12">
        <v>44709.39883101852</v>
      </c>
      <c r="B140" s="7">
        <v>2.4</v>
      </c>
      <c r="C140" s="13">
        <v>2.0</v>
      </c>
      <c r="D140" s="14" t="s">
        <v>11</v>
      </c>
      <c r="E140" s="13">
        <v>2.4</v>
      </c>
      <c r="F140" s="15">
        <v>1.0</v>
      </c>
    </row>
    <row r="141">
      <c r="A141" s="12">
        <v>44702.52002314814</v>
      </c>
      <c r="B141" s="7">
        <v>3.0</v>
      </c>
      <c r="C141" s="13">
        <v>2.0</v>
      </c>
      <c r="D141" s="14" t="s">
        <v>11</v>
      </c>
      <c r="E141" s="13">
        <v>3.0</v>
      </c>
      <c r="F141" s="15">
        <v>1.0</v>
      </c>
    </row>
    <row r="142">
      <c r="A142" s="12">
        <v>44702.51729166666</v>
      </c>
      <c r="B142" s="7">
        <v>4.2</v>
      </c>
      <c r="C142" s="13">
        <v>2.0</v>
      </c>
      <c r="D142" s="14" t="s">
        <v>11</v>
      </c>
      <c r="E142" s="13">
        <v>4.2</v>
      </c>
      <c r="F142" s="15">
        <v>1.0</v>
      </c>
    </row>
    <row r="143">
      <c r="A143" s="12">
        <v>44700.53633101852</v>
      </c>
      <c r="B143" s="7">
        <v>4.5</v>
      </c>
      <c r="C143" s="13">
        <v>2.0</v>
      </c>
      <c r="D143" s="14" t="s">
        <v>11</v>
      </c>
      <c r="E143" s="13">
        <v>4.5</v>
      </c>
      <c r="F143" s="15">
        <v>1.0</v>
      </c>
    </row>
    <row r="144">
      <c r="A144" s="12">
        <v>44700.52228009259</v>
      </c>
      <c r="B144" s="7">
        <v>5.5</v>
      </c>
      <c r="C144" s="13">
        <v>2.0</v>
      </c>
      <c r="D144" s="14" t="s">
        <v>11</v>
      </c>
      <c r="E144" s="13">
        <v>5.5</v>
      </c>
      <c r="F144" s="15">
        <v>1.0</v>
      </c>
    </row>
    <row r="145">
      <c r="A145" s="12">
        <v>44695.55331018519</v>
      </c>
      <c r="B145" s="7">
        <v>5.4</v>
      </c>
      <c r="C145" s="13">
        <v>2.0</v>
      </c>
      <c r="D145" s="14" t="s">
        <v>11</v>
      </c>
      <c r="E145" s="13">
        <v>5.4</v>
      </c>
      <c r="F145" s="15">
        <v>1.0</v>
      </c>
    </row>
    <row r="146">
      <c r="A146" s="12">
        <v>44693.51792824074</v>
      </c>
      <c r="B146" s="7">
        <v>8.1</v>
      </c>
      <c r="C146" s="13">
        <v>2.0</v>
      </c>
      <c r="D146" s="14" t="s">
        <v>11</v>
      </c>
      <c r="E146" s="13">
        <v>8.1</v>
      </c>
      <c r="F146" s="15">
        <v>1.0</v>
      </c>
    </row>
    <row r="147">
      <c r="A147" s="12">
        <v>44691.72447916667</v>
      </c>
      <c r="B147" s="7">
        <v>12.0</v>
      </c>
      <c r="C147" s="13">
        <v>3.0</v>
      </c>
      <c r="D147" s="14" t="s">
        <v>11</v>
      </c>
      <c r="E147" s="13">
        <v>12.0</v>
      </c>
      <c r="F147" s="15">
        <v>1.0</v>
      </c>
    </row>
    <row r="148">
      <c r="A148" s="12">
        <v>44689.50938657408</v>
      </c>
      <c r="B148" s="7">
        <v>7.3</v>
      </c>
      <c r="C148" s="13">
        <v>2.0</v>
      </c>
      <c r="D148" s="14" t="s">
        <v>11</v>
      </c>
      <c r="E148" s="13">
        <v>7.3</v>
      </c>
      <c r="F148" s="15">
        <v>1.0</v>
      </c>
    </row>
    <row r="149">
      <c r="A149" s="12">
        <v>44688.54746527778</v>
      </c>
      <c r="B149" s="7">
        <v>3.0</v>
      </c>
      <c r="C149" s="13">
        <v>2.0</v>
      </c>
      <c r="D149" s="14" t="s">
        <v>11</v>
      </c>
      <c r="E149" s="13">
        <v>3.0</v>
      </c>
      <c r="F149" s="15">
        <v>1.0</v>
      </c>
    </row>
    <row r="150">
      <c r="A150" s="12">
        <v>44687.83658564815</v>
      </c>
      <c r="B150" s="7">
        <v>17.0</v>
      </c>
      <c r="C150" s="13">
        <v>3.0</v>
      </c>
      <c r="D150" s="14" t="s">
        <v>11</v>
      </c>
      <c r="E150" s="13">
        <v>17.0</v>
      </c>
      <c r="F150" s="15">
        <v>1.0</v>
      </c>
    </row>
    <row r="151">
      <c r="A151" s="12">
        <v>44687.533043981486</v>
      </c>
      <c r="B151" s="7">
        <v>6.6</v>
      </c>
      <c r="C151" s="13">
        <v>2.0</v>
      </c>
      <c r="D151" s="14" t="s">
        <v>11</v>
      </c>
      <c r="E151" s="13">
        <v>6.6</v>
      </c>
      <c r="F151" s="15">
        <v>1.0</v>
      </c>
    </row>
    <row r="152">
      <c r="A152" s="12">
        <v>44686.52086805555</v>
      </c>
      <c r="B152" s="7">
        <v>5.5</v>
      </c>
      <c r="C152" s="13">
        <v>2.0</v>
      </c>
      <c r="D152" s="14" t="s">
        <v>11</v>
      </c>
      <c r="E152" s="13">
        <v>5.5</v>
      </c>
      <c r="F152" s="15">
        <v>1.0</v>
      </c>
    </row>
    <row r="153">
      <c r="A153" s="12">
        <v>44686.46728009259</v>
      </c>
      <c r="B153" s="7">
        <v>7.1</v>
      </c>
      <c r="C153" s="13">
        <v>2.0</v>
      </c>
      <c r="D153" s="14" t="s">
        <v>11</v>
      </c>
      <c r="E153" s="13">
        <v>7.1</v>
      </c>
      <c r="F153" s="15">
        <v>1.0</v>
      </c>
    </row>
    <row r="154">
      <c r="A154" s="12">
        <v>44681.499131944445</v>
      </c>
      <c r="B154" s="7">
        <v>3.5</v>
      </c>
      <c r="C154" s="13">
        <v>2.0</v>
      </c>
      <c r="D154" s="14" t="s">
        <v>12</v>
      </c>
      <c r="E154" s="13">
        <v>3.69</v>
      </c>
      <c r="F154" s="15">
        <v>1.0542857142857143</v>
      </c>
    </row>
    <row r="155">
      <c r="A155" s="12">
        <v>44680.53349537037</v>
      </c>
      <c r="B155" s="7">
        <v>10.8</v>
      </c>
      <c r="C155" s="13">
        <v>2.0</v>
      </c>
      <c r="D155" s="14" t="s">
        <v>12</v>
      </c>
      <c r="E155" s="13">
        <v>11.41</v>
      </c>
      <c r="F155" s="15">
        <v>1.0564814814814814</v>
      </c>
    </row>
    <row r="156">
      <c r="A156" s="12">
        <v>44679.53175925926</v>
      </c>
      <c r="B156" s="7">
        <v>5.9</v>
      </c>
      <c r="C156" s="13">
        <v>2.0</v>
      </c>
      <c r="D156" s="14" t="s">
        <v>12</v>
      </c>
      <c r="E156" s="13">
        <v>6.2</v>
      </c>
      <c r="F156" s="15">
        <v>1.0508474576271185</v>
      </c>
    </row>
    <row r="157">
      <c r="A157" s="12">
        <v>44675.52208333333</v>
      </c>
      <c r="B157" s="7">
        <v>3.5</v>
      </c>
      <c r="C157" s="13">
        <v>2.0</v>
      </c>
      <c r="D157" s="14" t="s">
        <v>12</v>
      </c>
      <c r="E157" s="13">
        <v>3.78</v>
      </c>
      <c r="F157" s="15">
        <v>1.0799999999999998</v>
      </c>
    </row>
    <row r="158">
      <c r="A158" s="12">
        <v>44674.54173611111</v>
      </c>
      <c r="B158" s="7">
        <v>4.8</v>
      </c>
      <c r="C158" s="13">
        <v>2.0</v>
      </c>
      <c r="D158" s="14" t="s">
        <v>12</v>
      </c>
      <c r="E158" s="13">
        <v>5.18</v>
      </c>
      <c r="F158" s="15">
        <v>1.0791666666666666</v>
      </c>
    </row>
    <row r="159">
      <c r="A159" s="12">
        <v>44673.49886574074</v>
      </c>
      <c r="B159" s="7">
        <v>7.26</v>
      </c>
      <c r="C159" s="13">
        <v>2.0</v>
      </c>
      <c r="D159" s="14" t="s">
        <v>12</v>
      </c>
      <c r="E159" s="13">
        <v>7.84</v>
      </c>
      <c r="F159" s="15">
        <v>1.0798898071625345</v>
      </c>
    </row>
    <row r="160">
      <c r="A160" s="12">
        <v>44672.5059837963</v>
      </c>
      <c r="B160" s="7">
        <v>4.18</v>
      </c>
      <c r="C160" s="13">
        <v>2.0</v>
      </c>
      <c r="D160" s="14" t="s">
        <v>12</v>
      </c>
      <c r="E160" s="13">
        <v>4.56</v>
      </c>
      <c r="F160" s="15">
        <v>1.0909090909090908</v>
      </c>
    </row>
    <row r="161">
      <c r="A161" s="12">
        <v>44667.50069444445</v>
      </c>
      <c r="B161" s="7">
        <v>3.5</v>
      </c>
      <c r="C161" s="13">
        <v>2.0</v>
      </c>
      <c r="D161" s="14" t="s">
        <v>12</v>
      </c>
      <c r="E161" s="13">
        <v>3.78</v>
      </c>
      <c r="F161" s="15">
        <v>1.0799999999999998</v>
      </c>
    </row>
    <row r="162">
      <c r="A162" s="12">
        <v>44666.5360300926</v>
      </c>
      <c r="B162" s="7">
        <v>14.1</v>
      </c>
      <c r="C162" s="13">
        <v>2.0</v>
      </c>
      <c r="D162" s="14" t="s">
        <v>12</v>
      </c>
      <c r="E162" s="13">
        <v>15.24</v>
      </c>
      <c r="F162" s="15">
        <v>1.0808510638297872</v>
      </c>
    </row>
    <row r="163">
      <c r="A163" s="12">
        <v>44665.4934375</v>
      </c>
      <c r="B163" s="7">
        <v>6.55</v>
      </c>
      <c r="C163" s="13">
        <v>2.0</v>
      </c>
      <c r="D163" s="14" t="s">
        <v>12</v>
      </c>
      <c r="E163" s="13">
        <v>7.15</v>
      </c>
      <c r="F163" s="15">
        <v>1.0916030534351147</v>
      </c>
    </row>
    <row r="164">
      <c r="A164" s="12">
        <v>44660.524351851855</v>
      </c>
      <c r="B164" s="7">
        <v>3.0</v>
      </c>
      <c r="C164" s="13">
        <v>2.0</v>
      </c>
      <c r="D164" s="14" t="s">
        <v>12</v>
      </c>
      <c r="E164" s="13">
        <v>3.26</v>
      </c>
      <c r="F164" s="15">
        <v>1.0866666666666667</v>
      </c>
    </row>
  </sheetData>
  <autoFilter ref="$A$1:$F$164">
    <sortState ref="A1:F164">
      <sortCondition descending="1" ref="A1:A164"/>
    </sortState>
  </autoFil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5.25"/>
    <col customWidth="1" min="2" max="2" width="43.5"/>
    <col customWidth="1" min="3" max="3" width="13.5"/>
    <col customWidth="1" min="4" max="4" width="45.0"/>
    <col customWidth="1" min="5" max="5" width="17.88"/>
    <col customWidth="1" min="7" max="7" width="15.75"/>
    <col customWidth="1" min="8" max="8" width="12.63"/>
    <col customWidth="1" min="12" max="12" width="16.13"/>
  </cols>
  <sheetData>
    <row r="1">
      <c r="A1" s="1" t="str">
        <f>OFFSET(Merchant!$A:$C,0,0)</f>
        <v>index</v>
      </c>
      <c r="B1" s="1" t="s">
        <v>13</v>
      </c>
      <c r="C1" s="1" t="s">
        <v>14</v>
      </c>
      <c r="D1" s="1" t="s">
        <v>15</v>
      </c>
      <c r="E1" s="3" t="s">
        <v>16</v>
      </c>
      <c r="F1" s="4" t="s">
        <v>5</v>
      </c>
      <c r="G1" s="4" t="s">
        <v>17</v>
      </c>
      <c r="H1" s="4" t="s">
        <v>18</v>
      </c>
      <c r="I1" s="21" t="s">
        <v>19</v>
      </c>
      <c r="J1" s="22" t="s">
        <v>20</v>
      </c>
      <c r="K1" s="23" t="s">
        <v>21</v>
      </c>
      <c r="L1" s="23" t="s">
        <v>22</v>
      </c>
      <c r="M1" s="24" t="s">
        <v>23</v>
      </c>
      <c r="N1" s="24" t="s">
        <v>24</v>
      </c>
      <c r="O1" s="25" t="s">
        <v>25</v>
      </c>
      <c r="P1" s="25" t="s">
        <v>26</v>
      </c>
      <c r="Q1" s="25" t="s">
        <v>27</v>
      </c>
    </row>
    <row r="2">
      <c r="A2" s="6">
        <v>2.0</v>
      </c>
      <c r="B2" s="6" t="s">
        <v>28</v>
      </c>
      <c r="C2" s="6" t="s">
        <v>29</v>
      </c>
      <c r="D2" s="14"/>
      <c r="E2" s="26" t="str">
        <f>IFERROR(IF($A2="",,IF($I2="",Translation!$A$2,IF($L2="",Translation!$A$3,IF($N2&lt;&gt;$B2,Translation!$A$4,IF(IFERROR($F2,)="",Translation!$A$5,IF($H2&gt;TIME(0,5,0),Translation!$A$6,IF($M2,Translation!$A$7,$K2))))))),Translation!$A$7)</f>
        <v>Error: No transaction</v>
      </c>
      <c r="F2" s="27" t="str">
        <f>IF($P2&lt;&gt;"",VLOOKUP($P2,Token!B:B,2,0)*$O2/POW(10,$Q2),)</f>
        <v/>
      </c>
      <c r="G2" s="28" t="str">
        <f t="shared" ref="G2:G3" si="1">IF($I2&lt;&gt;"",$I2/86400+DATE(1970,1,1)+TIME(2,0,0),)</f>
        <v/>
      </c>
      <c r="H2" s="29" t="str">
        <f t="shared" ref="H2:H3" si="2">IF($G2&lt;&gt;"",NOW()-G2,)</f>
        <v/>
      </c>
      <c r="I2" s="26" t="str">
        <f t="shared" ref="I2:I3" si="3">IF($D2&lt;&gt;"",ImportJSON("https://public-api.solscan.io/account/transactions?account="&amp;$D2&amp;"&amp;limit=1",TEXTJOIN(",",1,$I$1:$L$1),"noHeaders"),)</f>
        <v/>
      </c>
      <c r="M2" s="26" t="str">
        <f t="shared" ref="M2:M3" si="4">IF(AND($K2="Success",$L2="true"),ImportJSON("https://public-api.solscan.io/transaction/"&amp;$J2&amp;" ",TEXTJOIN(",",1,$M$1:$Q$1),"noInherit,noHeaders"),)</f>
        <v/>
      </c>
    </row>
    <row r="3">
      <c r="A3" s="6">
        <v>3.0</v>
      </c>
      <c r="B3" s="6" t="s">
        <v>30</v>
      </c>
      <c r="C3" s="6" t="s">
        <v>31</v>
      </c>
      <c r="D3" s="14"/>
      <c r="E3" s="26" t="str">
        <f>IFERROR(IF($A3="",,IF($I3="",Translation!$A$2,IF($L3="",Translation!$A$3,IF($N3&lt;&gt;$B3,Translation!$A$4,IF(IFERROR($F3,)="",Translation!$A$5,IF($H3&gt;TIME(0,5,0),Translation!$A$6,IF($M3,Translation!$A$7,$K3))))))),Translation!$A$7)</f>
        <v>Error: No transaction</v>
      </c>
      <c r="F3" s="27" t="str">
        <f>IF($P3&lt;&gt;"",VLOOKUP($P3,Token!B:B,2,0)*$O3/POW(10,$Q3),)</f>
        <v/>
      </c>
      <c r="G3" s="28" t="str">
        <f t="shared" si="1"/>
        <v/>
      </c>
      <c r="H3" s="29" t="str">
        <f t="shared" si="2"/>
        <v/>
      </c>
      <c r="I3" s="26" t="str">
        <f t="shared" si="3"/>
        <v/>
      </c>
      <c r="M3" s="26" t="str">
        <f t="shared" si="4"/>
        <v/>
      </c>
    </row>
    <row r="4">
      <c r="A4" s="6">
        <v>4.0</v>
      </c>
      <c r="B4" s="6" t="s">
        <v>32</v>
      </c>
      <c r="C4" s="6" t="s">
        <v>33</v>
      </c>
      <c r="E4" s="26" t="str">
        <f>IFERROR(IF($A4="",,IF($I4="",Translation!$A$2,IF($L4="",Translation!$A$3,IF($N4&lt;&gt;$B4,Translation!$A$4,IF(IFERROR($F4,)="",Translation!$A$5,IF($H4&gt;TIME(0,5,0),Translation!$A$6,IF($M4,Translation!$A$7,$K4))))))),Translation!$A$7)</f>
        <v>Error: No transaction</v>
      </c>
      <c r="F4" s="27"/>
      <c r="G4" s="28"/>
      <c r="H4" s="29"/>
    </row>
    <row r="5">
      <c r="A5" s="6">
        <v>5.0</v>
      </c>
      <c r="B5" s="6" t="s">
        <v>34</v>
      </c>
      <c r="C5" s="6" t="s">
        <v>35</v>
      </c>
      <c r="D5" s="14"/>
      <c r="E5" s="26" t="str">
        <f>IFERROR(IF($A5="",,IF($I5="",Translation!$A$2,IF($L5="",Translation!$A$3,IF($N5&lt;&gt;$B5,Translation!$A$4,IF(IFERROR($F5,)="",Translation!$A$5,IF($H5&gt;TIME(0,5,0),Translation!$A$6,IF($M5,Translation!$A$7,$K5))))))),Translation!$A$7)</f>
        <v>Error: No transaction</v>
      </c>
      <c r="F5" s="27"/>
      <c r="G5" s="28"/>
      <c r="H5" s="29"/>
    </row>
    <row r="6">
      <c r="A6" s="6"/>
      <c r="B6" s="6"/>
      <c r="C6" s="6"/>
      <c r="D6" s="14"/>
      <c r="E6" s="26" t="str">
        <f>IFERROR(IF($A6="",,IF($I6="",Translation!$A$2,IF($L6="",Translation!$A$3,IF($N6&lt;&gt;$B6,Translation!$A$4,IF(IFERROR($F6,)="",Translation!$A$5,IF($H6&gt;TIME(0,5,0),Translation!$A$6,IF($M6,Translation!$A$7,$K6))))))),Translation!$A$7)</f>
        <v/>
      </c>
      <c r="F6" s="27"/>
      <c r="G6" s="28"/>
      <c r="H6" s="29"/>
    </row>
    <row r="7">
      <c r="A7" s="6"/>
      <c r="B7" s="6"/>
      <c r="C7" s="6"/>
      <c r="D7" s="14"/>
      <c r="E7" s="26" t="str">
        <f>IFERROR(IF($A7="",,IF($I7="",Translation!$A$2,IF($L7="",Translation!$A$3,IF($N7&lt;&gt;$B7,Translation!$A$4,IF(IFERROR($F7,)="",Translation!$A$5,IF($H7&gt;TIME(0,5,0),Translation!$A$6,IF($M7,Translation!$A$7,$K7))))))),Translation!$A$7)</f>
        <v/>
      </c>
      <c r="F7" s="27"/>
      <c r="G7" s="28"/>
      <c r="H7" s="29"/>
    </row>
    <row r="8">
      <c r="A8" s="6"/>
      <c r="B8" s="6"/>
      <c r="C8" s="6"/>
      <c r="D8" s="14"/>
      <c r="E8" s="26" t="str">
        <f>IFERROR(IF($A8="",,IF($I8="",Translation!$A$2,IF($L8="",Translation!$A$3,IF($N8&lt;&gt;$B8,Translation!$A$4,IF(IFERROR($F8,)="",Translation!$A$5,IF($H8&gt;TIME(0,5,0),Translation!$A$6,IF($M8,Translation!$A$7,$K8))))))),Translation!$A$7)</f>
        <v/>
      </c>
      <c r="F8" s="27"/>
      <c r="G8" s="28"/>
      <c r="H8" s="29"/>
    </row>
    <row r="9">
      <c r="A9" s="6"/>
      <c r="B9" s="6"/>
      <c r="C9" s="6"/>
      <c r="D9" s="14"/>
      <c r="E9" s="26" t="str">
        <f>IFERROR(IF($A9="",,IF($I9="",Translation!$A$2,IF($L9="",Translation!$A$3,IF($N9&lt;&gt;$B9,Translation!$A$4,IF(IFERROR($F9,)="",Translation!$A$5,IF($H9&gt;TIME(0,5,0),Translation!$A$6,IF($M9,Translation!$A$7,$K9))))))),Translation!$A$7)</f>
        <v/>
      </c>
      <c r="F9" s="27"/>
      <c r="G9" s="28"/>
      <c r="H9" s="29"/>
    </row>
    <row r="10">
      <c r="A10" s="6"/>
      <c r="B10" s="6"/>
      <c r="C10" s="6"/>
      <c r="D10" s="14"/>
      <c r="E10" s="26" t="str">
        <f>IFERROR(IF($A10="",,IF($I10="",Translation!$A$2,IF($L10="",Translation!$A$3,IF($N10&lt;&gt;$B10,Translation!$A$4,IF(IFERROR($F10,)="",Translation!$A$5,IF($H10&gt;TIME(0,5,0),Translation!$A$6,IF($M10,Translation!$A$7,$K10))))))),Translation!$A$7)</f>
        <v/>
      </c>
      <c r="F10" s="27"/>
      <c r="G10" s="28"/>
      <c r="H10" s="29"/>
    </row>
    <row r="11">
      <c r="A11" s="6"/>
      <c r="B11" s="6"/>
      <c r="C11" s="6"/>
      <c r="D11" s="14"/>
      <c r="E11" s="26" t="str">
        <f>IFERROR(IF($A11="",,IF($I11="",Translation!$A$2,IF($L11="",Translation!$A$3,IF($N11&lt;&gt;$B11,Translation!$A$4,IF(IFERROR($F11,)="",Translation!$A$5,IF($H11&gt;TIME(0,5,0),Translation!$A$6,IF($M11,Translation!$A$7,$K11))))))),Translation!$A$7)</f>
        <v/>
      </c>
      <c r="F11" s="27"/>
      <c r="G11" s="28"/>
      <c r="H11" s="29"/>
    </row>
    <row r="12">
      <c r="A12" s="6"/>
      <c r="B12" s="6"/>
      <c r="C12" s="6"/>
      <c r="D12" s="14"/>
      <c r="E12" s="26" t="str">
        <f>IFERROR(IF($A12="",,IF($I12="",Translation!$A$2,IF($L12="",Translation!$A$3,IF($N12&lt;&gt;$B12,Translation!$A$4,IF(IFERROR($F12,)="",Translation!$A$5,IF($H12&gt;TIME(0,5,0),Translation!$A$6,IF($M12,Translation!$A$7,$K12))))))),Translation!$A$7)</f>
        <v/>
      </c>
      <c r="F12" s="27"/>
      <c r="G12" s="28"/>
      <c r="H12" s="29"/>
    </row>
    <row r="13">
      <c r="A13" s="6"/>
      <c r="B13" s="6"/>
      <c r="C13" s="6"/>
      <c r="D13" s="14"/>
      <c r="E13" s="26" t="str">
        <f>IFERROR(IF($A13="",,IF($I13="",Translation!$A$2,IF($L13="",Translation!$A$3,IF($N13&lt;&gt;$B13,Translation!$A$4,IF(IFERROR($F13,)="",Translation!$A$5,IF($H13&gt;TIME(0,5,0),Translation!$A$6,IF($M13,Translation!$A$7,$K13))))))),Translation!$A$7)</f>
        <v/>
      </c>
      <c r="F13" s="27"/>
      <c r="G13" s="28"/>
      <c r="H13" s="29"/>
    </row>
    <row r="14">
      <c r="A14" s="6"/>
      <c r="B14" s="6"/>
      <c r="C14" s="6"/>
      <c r="D14" s="14"/>
      <c r="E14" s="26" t="str">
        <f>IFERROR(IF($A14="",,IF($I14="",Translation!$A$2,IF($L14="",Translation!$A$3,IF($N14&lt;&gt;$B14,Translation!$A$4,IF(IFERROR($F14,)="",Translation!$A$5,IF($H14&gt;TIME(0,5,0),Translation!$A$6,IF($M14,Translation!$A$7,$K14))))))),Translation!$A$7)</f>
        <v/>
      </c>
      <c r="F14" s="27"/>
      <c r="G14" s="28"/>
      <c r="H14" s="29"/>
    </row>
    <row r="15">
      <c r="A15" s="6"/>
      <c r="B15" s="6"/>
      <c r="C15" s="6"/>
      <c r="D15" s="14"/>
      <c r="E15" s="26" t="str">
        <f>IFERROR(IF($A15="",,IF($I15="",Translation!$A$2,IF($L15="",Translation!$A$3,IF($N15&lt;&gt;$B15,Translation!$A$4,IF(IFERROR($F15,)="",Translation!$A$5,IF($H15&gt;TIME(0,5,0),Translation!$A$6,IF($M15,Translation!$A$7,$K15))))))),Translation!$A$7)</f>
        <v/>
      </c>
      <c r="F15" s="27"/>
      <c r="G15" s="28"/>
      <c r="H15" s="29"/>
    </row>
    <row r="16">
      <c r="A16" s="6"/>
      <c r="B16" s="6"/>
      <c r="C16" s="6"/>
      <c r="D16" s="14"/>
      <c r="E16" s="26" t="str">
        <f>IFERROR(IF($A16="",,IF($I16="",Translation!$A$2,IF($L16="",Translation!$A$3,IF($N16&lt;&gt;$B16,Translation!$A$4,IF(IFERROR($F16,)="",Translation!$A$5,IF($H16&gt;TIME(0,5,0),Translation!$A$6,IF($M16,Translation!$A$7,$K16))))))),Translation!$A$7)</f>
        <v/>
      </c>
      <c r="F16" s="27"/>
      <c r="G16" s="28"/>
      <c r="H16" s="29"/>
    </row>
    <row r="17">
      <c r="A17" s="6"/>
      <c r="B17" s="6"/>
      <c r="C17" s="6"/>
      <c r="D17" s="14"/>
      <c r="E17" s="26" t="str">
        <f>IFERROR(IF($A17="",,IF($I17="",Translation!$A$2,IF($L17="",Translation!$A$3,IF($N17&lt;&gt;$B17,Translation!$A$4,IF(IFERROR($F17,)="",Translation!$A$5,IF($H17&gt;TIME(0,5,0),Translation!$A$6,IF($M17,Translation!$A$7,$K17))))))),Translation!$A$7)</f>
        <v/>
      </c>
      <c r="F17" s="27"/>
      <c r="G17" s="28"/>
      <c r="H17" s="29"/>
    </row>
    <row r="18">
      <c r="A18" s="6"/>
      <c r="B18" s="6"/>
      <c r="C18" s="6"/>
      <c r="D18" s="14"/>
      <c r="E18" s="26" t="str">
        <f>IFERROR(IF($A18="",,IF($I18="",Translation!$A$2,IF($L18="",Translation!$A$3,IF($N18&lt;&gt;$B18,Translation!$A$4,IF(IFERROR($F18,)="",Translation!$A$5,IF($H18&gt;TIME(0,5,0),Translation!$A$6,IF($M18,Translation!$A$7,$K18))))))),Translation!$A$7)</f>
        <v/>
      </c>
      <c r="F18" s="27"/>
      <c r="G18" s="28"/>
      <c r="H18" s="29"/>
    </row>
    <row r="19">
      <c r="A19" s="6"/>
      <c r="B19" s="6"/>
      <c r="C19" s="6"/>
      <c r="D19" s="14"/>
      <c r="E19" s="26" t="str">
        <f>IFERROR(IF($A19="",,IF($I19="",Translation!$A$2,IF($L19="",Translation!$A$3,IF($N19&lt;&gt;$B19,Translation!$A$4,IF(IFERROR($F19,)="",Translation!$A$5,IF($H19&gt;TIME(0,5,0),Translation!$A$6,IF($M19,Translation!$A$7,$K19))))))),Translation!$A$7)</f>
        <v/>
      </c>
      <c r="F19" s="27"/>
      <c r="G19" s="28"/>
      <c r="H19" s="29"/>
    </row>
    <row r="20">
      <c r="A20" s="6"/>
      <c r="B20" s="6"/>
      <c r="C20" s="6"/>
      <c r="D20" s="14"/>
      <c r="E20" s="26" t="str">
        <f>IFERROR(IF($A20="",,IF($I20="",Translation!$A$2,IF($L20="",Translation!$A$3,IF($N20&lt;&gt;$B20,Translation!$A$4,IF(IFERROR($F20,)="",Translation!$A$5,IF($H20&gt;TIME(0,5,0),Translation!$A$6,IF($M20,Translation!$A$7,$K20))))))),Translation!$A$7)</f>
        <v/>
      </c>
      <c r="F20" s="27"/>
      <c r="G20" s="28"/>
      <c r="H20" s="29"/>
    </row>
    <row r="21">
      <c r="A21" s="6"/>
      <c r="B21" s="6"/>
      <c r="C21" s="6"/>
      <c r="D21" s="14"/>
      <c r="E21" s="26" t="str">
        <f>IFERROR(IF($A21="",,IF($I21="",Translation!$A$2,IF($L21="",Translation!$A$3,IF($N21&lt;&gt;$B21,Translation!$A$4,IF(IFERROR($F21,)="",Translation!$A$5,IF($H21&gt;TIME(0,5,0),Translation!$A$6,IF($M21,Translation!$A$7,$K21))))))),Translation!$A$7)</f>
        <v/>
      </c>
      <c r="F21" s="27"/>
      <c r="G21" s="28"/>
      <c r="H21" s="29"/>
    </row>
    <row r="22">
      <c r="A22" s="6"/>
      <c r="B22" s="6"/>
      <c r="C22" s="6"/>
      <c r="D22" s="14"/>
      <c r="E22" s="26" t="str">
        <f>IFERROR(IF($A22="",,IF($I22="",Translation!$A$2,IF($L22="",Translation!$A$3,IF($N22&lt;&gt;$B22,Translation!$A$4,IF(IFERROR($F22,)="",Translation!$A$5,IF($H22&gt;TIME(0,5,0),Translation!$A$6,IF($M22,Translation!$A$7,$K22))))))),Translation!$A$7)</f>
        <v/>
      </c>
      <c r="F22" s="27"/>
      <c r="G22" s="28"/>
      <c r="H22" s="29"/>
    </row>
    <row r="23">
      <c r="A23" s="6"/>
      <c r="B23" s="6"/>
      <c r="C23" s="6"/>
      <c r="D23" s="14"/>
      <c r="E23" s="26" t="str">
        <f>IFERROR(IF($A23="",,IF($I23="",Translation!$A$2,IF($L23="",Translation!$A$3,IF($N23&lt;&gt;$B23,Translation!$A$4,IF(IFERROR($F23,)="",Translation!$A$5,IF($H23&gt;TIME(0,5,0),Translation!$A$6,IF($M23,Translation!$A$7,$K23))))))),Translation!$A$7)</f>
        <v/>
      </c>
      <c r="F23" s="27"/>
      <c r="G23" s="28"/>
      <c r="H23" s="29"/>
    </row>
    <row r="24">
      <c r="A24" s="6"/>
      <c r="B24" s="6"/>
      <c r="C24" s="6"/>
      <c r="D24" s="14"/>
      <c r="E24" s="26" t="str">
        <f>IFERROR(IF($A24="",,IF($I24="",Translation!$A$2,IF($L24="",Translation!$A$3,IF($N24&lt;&gt;$B24,Translation!$A$4,IF(IFERROR($F24,)="",Translation!$A$5,IF($H24&gt;TIME(0,5,0),Translation!$A$6,IF($M24,Translation!$A$7,$K24))))))),Translation!$A$7)</f>
        <v/>
      </c>
      <c r="F24" s="27"/>
      <c r="G24" s="28"/>
      <c r="H24" s="29"/>
    </row>
    <row r="25">
      <c r="A25" s="6"/>
      <c r="B25" s="6"/>
      <c r="C25" s="6"/>
      <c r="D25" s="14"/>
      <c r="E25" s="26" t="str">
        <f>IFERROR(IF($A25="",,IF($I25="",Translation!$A$2,IF($L25="",Translation!$A$3,IF($N25&lt;&gt;$B25,Translation!$A$4,IF(IFERROR($F25,)="",Translation!$A$5,IF($H25&gt;TIME(0,5,0),Translation!$A$6,IF($M25,Translation!$A$7,$K25))))))),Translation!$A$7)</f>
        <v/>
      </c>
      <c r="F25" s="27"/>
      <c r="G25" s="28"/>
      <c r="H25" s="29"/>
    </row>
    <row r="26">
      <c r="A26" s="6"/>
      <c r="B26" s="6"/>
      <c r="C26" s="6"/>
      <c r="D26" s="14"/>
      <c r="E26" s="26" t="str">
        <f>IFERROR(IF($A26="",,IF($I26="",Translation!$A$2,IF($L26="",Translation!$A$3,IF($N26&lt;&gt;$B26,Translation!$A$4,IF(IFERROR($F26,)="",Translation!$A$5,IF($H26&gt;TIME(0,5,0),Translation!$A$6,IF($M26,Translation!$A$7,$K26))))))),Translation!$A$7)</f>
        <v/>
      </c>
      <c r="F26" s="27"/>
      <c r="G26" s="28"/>
      <c r="H26" s="29"/>
    </row>
    <row r="27">
      <c r="A27" s="6"/>
      <c r="B27" s="6"/>
      <c r="C27" s="6"/>
      <c r="D27" s="14"/>
      <c r="E27" s="26" t="str">
        <f>IFERROR(IF($A27="",,IF($I27="",Translation!$A$2,IF($L27="",Translation!$A$3,IF($N27&lt;&gt;$B27,Translation!$A$4,IF(IFERROR($F27,)="",Translation!$A$5,IF($H27&gt;TIME(0,5,0),Translation!$A$6,IF($M27,Translation!$A$7,$K27))))))),Translation!$A$7)</f>
        <v/>
      </c>
      <c r="F27" s="27"/>
      <c r="G27" s="28"/>
      <c r="H27" s="29"/>
    </row>
    <row r="28">
      <c r="A28" s="6"/>
      <c r="B28" s="6"/>
      <c r="C28" s="6"/>
      <c r="D28" s="14"/>
      <c r="E28" s="26" t="str">
        <f>IFERROR(IF($A28="",,IF($I28="",Translation!$A$2,IF($L28="",Translation!$A$3,IF($N28&lt;&gt;$B28,Translation!$A$4,IF(IFERROR($F28,)="",Translation!$A$5,IF($H28&gt;TIME(0,5,0),Translation!$A$6,IF($M28,Translation!$A$7,$K28))))))),Translation!$A$7)</f>
        <v/>
      </c>
      <c r="F28" s="27"/>
      <c r="G28" s="28"/>
      <c r="H28" s="29"/>
    </row>
    <row r="29">
      <c r="A29" s="6"/>
      <c r="B29" s="6"/>
      <c r="C29" s="6"/>
      <c r="D29" s="14"/>
      <c r="E29" s="26" t="str">
        <f>IFERROR(IF($A29="",,IF($I29="",Translation!$A$2,IF($L29="",Translation!$A$3,IF($N29&lt;&gt;$B29,Translation!$A$4,IF(IFERROR($F29,)="",Translation!$A$5,IF($H29&gt;TIME(0,5,0),Translation!$A$6,IF($M29,Translation!$A$7,$K29))))))),Translation!$A$7)</f>
        <v/>
      </c>
      <c r="F29" s="27"/>
      <c r="G29" s="28"/>
      <c r="H29" s="29"/>
    </row>
    <row r="30">
      <c r="A30" s="6"/>
      <c r="B30" s="6"/>
      <c r="C30" s="6"/>
      <c r="D30" s="14"/>
      <c r="E30" s="26" t="str">
        <f>IFERROR(IF($A30="",,IF($I30="",Translation!$A$2,IF($L30="",Translation!$A$3,IF($N30&lt;&gt;$B30,Translation!$A$4,IF(IFERROR($F30,)="",Translation!$A$5,IF($H30&gt;TIME(0,5,0),Translation!$A$6,IF($M30,Translation!$A$7,$K30))))))),Translation!$A$7)</f>
        <v/>
      </c>
      <c r="F30" s="27"/>
      <c r="G30" s="28"/>
      <c r="H30" s="29"/>
    </row>
    <row r="31">
      <c r="A31" s="6"/>
      <c r="B31" s="6"/>
      <c r="C31" s="6"/>
      <c r="D31" s="14"/>
      <c r="E31" s="26" t="str">
        <f>IFERROR(IF($A31="",,IF($I31="",Translation!$A$2,IF($L31="",Translation!$A$3,IF($N31&lt;&gt;$B31,Translation!$A$4,IF(IFERROR($F31,)="",Translation!$A$5,IF($H31&gt;TIME(0,5,0),Translation!$A$6,IF($M31,Translation!$A$7,$K31))))))),Translation!$A$7)</f>
        <v/>
      </c>
      <c r="F31" s="27"/>
      <c r="G31" s="28"/>
      <c r="H31" s="29"/>
    </row>
    <row r="32">
      <c r="A32" s="6"/>
      <c r="B32" s="6"/>
      <c r="C32" s="6"/>
      <c r="D32" s="14"/>
      <c r="E32" s="26" t="str">
        <f>IFERROR(IF($A32="",,IF($I32="",Translation!$A$2,IF($L32="",Translation!$A$3,IF($N32&lt;&gt;$B32,Translation!$A$4,IF(IFERROR($F32,)="",Translation!$A$5,IF($H32&gt;TIME(0,5,0),Translation!$A$6,IF($M32,Translation!$A$7,$K32))))))),Translation!$A$7)</f>
        <v/>
      </c>
      <c r="F32" s="27"/>
      <c r="G32" s="28"/>
      <c r="H32" s="29"/>
    </row>
    <row r="33">
      <c r="A33" s="6"/>
      <c r="B33" s="6"/>
      <c r="C33" s="6"/>
      <c r="D33" s="14"/>
      <c r="E33" s="26" t="str">
        <f>IFERROR(IF($A33="",,IF($I33="",Translation!$A$2,IF($L33="",Translation!$A$3,IF($N33&lt;&gt;$B33,Translation!$A$4,IF(IFERROR($F33,)="",Translation!$A$5,IF($H33&gt;TIME(0,5,0),Translation!$A$6,IF($M33,Translation!$A$7,$K33))))))),Translation!$A$7)</f>
        <v/>
      </c>
      <c r="F33" s="27"/>
      <c r="G33" s="28"/>
      <c r="H33" s="29"/>
    </row>
    <row r="34">
      <c r="A34" s="6"/>
      <c r="B34" s="6"/>
      <c r="C34" s="6"/>
      <c r="D34" s="14"/>
      <c r="E34" s="26" t="str">
        <f>IFERROR(IF($A34="",,IF($I34="",Translation!$A$2,IF($L34="",Translation!$A$3,IF($N34&lt;&gt;$B34,Translation!$A$4,IF(IFERROR($F34,)="",Translation!$A$5,IF($H34&gt;TIME(0,5,0),Translation!$A$6,IF($M34,Translation!$A$7,$K34))))))),Translation!$A$7)</f>
        <v/>
      </c>
      <c r="F34" s="27"/>
      <c r="G34" s="28"/>
      <c r="H34" s="29"/>
    </row>
    <row r="35">
      <c r="A35" s="6"/>
      <c r="B35" s="6"/>
      <c r="C35" s="6"/>
      <c r="D35" s="14"/>
      <c r="E35" s="26" t="str">
        <f>IFERROR(IF($A35="",,IF($I35="",Translation!$A$2,IF($L35="",Translation!$A$3,IF($N35&lt;&gt;$B35,Translation!$A$4,IF(IFERROR($F35,)="",Translation!$A$5,IF($H35&gt;TIME(0,5,0),Translation!$A$6,IF($M35,Translation!$A$7,$K35))))))),Translation!$A$7)</f>
        <v/>
      </c>
      <c r="F35" s="27"/>
      <c r="G35" s="28"/>
      <c r="H35" s="29"/>
    </row>
    <row r="36">
      <c r="A36" s="6"/>
      <c r="B36" s="6"/>
      <c r="C36" s="6"/>
      <c r="D36" s="14"/>
      <c r="E36" s="26" t="str">
        <f>IFERROR(IF($A36="",,IF($I36="",Translation!$A$2,IF($L36="",Translation!$A$3,IF($N36&lt;&gt;$B36,Translation!$A$4,IF(IFERROR($F36,)="",Translation!$A$5,IF($H36&gt;TIME(0,5,0),Translation!$A$6,IF($M36,Translation!$A$7,$K36))))))),Translation!$A$7)</f>
        <v/>
      </c>
      <c r="F36" s="27"/>
      <c r="G36" s="28"/>
      <c r="H36" s="29"/>
    </row>
    <row r="37">
      <c r="A37" s="6"/>
      <c r="B37" s="6"/>
      <c r="C37" s="6"/>
      <c r="D37" s="14"/>
      <c r="E37" s="26" t="str">
        <f>IFERROR(IF($A37="",,IF($I37="",Translation!$A$2,IF($L37="",Translation!$A$3,IF($N37&lt;&gt;$B37,Translation!$A$4,IF(IFERROR($F37,)="",Translation!$A$5,IF($H37&gt;TIME(0,5,0),Translation!$A$6,IF($M37,Translation!$A$7,$K37))))))),Translation!$A$7)</f>
        <v/>
      </c>
      <c r="F37" s="27"/>
      <c r="G37" s="28"/>
      <c r="H37" s="29"/>
    </row>
    <row r="38">
      <c r="A38" s="6"/>
      <c r="B38" s="6"/>
      <c r="C38" s="6"/>
      <c r="D38" s="14"/>
      <c r="E38" s="26" t="str">
        <f>IFERROR(IF($A38="",,IF($I38="",Translation!$A$2,IF($L38="",Translation!$A$3,IF($N38&lt;&gt;$B38,Translation!$A$4,IF(IFERROR($F38,)="",Translation!$A$5,IF($H38&gt;TIME(0,5,0),Translation!$A$6,IF($M38,Translation!$A$7,$K38))))))),Translation!$A$7)</f>
        <v/>
      </c>
      <c r="F38" s="27"/>
      <c r="G38" s="28"/>
      <c r="H38" s="29"/>
    </row>
    <row r="39">
      <c r="A39" s="6"/>
      <c r="B39" s="6"/>
      <c r="C39" s="6"/>
      <c r="D39" s="14"/>
      <c r="E39" s="26" t="str">
        <f>IFERROR(IF($A39="",,IF($I39="",Translation!$A$2,IF($L39="",Translation!$A$3,IF($N39&lt;&gt;$B39,Translation!$A$4,IF(IFERROR($F39,)="",Translation!$A$5,IF($H39&gt;TIME(0,5,0),Translation!$A$6,IF($M39,Translation!$A$7,$K39))))))),Translation!$A$7)</f>
        <v/>
      </c>
      <c r="F39" s="27"/>
      <c r="G39" s="28"/>
      <c r="H39" s="29"/>
    </row>
    <row r="40">
      <c r="A40" s="6"/>
      <c r="B40" s="6"/>
      <c r="C40" s="6"/>
      <c r="D40" s="14"/>
      <c r="E40" s="26" t="str">
        <f>IFERROR(IF($A40="",,IF($I40="",Translation!$A$2,IF($L40="",Translation!$A$3,IF($N40&lt;&gt;$B40,Translation!$A$4,IF(IFERROR($F40,)="",Translation!$A$5,IF($H40&gt;TIME(0,5,0),Translation!$A$6,IF($M40,Translation!$A$7,$K40))))))),Translation!$A$7)</f>
        <v/>
      </c>
      <c r="F40" s="27"/>
      <c r="G40" s="28"/>
      <c r="H40" s="29"/>
    </row>
    <row r="41">
      <c r="A41" s="6"/>
      <c r="B41" s="6"/>
      <c r="C41" s="6"/>
      <c r="D41" s="14"/>
      <c r="E41" s="26" t="str">
        <f>IFERROR(IF($A41="",,IF($I41="",Translation!$A$2,IF($L41="",Translation!$A$3,IF($N41&lt;&gt;$B41,Translation!$A$4,IF(IFERROR($F41,)="",Translation!$A$5,IF($H41&gt;TIME(0,5,0),Translation!$A$6,IF($M41,Translation!$A$7,$K41))))))),Translation!$A$7)</f>
        <v/>
      </c>
      <c r="F41" s="27"/>
      <c r="G41" s="28"/>
      <c r="H41" s="29"/>
    </row>
    <row r="42">
      <c r="A42" s="6"/>
      <c r="B42" s="6"/>
      <c r="C42" s="6"/>
      <c r="D42" s="14"/>
      <c r="E42" s="26" t="str">
        <f>IFERROR(IF($A42="",,IF($I42="",Translation!$A$2,IF($L42="",Translation!$A$3,IF($N42&lt;&gt;$B42,Translation!$A$4,IF(IFERROR($F42,)="",Translation!$A$5,IF($H42&gt;TIME(0,5,0),Translation!$A$6,IF($M42,Translation!$A$7,$K42))))))),Translation!$A$7)</f>
        <v/>
      </c>
      <c r="F42" s="27"/>
      <c r="G42" s="28"/>
      <c r="H42" s="29"/>
    </row>
    <row r="43">
      <c r="A43" s="6"/>
      <c r="B43" s="6"/>
      <c r="C43" s="6"/>
      <c r="D43" s="14"/>
      <c r="E43" s="26" t="str">
        <f>IFERROR(IF($A43="",,IF($I43="",Translation!$A$2,IF($L43="",Translation!$A$3,IF($N43&lt;&gt;$B43,Translation!$A$4,IF(IFERROR($F43,)="",Translation!$A$5,IF($H43&gt;TIME(0,5,0),Translation!$A$6,IF($M43,Translation!$A$7,$K43))))))),Translation!$A$7)</f>
        <v/>
      </c>
      <c r="F43" s="27"/>
      <c r="G43" s="28"/>
      <c r="H43" s="29"/>
    </row>
    <row r="44">
      <c r="A44" s="6"/>
      <c r="B44" s="6"/>
      <c r="C44" s="6"/>
      <c r="D44" s="14"/>
      <c r="E44" s="26" t="str">
        <f>IFERROR(IF($A44="",,IF($I44="",Translation!$A$2,IF($L44="",Translation!$A$3,IF($N44&lt;&gt;$B44,Translation!$A$4,IF(IFERROR($F44,)="",Translation!$A$5,IF($H44&gt;TIME(0,5,0),Translation!$A$6,IF($M44,Translation!$A$7,$K44))))))),Translation!$A$7)</f>
        <v/>
      </c>
      <c r="F44" s="27"/>
      <c r="G44" s="28"/>
      <c r="H44" s="29"/>
    </row>
    <row r="45">
      <c r="A45" s="6"/>
      <c r="B45" s="6"/>
      <c r="C45" s="6"/>
      <c r="D45" s="14"/>
      <c r="E45" s="26" t="str">
        <f>IFERROR(IF($A45="",,IF($I45="",Translation!$A$2,IF($L45="",Translation!$A$3,IF($N45&lt;&gt;$B45,Translation!$A$4,IF(IFERROR($F45,)="",Translation!$A$5,IF($H45&gt;TIME(0,5,0),Translation!$A$6,IF($M45,Translation!$A$7,$K45))))))),Translation!$A$7)</f>
        <v/>
      </c>
      <c r="F45" s="27"/>
      <c r="G45" s="28"/>
      <c r="H45" s="29"/>
    </row>
    <row r="46">
      <c r="A46" s="6"/>
      <c r="B46" s="6"/>
      <c r="C46" s="6"/>
      <c r="D46" s="14"/>
      <c r="E46" s="26" t="str">
        <f>IFERROR(IF($A46="",,IF($I46="",Translation!$A$2,IF($L46="",Translation!$A$3,IF($N46&lt;&gt;$B46,Translation!$A$4,IF(IFERROR($F46,)="",Translation!$A$5,IF($H46&gt;TIME(0,5,0),Translation!$A$6,IF($M46,Translation!$A$7,$K46))))))),Translation!$A$7)</f>
        <v/>
      </c>
      <c r="F46" s="27"/>
      <c r="G46" s="28"/>
      <c r="H46" s="29"/>
    </row>
    <row r="47">
      <c r="A47" s="6"/>
      <c r="B47" s="6"/>
      <c r="C47" s="6"/>
      <c r="D47" s="14"/>
      <c r="E47" s="26" t="str">
        <f>IFERROR(IF($A47="",,IF($I47="",Translation!$A$2,IF($L47="",Translation!$A$3,IF($N47&lt;&gt;$B47,Translation!$A$4,IF(IFERROR($F47,)="",Translation!$A$5,IF($H47&gt;TIME(0,5,0),Translation!$A$6,IF($M47,Translation!$A$7,$K47))))))),Translation!$A$7)</f>
        <v/>
      </c>
      <c r="F47" s="27"/>
      <c r="G47" s="28"/>
      <c r="H47" s="29"/>
    </row>
    <row r="48">
      <c r="A48" s="6"/>
      <c r="B48" s="6"/>
      <c r="C48" s="6"/>
      <c r="D48" s="14"/>
      <c r="E48" s="26" t="str">
        <f>IFERROR(IF($A48="",,IF($I48="",Translation!$A$2,IF($L48="",Translation!$A$3,IF($N48&lt;&gt;$B48,Translation!$A$4,IF(IFERROR($F48,)="",Translation!$A$5,IF($H48&gt;TIME(0,5,0),Translation!$A$6,IF($M48,Translation!$A$7,$K48))))))),Translation!$A$7)</f>
        <v/>
      </c>
      <c r="F48" s="27"/>
      <c r="G48" s="28"/>
      <c r="H48" s="29"/>
    </row>
    <row r="49">
      <c r="A49" s="6"/>
      <c r="B49" s="6"/>
      <c r="C49" s="6"/>
      <c r="D49" s="14"/>
      <c r="E49" s="26" t="str">
        <f>IFERROR(IF($A49="",,IF($I49="",Translation!$A$2,IF($L49="",Translation!$A$3,IF($N49&lt;&gt;$B49,Translation!$A$4,IF(IFERROR($F49,)="",Translation!$A$5,IF($H49&gt;TIME(0,5,0),Translation!$A$6,IF($M49,Translation!$A$7,$K49))))))),Translation!$A$7)</f>
        <v/>
      </c>
      <c r="F49" s="27"/>
      <c r="G49" s="28"/>
      <c r="H49" s="29"/>
    </row>
    <row r="50">
      <c r="A50" s="6"/>
      <c r="B50" s="6"/>
      <c r="C50" s="6"/>
      <c r="D50" s="14"/>
      <c r="E50" s="26" t="str">
        <f>IFERROR(IF($A50="",,IF($I50="",Translation!$A$2,IF($L50="",Translation!$A$3,IF($N50&lt;&gt;$B50,Translation!$A$4,IF(IFERROR($F50,)="",Translation!$A$5,IF($H50&gt;TIME(0,5,0),Translation!$A$6,IF($M50,Translation!$A$7,$K50))))))),Translation!$A$7)</f>
        <v/>
      </c>
      <c r="F50" s="27"/>
      <c r="G50" s="28"/>
      <c r="H50" s="29"/>
    </row>
    <row r="51">
      <c r="A51" s="6"/>
      <c r="B51" s="6"/>
      <c r="C51" s="6"/>
      <c r="D51" s="14"/>
      <c r="E51" s="26" t="str">
        <f>IFERROR(IF($A51="",,IF($I51="",Translation!$A$2,IF($L51="",Translation!$A$3,IF($N51&lt;&gt;$B51,Translation!$A$4,IF(IFERROR($F51,)="",Translation!$A$5,IF($H51&gt;TIME(0,5,0),Translation!$A$6,IF($M51,Translation!$A$7,$K51))))))),Translation!$A$7)</f>
        <v/>
      </c>
      <c r="F51" s="27"/>
      <c r="G51" s="28"/>
      <c r="H51" s="29"/>
    </row>
    <row r="52">
      <c r="A52" s="6"/>
      <c r="B52" s="6"/>
      <c r="C52" s="6"/>
      <c r="D52" s="14"/>
      <c r="E52" s="26" t="str">
        <f>IFERROR(IF($A52="",,IF($I52="",Translation!$A$2,IF($L52="",Translation!$A$3,IF($N52&lt;&gt;$B52,Translation!$A$4,IF(IFERROR($F52,)="",Translation!$A$5,IF($H52&gt;TIME(0,5,0),Translation!$A$6,IF($M52,Translation!$A$7,$K52))))))),Translation!$A$7)</f>
        <v/>
      </c>
      <c r="F52" s="27"/>
      <c r="G52" s="28"/>
      <c r="H52" s="29"/>
    </row>
    <row r="53">
      <c r="A53" s="6"/>
      <c r="B53" s="6"/>
      <c r="C53" s="6"/>
      <c r="D53" s="14"/>
      <c r="E53" s="26" t="str">
        <f>IFERROR(IF($A53="",,IF($I53="",Translation!$A$2,IF($L53="",Translation!$A$3,IF($N53&lt;&gt;$B53,Translation!$A$4,IF(IFERROR($F53,)="",Translation!$A$5,IF($H53&gt;TIME(0,5,0),Translation!$A$6,IF($M53,Translation!$A$7,$K53))))))),Translation!$A$7)</f>
        <v/>
      </c>
      <c r="F53" s="27"/>
      <c r="G53" s="28"/>
      <c r="H53" s="29"/>
    </row>
    <row r="54">
      <c r="A54" s="6"/>
      <c r="B54" s="6"/>
      <c r="C54" s="6"/>
      <c r="D54" s="14"/>
      <c r="E54" s="26" t="str">
        <f>IFERROR(IF($A54="",,IF($I54="",Translation!$A$2,IF($L54="",Translation!$A$3,IF($N54&lt;&gt;$B54,Translation!$A$4,IF(IFERROR($F54,)="",Translation!$A$5,IF($H54&gt;TIME(0,5,0),Translation!$A$6,IF($M54,Translation!$A$7,$K54))))))),Translation!$A$7)</f>
        <v/>
      </c>
      <c r="F54" s="27"/>
      <c r="G54" s="28"/>
      <c r="H54" s="29"/>
    </row>
    <row r="55">
      <c r="A55" s="6"/>
      <c r="B55" s="6"/>
      <c r="C55" s="6"/>
      <c r="D55" s="14"/>
      <c r="E55" s="26" t="str">
        <f>IFERROR(IF($A55="",,IF($I55="",Translation!$A$2,IF($L55="",Translation!$A$3,IF($N55&lt;&gt;$B55,Translation!$A$4,IF(IFERROR($F55,)="",Translation!$A$5,IF($H55&gt;TIME(0,5,0),Translation!$A$6,IF($M55,Translation!$A$7,$K55))))))),Translation!$A$7)</f>
        <v/>
      </c>
      <c r="F55" s="27"/>
      <c r="G55" s="28"/>
      <c r="H55" s="29"/>
    </row>
    <row r="56">
      <c r="A56" s="6"/>
      <c r="B56" s="6"/>
      <c r="C56" s="6"/>
      <c r="D56" s="14"/>
      <c r="E56" s="26" t="str">
        <f>IFERROR(IF($A56="",,IF($I56="",Translation!$A$2,IF($L56="",Translation!$A$3,IF($N56&lt;&gt;$B56,Translation!$A$4,IF(IFERROR($F56,)="",Translation!$A$5,IF($H56&gt;TIME(0,5,0),Translation!$A$6,IF($M56,Translation!$A$7,$K56))))))),Translation!$A$7)</f>
        <v/>
      </c>
      <c r="F56" s="27"/>
      <c r="G56" s="28"/>
      <c r="H56" s="29"/>
    </row>
    <row r="57">
      <c r="A57" s="6"/>
      <c r="B57" s="6"/>
      <c r="C57" s="6"/>
      <c r="D57" s="14"/>
      <c r="E57" s="26" t="str">
        <f>IFERROR(IF($A57="",,IF($I57="",Translation!$A$2,IF($L57="",Translation!$A$3,IF($N57&lt;&gt;$B57,Translation!$A$4,IF(IFERROR($F57,)="",Translation!$A$5,IF($H57&gt;TIME(0,5,0),Translation!$A$6,IF($M57,Translation!$A$7,$K57))))))),Translation!$A$7)</f>
        <v/>
      </c>
      <c r="F57" s="27"/>
      <c r="G57" s="28"/>
      <c r="H57" s="29"/>
    </row>
    <row r="58">
      <c r="A58" s="6"/>
      <c r="B58" s="6"/>
      <c r="C58" s="6"/>
      <c r="D58" s="14"/>
      <c r="E58" s="26" t="str">
        <f>IFERROR(IF($A58="",,IF($I58="",Translation!$A$2,IF($L58="",Translation!$A$3,IF($N58&lt;&gt;$B58,Translation!$A$4,IF(IFERROR($F58,)="",Translation!$A$5,IF($H58&gt;TIME(0,5,0),Translation!$A$6,IF($M58,Translation!$A$7,$K58))))))),Translation!$A$7)</f>
        <v/>
      </c>
      <c r="F58" s="27"/>
      <c r="G58" s="28"/>
      <c r="H58" s="29"/>
    </row>
    <row r="59">
      <c r="A59" s="6"/>
      <c r="B59" s="6"/>
      <c r="C59" s="6"/>
      <c r="D59" s="14"/>
      <c r="E59" s="26" t="str">
        <f>IFERROR(IF($A59="",,IF($I59="",Translation!$A$2,IF($L59="",Translation!$A$3,IF($N59&lt;&gt;$B59,Translation!$A$4,IF(IFERROR($F59,)="",Translation!$A$5,IF($H59&gt;TIME(0,5,0),Translation!$A$6,IF($M59,Translation!$A$7,$K59))))))),Translation!$A$7)</f>
        <v/>
      </c>
      <c r="F59" s="27"/>
      <c r="G59" s="28"/>
      <c r="H59" s="29"/>
    </row>
    <row r="60">
      <c r="A60" s="6"/>
      <c r="B60" s="6"/>
      <c r="C60" s="6"/>
      <c r="D60" s="14"/>
      <c r="E60" s="26" t="str">
        <f>IFERROR(IF($A60="",,IF($I60="",Translation!$A$2,IF($L60="",Translation!$A$3,IF($N60&lt;&gt;$B60,Translation!$A$4,IF(IFERROR($F60,)="",Translation!$A$5,IF($H60&gt;TIME(0,5,0),Translation!$A$6,IF($M60,Translation!$A$7,$K60))))))),Translation!$A$7)</f>
        <v/>
      </c>
      <c r="F60" s="27"/>
      <c r="G60" s="28"/>
      <c r="H60" s="29"/>
    </row>
    <row r="61">
      <c r="A61" s="6"/>
      <c r="B61" s="6"/>
      <c r="C61" s="6"/>
      <c r="D61" s="14"/>
      <c r="E61" s="26" t="str">
        <f>IFERROR(IF($A61="",,IF($I61="",Translation!$A$2,IF($L61="",Translation!$A$3,IF($N61&lt;&gt;$B61,Translation!$A$4,IF(IFERROR($F61,)="",Translation!$A$5,IF($H61&gt;TIME(0,5,0),Translation!$A$6,IF($M61,Translation!$A$7,$K61))))))),Translation!$A$7)</f>
        <v/>
      </c>
      <c r="F61" s="27"/>
      <c r="G61" s="28"/>
      <c r="H61" s="29"/>
    </row>
    <row r="62">
      <c r="A62" s="6"/>
      <c r="B62" s="6"/>
      <c r="C62" s="6"/>
      <c r="D62" s="14"/>
      <c r="E62" s="26" t="str">
        <f>IFERROR(IF($A62="",,IF($I62="",Translation!$A$2,IF($L62="",Translation!$A$3,IF($N62&lt;&gt;$B62,Translation!$A$4,IF(IFERROR($F62,)="",Translation!$A$5,IF($H62&gt;TIME(0,5,0),Translation!$A$6,IF($M62,Translation!$A$7,$K62))))))),Translation!$A$7)</f>
        <v/>
      </c>
      <c r="F62" s="27"/>
      <c r="G62" s="28"/>
      <c r="H62" s="29"/>
    </row>
    <row r="63">
      <c r="A63" s="6"/>
      <c r="B63" s="6"/>
      <c r="C63" s="6"/>
      <c r="D63" s="14"/>
      <c r="E63" s="26" t="str">
        <f>IFERROR(IF($A63="",,IF($I63="",Translation!$A$2,IF($L63="",Translation!$A$3,IF($N63&lt;&gt;$B63,Translation!$A$4,IF(IFERROR($F63,)="",Translation!$A$5,IF($H63&gt;TIME(0,5,0),Translation!$A$6,IF($M63,Translation!$A$7,$K63))))))),Translation!$A$7)</f>
        <v/>
      </c>
      <c r="F63" s="27"/>
      <c r="G63" s="28"/>
      <c r="H63" s="29"/>
    </row>
    <row r="64">
      <c r="A64" s="6"/>
      <c r="B64" s="6"/>
      <c r="C64" s="6"/>
      <c r="D64" s="14"/>
      <c r="E64" s="26" t="str">
        <f>IFERROR(IF($A64="",,IF($I64="",Translation!$A$2,IF($L64="",Translation!$A$3,IF($N64&lt;&gt;$B64,Translation!$A$4,IF(IFERROR($F64,)="",Translation!$A$5,IF($H64&gt;TIME(0,5,0),Translation!$A$6,IF($M64,Translation!$A$7,$K64))))))),Translation!$A$7)</f>
        <v/>
      </c>
      <c r="F64" s="27"/>
      <c r="G64" s="28"/>
      <c r="H64" s="29"/>
    </row>
    <row r="65">
      <c r="A65" s="6"/>
      <c r="B65" s="6"/>
      <c r="C65" s="6"/>
      <c r="D65" s="14"/>
      <c r="E65" s="26" t="str">
        <f>IFERROR(IF($A65="",,IF($I65="",Translation!$A$2,IF($L65="",Translation!$A$3,IF($N65&lt;&gt;$B65,Translation!$A$4,IF(IFERROR($F65,)="",Translation!$A$5,IF($H65&gt;TIME(0,5,0),Translation!$A$6,IF($M65,Translation!$A$7,$K65))))))),Translation!$A$7)</f>
        <v/>
      </c>
      <c r="F65" s="27"/>
      <c r="G65" s="28"/>
      <c r="H65" s="29"/>
    </row>
    <row r="66">
      <c r="A66" s="6"/>
      <c r="B66" s="6"/>
      <c r="C66" s="6"/>
      <c r="D66" s="14"/>
      <c r="E66" s="26" t="str">
        <f>IFERROR(IF($A66="",,IF($I66="",Translation!$A$2,IF($L66="",Translation!$A$3,IF($N66&lt;&gt;$B66,Translation!$A$4,IF(IFERROR($F66,)="",Translation!$A$5,IF($H66&gt;TIME(0,5,0),Translation!$A$6,IF($M66,Translation!$A$7,$K66))))))),Translation!$A$7)</f>
        <v/>
      </c>
      <c r="F66" s="27"/>
      <c r="G66" s="28"/>
      <c r="H66" s="29"/>
    </row>
    <row r="67">
      <c r="A67" s="6"/>
      <c r="B67" s="6"/>
      <c r="C67" s="6"/>
      <c r="D67" s="14"/>
      <c r="E67" s="26" t="str">
        <f>IFERROR(IF($A67="",,IF($I67="",Translation!$A$2,IF($L67="",Translation!$A$3,IF($N67&lt;&gt;$B67,Translation!$A$4,IF(IFERROR($F67,)="",Translation!$A$5,IF($H67&gt;TIME(0,5,0),Translation!$A$6,IF($M67,Translation!$A$7,$K67))))))),Translation!$A$7)</f>
        <v/>
      </c>
      <c r="F67" s="27"/>
      <c r="G67" s="28"/>
      <c r="H67" s="29"/>
    </row>
    <row r="68">
      <c r="A68" s="6"/>
      <c r="B68" s="6"/>
      <c r="C68" s="6"/>
      <c r="D68" s="14"/>
      <c r="E68" s="26" t="str">
        <f>IFERROR(IF($A68="",,IF($I68="",Translation!$A$2,IF($L68="",Translation!$A$3,IF($N68&lt;&gt;$B68,Translation!$A$4,IF(IFERROR($F68,)="",Translation!$A$5,IF($H68&gt;TIME(0,5,0),Translation!$A$6,IF($M68,Translation!$A$7,$K68))))))),Translation!$A$7)</f>
        <v/>
      </c>
      <c r="F68" s="27"/>
      <c r="G68" s="28"/>
      <c r="H68" s="29"/>
    </row>
    <row r="69">
      <c r="A69" s="6"/>
      <c r="B69" s="6"/>
      <c r="C69" s="6"/>
      <c r="D69" s="14"/>
      <c r="E69" s="26" t="str">
        <f>IFERROR(IF($A69="",,IF($I69="",Translation!$A$2,IF($L69="",Translation!$A$3,IF($N69&lt;&gt;$B69,Translation!$A$4,IF(IFERROR($F69,)="",Translation!$A$5,IF($H69&gt;TIME(0,5,0),Translation!$A$6,IF($M69,Translation!$A$7,$K69))))))),Translation!$A$7)</f>
        <v/>
      </c>
      <c r="F69" s="27"/>
      <c r="G69" s="28"/>
      <c r="H69" s="29"/>
    </row>
    <row r="70">
      <c r="A70" s="6"/>
      <c r="B70" s="6"/>
      <c r="C70" s="6"/>
      <c r="D70" s="14"/>
      <c r="E70" s="26" t="str">
        <f>IFERROR(IF($A70="",,IF($I70="",Translation!$A$2,IF($L70="",Translation!$A$3,IF($N70&lt;&gt;$B70,Translation!$A$4,IF(IFERROR($F70,)="",Translation!$A$5,IF($H70&gt;TIME(0,5,0),Translation!$A$6,IF($M70,Translation!$A$7,$K70))))))),Translation!$A$7)</f>
        <v/>
      </c>
      <c r="F70" s="27"/>
      <c r="G70" s="28"/>
      <c r="H70" s="29"/>
    </row>
    <row r="71">
      <c r="A71" s="6"/>
      <c r="B71" s="6"/>
      <c r="C71" s="6"/>
      <c r="D71" s="14"/>
      <c r="E71" s="26" t="str">
        <f>IFERROR(IF($A71="",,IF($I71="",Translation!$A$2,IF($L71="",Translation!$A$3,IF($N71&lt;&gt;$B71,Translation!$A$4,IF(IFERROR($F71,)="",Translation!$A$5,IF($H71&gt;TIME(0,5,0),Translation!$A$6,IF($M71,Translation!$A$7,$K71))))))),Translation!$A$7)</f>
        <v/>
      </c>
      <c r="F71" s="27"/>
      <c r="G71" s="28"/>
      <c r="H71" s="29"/>
    </row>
    <row r="72">
      <c r="A72" s="6"/>
      <c r="B72" s="6"/>
      <c r="C72" s="6"/>
      <c r="D72" s="14"/>
      <c r="E72" s="26" t="str">
        <f>IFERROR(IF($A72="",,IF($I72="",Translation!$A$2,IF($L72="",Translation!$A$3,IF($N72&lt;&gt;$B72,Translation!$A$4,IF(IFERROR($F72,)="",Translation!$A$5,IF($H72&gt;TIME(0,5,0),Translation!$A$6,IF($M72,Translation!$A$7,$K72))))))),Translation!$A$7)</f>
        <v/>
      </c>
      <c r="F72" s="27"/>
      <c r="G72" s="28"/>
      <c r="H72" s="29"/>
    </row>
    <row r="73">
      <c r="A73" s="6"/>
      <c r="B73" s="6"/>
      <c r="C73" s="6"/>
      <c r="D73" s="14"/>
      <c r="E73" s="26" t="str">
        <f>IFERROR(IF($A73="",,IF($I73="",Translation!$A$2,IF($L73="",Translation!$A$3,IF($N73&lt;&gt;$B73,Translation!$A$4,IF(IFERROR($F73,)="",Translation!$A$5,IF($H73&gt;TIME(0,5,0),Translation!$A$6,IF($M73,Translation!$A$7,$K73))))))),Translation!$A$7)</f>
        <v/>
      </c>
      <c r="F73" s="27"/>
      <c r="G73" s="28"/>
      <c r="H73" s="29"/>
    </row>
    <row r="74">
      <c r="A74" s="6"/>
      <c r="B74" s="6"/>
      <c r="C74" s="6"/>
      <c r="D74" s="14"/>
      <c r="E74" s="26" t="str">
        <f>IFERROR(IF($A74="",,IF($I74="",Translation!$A$2,IF($L74="",Translation!$A$3,IF($N74&lt;&gt;$B74,Translation!$A$4,IF(IFERROR($F74,)="",Translation!$A$5,IF($H74&gt;TIME(0,5,0),Translation!$A$6,IF($M74,Translation!$A$7,$K74))))))),Translation!$A$7)</f>
        <v/>
      </c>
      <c r="F74" s="27"/>
      <c r="G74" s="28"/>
      <c r="H74" s="29"/>
    </row>
    <row r="75">
      <c r="A75" s="6"/>
      <c r="B75" s="6"/>
      <c r="C75" s="6"/>
      <c r="D75" s="14"/>
      <c r="E75" s="26" t="str">
        <f>IFERROR(IF($A75="",,IF($I75="",Translation!$A$2,IF($L75="",Translation!$A$3,IF($N75&lt;&gt;$B75,Translation!$A$4,IF(IFERROR($F75,)="",Translation!$A$5,IF($H75&gt;TIME(0,5,0),Translation!$A$6,IF($M75,Translation!$A$7,$K75))))))),Translation!$A$7)</f>
        <v/>
      </c>
      <c r="F75" s="27"/>
      <c r="G75" s="28"/>
      <c r="H75" s="29"/>
    </row>
    <row r="76">
      <c r="A76" s="6"/>
      <c r="B76" s="6"/>
      <c r="C76" s="6"/>
      <c r="D76" s="14"/>
      <c r="E76" s="26" t="str">
        <f>IFERROR(IF($A76="",,IF($I76="",Translation!$A$2,IF($L76="",Translation!$A$3,IF($N76&lt;&gt;$B76,Translation!$A$4,IF(IFERROR($F76,)="",Translation!$A$5,IF($H76&gt;TIME(0,5,0),Translation!$A$6,IF($M76,Translation!$A$7,$K76))))))),Translation!$A$7)</f>
        <v/>
      </c>
      <c r="F76" s="27"/>
      <c r="G76" s="28"/>
      <c r="H76" s="29"/>
    </row>
    <row r="77">
      <c r="A77" s="6"/>
      <c r="B77" s="6"/>
      <c r="C77" s="6"/>
      <c r="D77" s="14"/>
      <c r="E77" s="26" t="str">
        <f>IFERROR(IF($A77="",,IF($I77="",Translation!$A$2,IF($L77="",Translation!$A$3,IF($N77&lt;&gt;$B77,Translation!$A$4,IF(IFERROR($F77,)="",Translation!$A$5,IF($H77&gt;TIME(0,5,0),Translation!$A$6,IF($M77,Translation!$A$7,$K77))))))),Translation!$A$7)</f>
        <v/>
      </c>
      <c r="F77" s="27"/>
      <c r="G77" s="28"/>
      <c r="H77" s="29"/>
    </row>
    <row r="78">
      <c r="A78" s="6"/>
      <c r="B78" s="6"/>
      <c r="C78" s="6"/>
      <c r="D78" s="14"/>
      <c r="E78" s="26" t="str">
        <f>IFERROR(IF($A78="",,IF($I78="",Translation!$A$2,IF($L78="",Translation!$A$3,IF($N78&lt;&gt;$B78,Translation!$A$4,IF(IFERROR($F78,)="",Translation!$A$5,IF($H78&gt;TIME(0,5,0),Translation!$A$6,IF($M78,Translation!$A$7,$K78))))))),Translation!$A$7)</f>
        <v/>
      </c>
      <c r="F78" s="27"/>
      <c r="G78" s="28"/>
      <c r="H78" s="29"/>
    </row>
    <row r="79">
      <c r="A79" s="6"/>
      <c r="B79" s="6"/>
      <c r="C79" s="6"/>
      <c r="D79" s="14"/>
      <c r="E79" s="26" t="str">
        <f>IFERROR(IF($A79="",,IF($I79="",Translation!$A$2,IF($L79="",Translation!$A$3,IF($N79&lt;&gt;$B79,Translation!$A$4,IF(IFERROR($F79,)="",Translation!$A$5,IF($H79&gt;TIME(0,5,0),Translation!$A$6,IF($M79,Translation!$A$7,$K79))))))),Translation!$A$7)</f>
        <v/>
      </c>
      <c r="F79" s="27"/>
      <c r="G79" s="28"/>
      <c r="H79" s="29"/>
    </row>
    <row r="80">
      <c r="A80" s="6"/>
      <c r="B80" s="6"/>
      <c r="C80" s="6"/>
      <c r="D80" s="14"/>
      <c r="E80" s="26" t="str">
        <f>IFERROR(IF($A80="",,IF($I80="",Translation!$A$2,IF($L80="",Translation!$A$3,IF($N80&lt;&gt;$B80,Translation!$A$4,IF(IFERROR($F80,)="",Translation!$A$5,IF($H80&gt;TIME(0,5,0),Translation!$A$6,IF($M80,Translation!$A$7,$K80))))))),Translation!$A$7)</f>
        <v/>
      </c>
      <c r="F80" s="27"/>
      <c r="G80" s="28"/>
      <c r="H80" s="29"/>
    </row>
    <row r="81">
      <c r="A81" s="6"/>
      <c r="B81" s="6"/>
      <c r="C81" s="6"/>
      <c r="D81" s="14"/>
      <c r="E81" s="26" t="str">
        <f>IFERROR(IF($A81="",,IF($I81="",Translation!$A$2,IF($L81="",Translation!$A$3,IF($N81&lt;&gt;$B81,Translation!$A$4,IF(IFERROR($F81,)="",Translation!$A$5,IF($H81&gt;TIME(0,5,0),Translation!$A$6,IF($M81,Translation!$A$7,$K81))))))),Translation!$A$7)</f>
        <v/>
      </c>
      <c r="F81" s="27"/>
      <c r="G81" s="28"/>
      <c r="H81" s="29"/>
    </row>
    <row r="82">
      <c r="A82" s="6"/>
      <c r="B82" s="6"/>
      <c r="C82" s="6"/>
      <c r="D82" s="14"/>
      <c r="E82" s="26" t="str">
        <f>IFERROR(IF($A82="",,IF($I82="",Translation!$A$2,IF($L82="",Translation!$A$3,IF($N82&lt;&gt;$B82,Translation!$A$4,IF(IFERROR($F82,)="",Translation!$A$5,IF($H82&gt;TIME(0,5,0),Translation!$A$6,IF($M82,Translation!$A$7,$K82))))))),Translation!$A$7)</f>
        <v/>
      </c>
      <c r="F82" s="27"/>
      <c r="G82" s="28"/>
      <c r="H82" s="29"/>
    </row>
    <row r="83">
      <c r="A83" s="6"/>
      <c r="B83" s="6"/>
      <c r="C83" s="6"/>
      <c r="D83" s="14"/>
      <c r="E83" s="26" t="str">
        <f>IFERROR(IF($A83="",,IF($I83="",Translation!$A$2,IF($L83="",Translation!$A$3,IF($N83&lt;&gt;$B83,Translation!$A$4,IF(IFERROR($F83,)="",Translation!$A$5,IF($H83&gt;TIME(0,5,0),Translation!$A$6,IF($M83,Translation!$A$7,$K83))))))),Translation!$A$7)</f>
        <v/>
      </c>
      <c r="F83" s="27"/>
      <c r="G83" s="28"/>
      <c r="H83" s="29"/>
    </row>
    <row r="84">
      <c r="A84" s="6"/>
      <c r="B84" s="6"/>
      <c r="C84" s="6"/>
      <c r="D84" s="14"/>
      <c r="E84" s="26" t="str">
        <f>IFERROR(IF($A84="",,IF($I84="",Translation!$A$2,IF($L84="",Translation!$A$3,IF($N84&lt;&gt;$B84,Translation!$A$4,IF(IFERROR($F84,)="",Translation!$A$5,IF($H84&gt;TIME(0,5,0),Translation!$A$6,IF($M84,Translation!$A$7,$K84))))))),Translation!$A$7)</f>
        <v/>
      </c>
      <c r="F84" s="27"/>
      <c r="G84" s="28"/>
      <c r="H84" s="29"/>
    </row>
    <row r="85">
      <c r="A85" s="6"/>
      <c r="B85" s="6"/>
      <c r="C85" s="6"/>
      <c r="D85" s="14"/>
      <c r="E85" s="26" t="str">
        <f>IFERROR(IF($A85="",,IF($I85="",Translation!$A$2,IF($L85="",Translation!$A$3,IF($N85&lt;&gt;$B85,Translation!$A$4,IF(IFERROR($F85,)="",Translation!$A$5,IF($H85&gt;TIME(0,5,0),Translation!$A$6,IF($M85,Translation!$A$7,$K85))))))),Translation!$A$7)</f>
        <v/>
      </c>
      <c r="F85" s="27"/>
      <c r="G85" s="28"/>
      <c r="H85" s="29"/>
    </row>
    <row r="86">
      <c r="A86" s="6"/>
      <c r="B86" s="6"/>
      <c r="C86" s="6"/>
      <c r="D86" s="14"/>
      <c r="E86" s="26" t="str">
        <f>IFERROR(IF($A86="",,IF($I86="",Translation!$A$2,IF($L86="",Translation!$A$3,IF($N86&lt;&gt;$B86,Translation!$A$4,IF(IFERROR($F86,)="",Translation!$A$5,IF($H86&gt;TIME(0,5,0),Translation!$A$6,IF($M86,Translation!$A$7,$K86))))))),Translation!$A$7)</f>
        <v/>
      </c>
      <c r="F86" s="27"/>
      <c r="G86" s="28"/>
      <c r="H86" s="29"/>
    </row>
    <row r="87">
      <c r="A87" s="6"/>
      <c r="B87" s="6"/>
      <c r="C87" s="6"/>
      <c r="D87" s="14"/>
      <c r="E87" s="26" t="str">
        <f>IFERROR(IF($A87="",,IF($I87="",Translation!$A$2,IF($L87="",Translation!$A$3,IF($N87&lt;&gt;$B87,Translation!$A$4,IF(IFERROR($F87,)="",Translation!$A$5,IF($H87&gt;TIME(0,5,0),Translation!$A$6,IF($M87,Translation!$A$7,$K87))))))),Translation!$A$7)</f>
        <v/>
      </c>
      <c r="F87" s="27"/>
      <c r="G87" s="28"/>
      <c r="H87" s="29"/>
    </row>
    <row r="88">
      <c r="A88" s="6"/>
      <c r="B88" s="6"/>
      <c r="C88" s="6"/>
      <c r="D88" s="14"/>
      <c r="E88" s="26" t="str">
        <f>IFERROR(IF($A88="",,IF($I88="",Translation!$A$2,IF($L88="",Translation!$A$3,IF($N88&lt;&gt;$B88,Translation!$A$4,IF(IFERROR($F88,)="",Translation!$A$5,IF($H88&gt;TIME(0,5,0),Translation!$A$6,IF($M88,Translation!$A$7,$K88))))))),Translation!$A$7)</f>
        <v/>
      </c>
      <c r="F88" s="27"/>
      <c r="G88" s="28"/>
      <c r="H88" s="29"/>
    </row>
    <row r="89">
      <c r="A89" s="6"/>
      <c r="B89" s="6"/>
      <c r="C89" s="6"/>
      <c r="D89" s="14"/>
      <c r="E89" s="26" t="str">
        <f>IFERROR(IF($A89="",,IF($I89="",Translation!$A$2,IF($L89="",Translation!$A$3,IF($N89&lt;&gt;$B89,Translation!$A$4,IF(IFERROR($F89,)="",Translation!$A$5,IF($H89&gt;TIME(0,5,0),Translation!$A$6,IF($M89,Translation!$A$7,$K89))))))),Translation!$A$7)</f>
        <v/>
      </c>
      <c r="F89" s="27"/>
      <c r="G89" s="28"/>
      <c r="H89" s="29"/>
    </row>
    <row r="90">
      <c r="A90" s="6"/>
      <c r="B90" s="6"/>
      <c r="C90" s="6"/>
      <c r="D90" s="14"/>
      <c r="E90" s="26" t="str">
        <f>IFERROR(IF($A90="",,IF($I90="",Translation!$A$2,IF($L90="",Translation!$A$3,IF($N90&lt;&gt;$B90,Translation!$A$4,IF(IFERROR($F90,)="",Translation!$A$5,IF($H90&gt;TIME(0,5,0),Translation!$A$6,IF($M90,Translation!$A$7,$K90))))))),Translation!$A$7)</f>
        <v/>
      </c>
      <c r="F90" s="27"/>
      <c r="G90" s="28"/>
      <c r="H90" s="29"/>
    </row>
    <row r="91">
      <c r="A91" s="6"/>
      <c r="B91" s="6"/>
      <c r="C91" s="6"/>
      <c r="D91" s="14"/>
      <c r="E91" s="26" t="str">
        <f>IFERROR(IF($A91="",,IF($I91="",Translation!$A$2,IF($L91="",Translation!$A$3,IF($N91&lt;&gt;$B91,Translation!$A$4,IF(IFERROR($F91,)="",Translation!$A$5,IF($H91&gt;TIME(0,5,0),Translation!$A$6,IF($M91,Translation!$A$7,$K91))))))),Translation!$A$7)</f>
        <v/>
      </c>
      <c r="F91" s="27"/>
      <c r="G91" s="28"/>
      <c r="H91" s="29"/>
    </row>
    <row r="92">
      <c r="A92" s="6"/>
      <c r="B92" s="6"/>
      <c r="C92" s="6"/>
      <c r="D92" s="14"/>
      <c r="E92" s="26" t="str">
        <f>IFERROR(IF($A92="",,IF($I92="",Translation!$A$2,IF($L92="",Translation!$A$3,IF($N92&lt;&gt;$B92,Translation!$A$4,IF(IFERROR($F92,)="",Translation!$A$5,IF($H92&gt;TIME(0,5,0),Translation!$A$6,IF($M92,Translation!$A$7,$K92))))))),Translation!$A$7)</f>
        <v/>
      </c>
      <c r="F92" s="27"/>
      <c r="G92" s="28"/>
      <c r="H92" s="29"/>
    </row>
    <row r="93">
      <c r="A93" s="6"/>
      <c r="B93" s="6"/>
      <c r="C93" s="6"/>
      <c r="D93" s="14"/>
      <c r="E93" s="26" t="str">
        <f>IFERROR(IF($A93="",,IF($I93="",Translation!$A$2,IF($L93="",Translation!$A$3,IF($N93&lt;&gt;$B93,Translation!$A$4,IF(IFERROR($F93,)="",Translation!$A$5,IF($H93&gt;TIME(0,5,0),Translation!$A$6,IF($M93,Translation!$A$7,$K93))))))),Translation!$A$7)</f>
        <v/>
      </c>
      <c r="F93" s="27"/>
      <c r="G93" s="28"/>
      <c r="H93" s="29"/>
    </row>
    <row r="94">
      <c r="A94" s="6"/>
      <c r="B94" s="6"/>
      <c r="C94" s="6"/>
      <c r="D94" s="14"/>
      <c r="E94" s="26" t="str">
        <f>IFERROR(IF($A94="",,IF($I94="",Translation!$A$2,IF($L94="",Translation!$A$3,IF($N94&lt;&gt;$B94,Translation!$A$4,IF(IFERROR($F94,)="",Translation!$A$5,IF($H94&gt;TIME(0,5,0),Translation!$A$6,IF($M94,Translation!$A$7,$K94))))))),Translation!$A$7)</f>
        <v/>
      </c>
      <c r="F94" s="27"/>
      <c r="G94" s="28"/>
      <c r="H94" s="29"/>
    </row>
    <row r="95">
      <c r="A95" s="6"/>
      <c r="B95" s="6"/>
      <c r="C95" s="6"/>
      <c r="D95" s="14"/>
      <c r="E95" s="26" t="str">
        <f>IFERROR(IF($A95="",,IF($I95="",Translation!$A$2,IF($L95="",Translation!$A$3,IF($N95&lt;&gt;$B95,Translation!$A$4,IF(IFERROR($F95,)="",Translation!$A$5,IF($H95&gt;TIME(0,5,0),Translation!$A$6,IF($M95,Translation!$A$7,$K95))))))),Translation!$A$7)</f>
        <v/>
      </c>
      <c r="F95" s="27"/>
      <c r="G95" s="28"/>
      <c r="H95" s="29"/>
    </row>
    <row r="96">
      <c r="A96" s="6"/>
      <c r="B96" s="6"/>
      <c r="C96" s="6"/>
      <c r="D96" s="14"/>
      <c r="E96" s="26" t="str">
        <f>IFERROR(IF($A96="",,IF($I96="",Translation!$A$2,IF($L96="",Translation!$A$3,IF($N96&lt;&gt;$B96,Translation!$A$4,IF(IFERROR($F96,)="",Translation!$A$5,IF($H96&gt;TIME(0,5,0),Translation!$A$6,IF($M96,Translation!$A$7,$K96))))))),Translation!$A$7)</f>
        <v/>
      </c>
      <c r="F96" s="27"/>
      <c r="G96" s="28"/>
      <c r="H96" s="29"/>
    </row>
    <row r="97">
      <c r="A97" s="6"/>
      <c r="B97" s="6"/>
      <c r="C97" s="6"/>
      <c r="D97" s="14"/>
      <c r="E97" s="26" t="str">
        <f>IFERROR(IF($A97="",,IF($I97="",Translation!$A$2,IF($L97="",Translation!$A$3,IF($N97&lt;&gt;$B97,Translation!$A$4,IF(IFERROR($F97,)="",Translation!$A$5,IF($H97&gt;TIME(0,5,0),Translation!$A$6,IF($M97,Translation!$A$7,$K97))))))),Translation!$A$7)</f>
        <v/>
      </c>
      <c r="F97" s="27"/>
      <c r="G97" s="28"/>
      <c r="H97" s="29"/>
    </row>
    <row r="98">
      <c r="A98" s="6"/>
      <c r="B98" s="6"/>
      <c r="C98" s="6"/>
      <c r="D98" s="14"/>
      <c r="E98" s="26" t="str">
        <f>IFERROR(IF($A98="",,IF($I98="",Translation!$A$2,IF($L98="",Translation!$A$3,IF($N98&lt;&gt;$B98,Translation!$A$4,IF(IFERROR($F98,)="",Translation!$A$5,IF($H98&gt;TIME(0,5,0),Translation!$A$6,IF($M98,Translation!$A$7,$K98))))))),Translation!$A$7)</f>
        <v/>
      </c>
      <c r="F98" s="27"/>
      <c r="G98" s="28"/>
      <c r="H98" s="29"/>
    </row>
    <row r="99">
      <c r="A99" s="6"/>
      <c r="B99" s="6"/>
      <c r="C99" s="6"/>
      <c r="D99" s="14"/>
      <c r="E99" s="26" t="str">
        <f>IFERROR(IF($A99="",,IF($I99="",Translation!$A$2,IF($L99="",Translation!$A$3,IF($N99&lt;&gt;$B99,Translation!$A$4,IF(IFERROR($F99,)="",Translation!$A$5,IF($H99&gt;TIME(0,5,0),Translation!$A$6,IF($M99,Translation!$A$7,$K99))))))),Translation!$A$7)</f>
        <v/>
      </c>
      <c r="F99" s="27"/>
      <c r="G99" s="28"/>
      <c r="H99" s="29"/>
    </row>
    <row r="100">
      <c r="D100" s="14"/>
      <c r="E100" s="26" t="str">
        <f>IFERROR(IF($A100="",,IF($I100="",Translation!$A$2,IF($L100="",Translation!$A$3,IF($N100&lt;&gt;$B100,Translation!$A$4,IF(IFERROR($F100,)="",Translation!$A$5,IF($H100&gt;TIME(0,5,0),Translation!$A$6,IF($M100,Translation!$A$7,$K100))))))),Translation!$A$7)</f>
        <v/>
      </c>
      <c r="F100" s="27"/>
      <c r="G100" s="28"/>
      <c r="H100" s="29"/>
    </row>
    <row r="101">
      <c r="D101" s="14"/>
      <c r="E101" s="26" t="str">
        <f>IFERROR(IF($A101="",,IF($I101="",Translation!$A$2,IF($L101="",Translation!$A$3,IF($N101&lt;&gt;$B101,Translation!$A$4,IF(IFERROR($F101,)="",Translation!$A$5,IF($H101&gt;TIME(0,5,0),Translation!$A$6,IF($M101,Translation!$A$7,$K101))))))),Translation!$A$7)</f>
        <v/>
      </c>
      <c r="F101" s="27"/>
      <c r="G101" s="28"/>
      <c r="H101" s="29"/>
    </row>
    <row r="102">
      <c r="D102" s="14"/>
      <c r="E102" s="26" t="str">
        <f>IFERROR(IF($A102="",,IF($I102="",Translation!$A$2,IF($L102="",Translation!$A$3,IF($N102&lt;&gt;$B102,Translation!$A$4,IF(IFERROR($F102,)="",Translation!$A$5,IF($H102&gt;TIME(0,5,0),Translation!$A$6,IF($M102,Translation!$A$7,$K102))))))),Translation!$A$7)</f>
        <v/>
      </c>
      <c r="F102" s="27"/>
      <c r="G102" s="28"/>
      <c r="H102" s="29"/>
    </row>
    <row r="103">
      <c r="D103" s="14"/>
      <c r="E103" s="26" t="str">
        <f>IFERROR(IF($A103="",,IF($I103="",Translation!$A$2,IF($L103="",Translation!$A$3,IF($N103&lt;&gt;$B103,Translation!$A$4,IF(IFERROR($F103,)="",Translation!$A$5,IF($H103&gt;TIME(0,5,0),Translation!$A$6,IF($M103,Translation!$A$7,$K103))))))),Translation!$A$7)</f>
        <v/>
      </c>
      <c r="F103" s="27"/>
      <c r="G103" s="28"/>
      <c r="H103" s="29"/>
    </row>
    <row r="104">
      <c r="D104" s="14"/>
      <c r="E104" s="26" t="str">
        <f>IFERROR(IF($A104="",,IF($I104="",Translation!$A$2,IF($L104="",Translation!$A$3,IF($N104&lt;&gt;$B104,Translation!$A$4,IF(IFERROR($F104,)="",Translation!$A$5,IF($H104&gt;TIME(0,5,0),Translation!$A$6,IF($M104,Translation!$A$7,$K104))))))),Translation!$A$7)</f>
        <v/>
      </c>
      <c r="F104" s="27"/>
      <c r="G104" s="28"/>
      <c r="H104" s="29"/>
    </row>
    <row r="105">
      <c r="D105" s="14"/>
      <c r="E105" s="26" t="str">
        <f>IFERROR(IF($A105="",,IF($I105="",Translation!$A$2,IF($L105="",Translation!$A$3,IF($N105&lt;&gt;$B105,Translation!$A$4,IF(IFERROR($F105,)="",Translation!$A$5,IF($H105&gt;TIME(0,5,0),Translation!$A$6,IF($M105,Translation!$A$7,$K105))))))),Translation!$A$7)</f>
        <v/>
      </c>
      <c r="F105" s="27"/>
      <c r="G105" s="28"/>
      <c r="H105" s="29"/>
    </row>
    <row r="106">
      <c r="D106" s="14"/>
      <c r="E106" s="26" t="str">
        <f>IFERROR(IF($A106="",,IF($I106="",Translation!$A$2,IF($L106="",Translation!$A$3,IF($N106&lt;&gt;$B106,Translation!$A$4,IF(IFERROR($F106,)="",Translation!$A$5,IF($H106&gt;TIME(0,5,0),Translation!$A$6,IF($M106,Translation!$A$7,$K106))))))),Translation!$A$7)</f>
        <v/>
      </c>
      <c r="F106" s="27"/>
      <c r="G106" s="28"/>
      <c r="H106" s="29"/>
    </row>
    <row r="107">
      <c r="D107" s="14"/>
      <c r="E107" s="26" t="str">
        <f>IFERROR(IF($A107="",,IF($I107="",Translation!$A$2,IF($L107="",Translation!$A$3,IF($N107&lt;&gt;$B107,Translation!$A$4,IF(IFERROR($F107,)="",Translation!$A$5,IF($H107&gt;TIME(0,5,0),Translation!$A$6,IF($M107,Translation!$A$7,$K107))))))),Translation!$A$7)</f>
        <v/>
      </c>
      <c r="F107" s="27"/>
      <c r="G107" s="28"/>
      <c r="H107" s="29"/>
    </row>
    <row r="108">
      <c r="D108" s="14"/>
      <c r="E108" s="26" t="str">
        <f>IFERROR(IF($A108="",,IF($I108="",Translation!$A$2,IF($L108="",Translation!$A$3,IF($N108&lt;&gt;$B108,Translation!$A$4,IF(IFERROR($F108,)="",Translation!$A$5,IF($H108&gt;TIME(0,5,0),Translation!$A$6,IF($M108,Translation!$A$7,$K108))))))),Translation!$A$7)</f>
        <v/>
      </c>
      <c r="F108" s="27"/>
      <c r="G108" s="28"/>
      <c r="H108" s="29"/>
    </row>
    <row r="109">
      <c r="D109" s="14"/>
      <c r="E109" s="26" t="str">
        <f>IFERROR(IF($A109="",,IF($I109="",Translation!$A$2,IF($L109="",Translation!$A$3,IF($N109&lt;&gt;$B109,Translation!$A$4,IF(IFERROR($F109,)="",Translation!$A$5,IF($H109&gt;TIME(0,5,0),Translation!$A$6,IF($M109,Translation!$A$7,$K109))))))),Translation!$A$7)</f>
        <v/>
      </c>
      <c r="F109" s="27"/>
      <c r="G109" s="28"/>
      <c r="H109" s="29"/>
    </row>
    <row r="110">
      <c r="D110" s="14"/>
      <c r="E110" s="26" t="str">
        <f>IFERROR(IF($A110="",,IF($I110="",Translation!$A$2,IF($L110="",Translation!$A$3,IF($N110&lt;&gt;$B110,Translation!$A$4,IF(IFERROR($F110,)="",Translation!$A$5,IF($H110&gt;TIME(0,5,0),Translation!$A$6,IF($M110,Translation!$A$7,$K110))))))),Translation!$A$7)</f>
        <v/>
      </c>
      <c r="F110" s="27"/>
      <c r="G110" s="28"/>
      <c r="H110" s="29"/>
    </row>
    <row r="111">
      <c r="D111" s="14"/>
      <c r="E111" s="26" t="str">
        <f>IFERROR(IF($A111="",,IF($I111="",Translation!$A$2,IF($L111="",Translation!$A$3,IF($N111&lt;&gt;$B111,Translation!$A$4,IF(IFERROR($F111,)="",Translation!$A$5,IF($H111&gt;TIME(0,5,0),Translation!$A$6,IF($M111,Translation!$A$7,$K111))))))),Translation!$A$7)</f>
        <v/>
      </c>
      <c r="F111" s="27"/>
      <c r="G111" s="28"/>
      <c r="H111" s="29"/>
    </row>
    <row r="112">
      <c r="D112" s="14"/>
      <c r="E112" s="26" t="str">
        <f>IFERROR(IF($A112="",,IF($I112="",Translation!$A$2,IF($L112="",Translation!$A$3,IF($N112&lt;&gt;$B112,Translation!$A$4,IF(IFERROR($F112,)="",Translation!$A$5,IF($H112&gt;TIME(0,5,0),Translation!$A$6,IF($M112,Translation!$A$7,$K112))))))),Translation!$A$7)</f>
        <v/>
      </c>
      <c r="F112" s="27"/>
      <c r="G112" s="28"/>
      <c r="H112" s="29"/>
    </row>
    <row r="113">
      <c r="D113" s="14"/>
      <c r="E113" s="26" t="str">
        <f>IFERROR(IF($A113="",,IF($I113="",Translation!$A$2,IF($L113="",Translation!$A$3,IF($N113&lt;&gt;$B113,Translation!$A$4,IF(IFERROR($F113,)="",Translation!$A$5,IF($H113&gt;TIME(0,5,0),Translation!$A$6,IF($M113,Translation!$A$7,$K113))))))),Translation!$A$7)</f>
        <v/>
      </c>
      <c r="F113" s="27"/>
      <c r="G113" s="28"/>
      <c r="H113" s="29"/>
    </row>
    <row r="114">
      <c r="D114" s="14"/>
      <c r="E114" s="26" t="str">
        <f>IFERROR(IF($A114="",,IF($I114="",Translation!$A$2,IF($L114="",Translation!$A$3,IF($N114&lt;&gt;$B114,Translation!$A$4,IF(IFERROR($F114,)="",Translation!$A$5,IF($H114&gt;TIME(0,5,0),Translation!$A$6,IF($M114,Translation!$A$7,$K114))))))),Translation!$A$7)</f>
        <v/>
      </c>
      <c r="F114" s="27"/>
      <c r="G114" s="28"/>
      <c r="H114" s="29"/>
    </row>
    <row r="115">
      <c r="D115" s="14"/>
      <c r="E115" s="26" t="str">
        <f>IFERROR(IF($A115="",,IF($I115="",Translation!$A$2,IF($L115="",Translation!$A$3,IF($N115&lt;&gt;$B115,Translation!$A$4,IF(IFERROR($F115,)="",Translation!$A$5,IF($H115&gt;TIME(0,5,0),Translation!$A$6,IF($M115,Translation!$A$7,$K115))))))),Translation!$A$7)</f>
        <v/>
      </c>
      <c r="F115" s="27"/>
      <c r="G115" s="28"/>
      <c r="H115" s="29"/>
    </row>
    <row r="116">
      <c r="D116" s="14"/>
      <c r="E116" s="26" t="str">
        <f>IFERROR(IF($A116="",,IF($I116="",Translation!$A$2,IF($L116="",Translation!$A$3,IF($N116&lt;&gt;$B116,Translation!$A$4,IF(IFERROR($F116,)="",Translation!$A$5,IF($H116&gt;TIME(0,5,0),Translation!$A$6,IF($M116,Translation!$A$7,$K116))))))),Translation!$A$7)</f>
        <v/>
      </c>
      <c r="F116" s="27"/>
      <c r="G116" s="28"/>
      <c r="H116" s="29"/>
    </row>
    <row r="117">
      <c r="D117" s="14"/>
      <c r="E117" s="26" t="str">
        <f>IFERROR(IF($A117="",,IF($I117="",Translation!$A$2,IF($L117="",Translation!$A$3,IF($N117&lt;&gt;$B117,Translation!$A$4,IF(IFERROR($F117,)="",Translation!$A$5,IF($H117&gt;TIME(0,5,0),Translation!$A$6,IF($M117,Translation!$A$7,$K117))))))),Translation!$A$7)</f>
        <v/>
      </c>
      <c r="F117" s="27"/>
      <c r="G117" s="28"/>
      <c r="H117" s="29"/>
    </row>
    <row r="118">
      <c r="D118" s="14"/>
      <c r="E118" s="26" t="str">
        <f>IFERROR(IF($A118="",,IF($I118="",Translation!$A$2,IF($L118="",Translation!$A$3,IF($N118&lt;&gt;$B118,Translation!$A$4,IF(IFERROR($F118,)="",Translation!$A$5,IF($H118&gt;TIME(0,5,0),Translation!$A$6,IF($M118,Translation!$A$7,$K118))))))),Translation!$A$7)</f>
        <v/>
      </c>
      <c r="F118" s="27"/>
      <c r="G118" s="28"/>
      <c r="H118" s="29"/>
    </row>
    <row r="119">
      <c r="D119" s="14"/>
      <c r="E119" s="26" t="str">
        <f>IFERROR(IF($A119="",,IF($I119="",Translation!$A$2,IF($L119="",Translation!$A$3,IF($N119&lt;&gt;$B119,Translation!$A$4,IF(IFERROR($F119,)="",Translation!$A$5,IF($H119&gt;TIME(0,5,0),Translation!$A$6,IF($M119,Translation!$A$7,$K119))))))),Translation!$A$7)</f>
        <v/>
      </c>
      <c r="F119" s="27"/>
      <c r="G119" s="28"/>
      <c r="H119" s="29"/>
    </row>
    <row r="120">
      <c r="D120" s="14"/>
      <c r="E120" s="26" t="str">
        <f>IFERROR(IF($A120="",,IF($I120="",Translation!$A$2,IF($L120="",Translation!$A$3,IF($N120&lt;&gt;$B120,Translation!$A$4,IF(IFERROR($F120,)="",Translation!$A$5,IF($H120&gt;TIME(0,5,0),Translation!$A$6,IF($M120,Translation!$A$7,$K120))))))),Translation!$A$7)</f>
        <v/>
      </c>
      <c r="F120" s="27"/>
      <c r="G120" s="28"/>
      <c r="H120" s="29"/>
    </row>
    <row r="121">
      <c r="D121" s="14"/>
      <c r="E121" s="26" t="str">
        <f>IFERROR(IF($A121="",,IF($I121="",Translation!$A$2,IF($L121="",Translation!$A$3,IF($N121&lt;&gt;$B121,Translation!$A$4,IF(IFERROR($F121,)="",Translation!$A$5,IF($H121&gt;TIME(0,5,0),Translation!$A$6,IF($M121,Translation!$A$7,$K121))))))),Translation!$A$7)</f>
        <v/>
      </c>
      <c r="F121" s="27"/>
      <c r="G121" s="28"/>
      <c r="H121" s="29"/>
    </row>
    <row r="122">
      <c r="D122" s="14"/>
      <c r="E122" s="26" t="str">
        <f>IFERROR(IF($A122="",,IF($I122="",Translation!$A$2,IF($L122="",Translation!$A$3,IF($N122&lt;&gt;$B122,Translation!$A$4,IF(IFERROR($F122,)="",Translation!$A$5,IF($H122&gt;TIME(0,5,0),Translation!$A$6,IF($M122,Translation!$A$7,$K122))))))),Translation!$A$7)</f>
        <v/>
      </c>
      <c r="F122" s="27"/>
      <c r="G122" s="28"/>
      <c r="H122" s="29"/>
    </row>
    <row r="123">
      <c r="D123" s="14"/>
      <c r="E123" s="26" t="str">
        <f>IFERROR(IF($A123="",,IF($I123="",Translation!$A$2,IF($L123="",Translation!$A$3,IF($N123&lt;&gt;$B123,Translation!$A$4,IF(IFERROR($F123,)="",Translation!$A$5,IF($H123&gt;TIME(0,5,0),Translation!$A$6,IF($M123,Translation!$A$7,$K123))))))),Translation!$A$7)</f>
        <v/>
      </c>
      <c r="F123" s="27"/>
      <c r="G123" s="28"/>
      <c r="H123" s="29"/>
    </row>
    <row r="124">
      <c r="D124" s="14"/>
      <c r="E124" s="26" t="str">
        <f>IFERROR(IF($A124="",,IF($I124="",Translation!$A$2,IF($L124="",Translation!$A$3,IF($N124&lt;&gt;$B124,Translation!$A$4,IF(IFERROR($F124,)="",Translation!$A$5,IF($H124&gt;TIME(0,5,0),Translation!$A$6,IF($M124,Translation!$A$7,$K124))))))),Translation!$A$7)</f>
        <v/>
      </c>
      <c r="F124" s="27"/>
      <c r="G124" s="28"/>
      <c r="H124" s="29"/>
    </row>
    <row r="125">
      <c r="D125" s="14"/>
      <c r="E125" s="26" t="str">
        <f>IFERROR(IF($A125="",,IF($I125="",Translation!$A$2,IF($L125="",Translation!$A$3,IF($N125&lt;&gt;$B125,Translation!$A$4,IF(IFERROR($F125,)="",Translation!$A$5,IF($H125&gt;TIME(0,5,0),Translation!$A$6,IF($M125,Translation!$A$7,$K125))))))),Translation!$A$7)</f>
        <v/>
      </c>
      <c r="F125" s="27"/>
      <c r="G125" s="28"/>
      <c r="H125" s="29"/>
    </row>
    <row r="126">
      <c r="D126" s="14"/>
      <c r="E126" s="26" t="str">
        <f>IFERROR(IF($A126="",,IF($I126="",Translation!$A$2,IF($L126="",Translation!$A$3,IF($N126&lt;&gt;$B126,Translation!$A$4,IF(IFERROR($F126,)="",Translation!$A$5,IF($H126&gt;TIME(0,5,0),Translation!$A$6,IF($M126,Translation!$A$7,$K126))))))),Translation!$A$7)</f>
        <v/>
      </c>
      <c r="F126" s="27"/>
      <c r="G126" s="28"/>
      <c r="H126" s="29"/>
    </row>
    <row r="127">
      <c r="D127" s="14"/>
      <c r="E127" s="26" t="str">
        <f>IFERROR(IF($A127="",,IF($I127="",Translation!$A$2,IF($L127="",Translation!$A$3,IF($N127&lt;&gt;$B127,Translation!$A$4,IF(IFERROR($F127,)="",Translation!$A$5,IF($H127&gt;TIME(0,5,0),Translation!$A$6,IF($M127,Translation!$A$7,$K127))))))),Translation!$A$7)</f>
        <v/>
      </c>
      <c r="F127" s="27"/>
      <c r="G127" s="28"/>
      <c r="H127" s="29"/>
    </row>
    <row r="128">
      <c r="D128" s="14"/>
      <c r="E128" s="26" t="str">
        <f>IFERROR(IF($A128="",,IF($I128="",Translation!$A$2,IF($L128="",Translation!$A$3,IF($N128&lt;&gt;$B128,Translation!$A$4,IF(IFERROR($F128,)="",Translation!$A$5,IF($H128&gt;TIME(0,5,0),Translation!$A$6,IF($M128,Translation!$A$7,$K128))))))),Translation!$A$7)</f>
        <v/>
      </c>
      <c r="F128" s="27"/>
      <c r="G128" s="28"/>
      <c r="H128" s="29"/>
    </row>
    <row r="129">
      <c r="D129" s="14"/>
      <c r="E129" s="26" t="str">
        <f>IFERROR(IF($A129="",,IF($I129="",Translation!$A$2,IF($L129="",Translation!$A$3,IF($N129&lt;&gt;$B129,Translation!$A$4,IF(IFERROR($F129,)="",Translation!$A$5,IF($H129&gt;TIME(0,5,0),Translation!$A$6,IF($M129,Translation!$A$7,$K129))))))),Translation!$A$7)</f>
        <v/>
      </c>
      <c r="F129" s="27"/>
      <c r="G129" s="28"/>
      <c r="H129" s="29"/>
    </row>
    <row r="130">
      <c r="D130" s="14"/>
      <c r="E130" s="26" t="str">
        <f>IFERROR(IF($A130="",,IF($I130="",Translation!$A$2,IF($L130="",Translation!$A$3,IF($N130&lt;&gt;$B130,Translation!$A$4,IF(IFERROR($F130,)="",Translation!$A$5,IF($H130&gt;TIME(0,5,0),Translation!$A$6,IF($M130,Translation!$A$7,$K130))))))),Translation!$A$7)</f>
        <v/>
      </c>
      <c r="F130" s="27"/>
      <c r="G130" s="28"/>
      <c r="H130" s="29"/>
    </row>
    <row r="131">
      <c r="D131" s="14"/>
      <c r="E131" s="26" t="str">
        <f>IFERROR(IF($A131="",,IF($I131="",Translation!$A$2,IF($L131="",Translation!$A$3,IF($N131&lt;&gt;$B131,Translation!$A$4,IF(IFERROR($F131,)="",Translation!$A$5,IF($H131&gt;TIME(0,5,0),Translation!$A$6,IF($M131,Translation!$A$7,$K131))))))),Translation!$A$7)</f>
        <v/>
      </c>
      <c r="F131" s="27"/>
      <c r="G131" s="28"/>
      <c r="H131" s="29"/>
    </row>
    <row r="132">
      <c r="D132" s="14"/>
      <c r="E132" s="26" t="str">
        <f>IFERROR(IF($A132="",,IF($I132="",Translation!$A$2,IF($L132="",Translation!$A$3,IF($N132&lt;&gt;$B132,Translation!$A$4,IF(IFERROR($F132,)="",Translation!$A$5,IF($H132&gt;TIME(0,5,0),Translation!$A$6,IF($M132,Translation!$A$7,$K132))))))),Translation!$A$7)</f>
        <v/>
      </c>
      <c r="F132" s="27"/>
      <c r="G132" s="28"/>
      <c r="H132" s="29"/>
    </row>
    <row r="133">
      <c r="D133" s="14"/>
      <c r="E133" s="26" t="str">
        <f>IFERROR(IF($A133="",,IF($I133="",Translation!$A$2,IF($L133="",Translation!$A$3,IF($N133&lt;&gt;$B133,Translation!$A$4,IF(IFERROR($F133,)="",Translation!$A$5,IF($H133&gt;TIME(0,5,0),Translation!$A$6,IF($M133,Translation!$A$7,$K133))))))),Translation!$A$7)</f>
        <v/>
      </c>
      <c r="F133" s="27"/>
      <c r="G133" s="28"/>
      <c r="H133" s="29"/>
    </row>
    <row r="134">
      <c r="D134" s="14"/>
      <c r="E134" s="26" t="str">
        <f>IFERROR(IF($A134="",,IF($I134="",Translation!$A$2,IF($L134="",Translation!$A$3,IF($N134&lt;&gt;$B134,Translation!$A$4,IF(IFERROR($F134,)="",Translation!$A$5,IF($H134&gt;TIME(0,5,0),Translation!$A$6,IF($M134,Translation!$A$7,$K134))))))),Translation!$A$7)</f>
        <v/>
      </c>
      <c r="F134" s="27"/>
      <c r="G134" s="28"/>
      <c r="H134" s="29"/>
    </row>
    <row r="135">
      <c r="D135" s="14"/>
      <c r="E135" s="26" t="str">
        <f>IFERROR(IF($A135="",,IF($I135="",Translation!$A$2,IF($L135="",Translation!$A$3,IF($N135&lt;&gt;$B135,Translation!$A$4,IF(IFERROR($F135,)="",Translation!$A$5,IF($H135&gt;TIME(0,5,0),Translation!$A$6,IF($M135,Translation!$A$7,$K135))))))),Translation!$A$7)</f>
        <v/>
      </c>
      <c r="F135" s="27"/>
      <c r="G135" s="28"/>
      <c r="H135" s="29"/>
    </row>
    <row r="136">
      <c r="D136" s="14"/>
      <c r="E136" s="26" t="str">
        <f>IFERROR(IF($A136="",,IF($I136="",Translation!$A$2,IF($L136="",Translation!$A$3,IF($N136&lt;&gt;$B136,Translation!$A$4,IF(IFERROR($F136,)="",Translation!$A$5,IF($H136&gt;TIME(0,5,0),Translation!$A$6,IF($M136,Translation!$A$7,$K136))))))),Translation!$A$7)</f>
        <v/>
      </c>
      <c r="F136" s="27"/>
      <c r="G136" s="28"/>
      <c r="H136" s="29"/>
    </row>
    <row r="137">
      <c r="D137" s="14"/>
      <c r="E137" s="26" t="str">
        <f>IFERROR(IF($A137="",,IF($I137="",Translation!$A$2,IF($L137="",Translation!$A$3,IF($N137&lt;&gt;$B137,Translation!$A$4,IF(IFERROR($F137,)="",Translation!$A$5,IF($H137&gt;TIME(0,5,0),Translation!$A$6,IF($M137,Translation!$A$7,$K137))))))),Translation!$A$7)</f>
        <v/>
      </c>
      <c r="F137" s="27"/>
      <c r="G137" s="28"/>
      <c r="H137" s="29"/>
    </row>
    <row r="138">
      <c r="D138" s="14"/>
      <c r="E138" s="26" t="str">
        <f>IFERROR(IF($A138="",,IF($I138="",Translation!$A$2,IF($L138="",Translation!$A$3,IF($N138&lt;&gt;$B138,Translation!$A$4,IF(IFERROR($F138,)="",Translation!$A$5,IF($H138&gt;TIME(0,5,0),Translation!$A$6,IF($M138,Translation!$A$7,$K138))))))),Translation!$A$7)</f>
        <v/>
      </c>
      <c r="F138" s="27"/>
      <c r="G138" s="28"/>
      <c r="H138" s="29"/>
    </row>
    <row r="139">
      <c r="D139" s="14"/>
      <c r="E139" s="26" t="str">
        <f>IFERROR(IF($A139="",,IF($I139="",Translation!$A$2,IF($L139="",Translation!$A$3,IF($N139&lt;&gt;$B139,Translation!$A$4,IF(IFERROR($F139,)="",Translation!$A$5,IF($H139&gt;TIME(0,5,0),Translation!$A$6,IF($M139,Translation!$A$7,$K139))))))),Translation!$A$7)</f>
        <v/>
      </c>
      <c r="F139" s="27"/>
      <c r="G139" s="28"/>
      <c r="H139" s="29"/>
    </row>
    <row r="140">
      <c r="D140" s="14"/>
      <c r="E140" s="26" t="str">
        <f>IFERROR(IF($A140="",,IF($I140="",Translation!$A$2,IF($L140="",Translation!$A$3,IF($N140&lt;&gt;$B140,Translation!$A$4,IF(IFERROR($F140,)="",Translation!$A$5,IF($H140&gt;TIME(0,5,0),Translation!$A$6,IF($M140,Translation!$A$7,$K140))))))),Translation!$A$7)</f>
        <v/>
      </c>
      <c r="F140" s="27"/>
      <c r="G140" s="28"/>
      <c r="H140" s="29"/>
    </row>
    <row r="141">
      <c r="D141" s="14"/>
      <c r="E141" s="26" t="str">
        <f>IFERROR(IF($A141="",,IF($I141="",Translation!$A$2,IF($L141="",Translation!$A$3,IF($N141&lt;&gt;$B141,Translation!$A$4,IF(IFERROR($F141,)="",Translation!$A$5,IF($H141&gt;TIME(0,5,0),Translation!$A$6,IF($M141,Translation!$A$7,$K141))))))),Translation!$A$7)</f>
        <v/>
      </c>
      <c r="F141" s="27"/>
      <c r="G141" s="28"/>
      <c r="H141" s="29"/>
    </row>
    <row r="142">
      <c r="D142" s="14"/>
      <c r="E142" s="26" t="str">
        <f>IFERROR(IF($A142="",,IF($I142="",Translation!$A$2,IF($L142="",Translation!$A$3,IF($N142&lt;&gt;$B142,Translation!$A$4,IF(IFERROR($F142,)="",Translation!$A$5,IF($H142&gt;TIME(0,5,0),Translation!$A$6,IF($M142,Translation!$A$7,$K142))))))),Translation!$A$7)</f>
        <v/>
      </c>
      <c r="F142" s="27"/>
      <c r="G142" s="28"/>
      <c r="H142" s="29"/>
    </row>
    <row r="143">
      <c r="D143" s="14"/>
      <c r="E143" s="26" t="str">
        <f>IFERROR(IF($A143="",,IF($I143="",Translation!$A$2,IF($L143="",Translation!$A$3,IF($N143&lt;&gt;$B143,Translation!$A$4,IF(IFERROR($F143,)="",Translation!$A$5,IF($H143&gt;TIME(0,5,0),Translation!$A$6,IF($M143,Translation!$A$7,$K143))))))),Translation!$A$7)</f>
        <v/>
      </c>
      <c r="F143" s="27"/>
      <c r="G143" s="28"/>
      <c r="H143" s="29"/>
    </row>
    <row r="144">
      <c r="D144" s="14"/>
      <c r="E144" s="26" t="str">
        <f>IFERROR(IF($A144="",,IF($I144="",Translation!$A$2,IF($L144="",Translation!$A$3,IF($N144&lt;&gt;$B144,Translation!$A$4,IF(IFERROR($F144,)="",Translation!$A$5,IF($H144&gt;TIME(0,5,0),Translation!$A$6,IF($M144,Translation!$A$7,$K144))))))),Translation!$A$7)</f>
        <v/>
      </c>
      <c r="F144" s="27"/>
      <c r="G144" s="28"/>
      <c r="H144" s="29"/>
    </row>
    <row r="145">
      <c r="D145" s="14"/>
      <c r="E145" s="26" t="str">
        <f>IFERROR(IF($A145="",,IF($I145="",Translation!$A$2,IF($L145="",Translation!$A$3,IF($N145&lt;&gt;$B145,Translation!$A$4,IF(IFERROR($F145,)="",Translation!$A$5,IF($H145&gt;TIME(0,5,0),Translation!$A$6,IF($M145,Translation!$A$7,$K145))))))),Translation!$A$7)</f>
        <v/>
      </c>
      <c r="F145" s="27"/>
      <c r="G145" s="28"/>
      <c r="H145" s="29"/>
    </row>
    <row r="146">
      <c r="D146" s="14"/>
      <c r="E146" s="26" t="str">
        <f>IFERROR(IF($A146="",,IF($I146="",Translation!$A$2,IF($L146="",Translation!$A$3,IF($N146&lt;&gt;$B146,Translation!$A$4,IF(IFERROR($F146,)="",Translation!$A$5,IF($H146&gt;TIME(0,5,0),Translation!$A$6,IF($M146,Translation!$A$7,$K146))))))),Translation!$A$7)</f>
        <v/>
      </c>
      <c r="F146" s="27"/>
      <c r="G146" s="28"/>
      <c r="H146" s="29"/>
    </row>
    <row r="147">
      <c r="D147" s="14"/>
      <c r="E147" s="26" t="str">
        <f>IFERROR(IF($A147="",,IF($I147="",Translation!$A$2,IF($L147="",Translation!$A$3,IF($N147&lt;&gt;$B147,Translation!$A$4,IF(IFERROR($F147,)="",Translation!$A$5,IF($H147&gt;TIME(0,5,0),Translation!$A$6,IF($M147,Translation!$A$7,$K147))))))),Translation!$A$7)</f>
        <v/>
      </c>
      <c r="F147" s="27"/>
      <c r="G147" s="28"/>
      <c r="H147" s="29"/>
    </row>
    <row r="148">
      <c r="D148" s="14"/>
      <c r="E148" s="26" t="str">
        <f>IFERROR(IF($A148="",,IF($I148="",Translation!$A$2,IF($L148="",Translation!$A$3,IF($N148&lt;&gt;$B148,Translation!$A$4,IF(IFERROR($F148,)="",Translation!$A$5,IF($H148&gt;TIME(0,5,0),Translation!$A$6,IF($M148,Translation!$A$7,$K148))))))),Translation!$A$7)</f>
        <v/>
      </c>
      <c r="F148" s="27"/>
      <c r="G148" s="28"/>
      <c r="H148" s="29"/>
    </row>
    <row r="149">
      <c r="D149" s="14"/>
      <c r="E149" s="26" t="str">
        <f>IFERROR(IF($A149="",,IF($I149="",Translation!$A$2,IF($L149="",Translation!$A$3,IF($N149&lt;&gt;$B149,Translation!$A$4,IF(IFERROR($F149,)="",Translation!$A$5,IF($H149&gt;TIME(0,5,0),Translation!$A$6,IF($M149,Translation!$A$7,$K149))))))),Translation!$A$7)</f>
        <v/>
      </c>
      <c r="F149" s="27"/>
      <c r="G149" s="28"/>
      <c r="H149" s="29"/>
    </row>
    <row r="150">
      <c r="D150" s="14"/>
      <c r="E150" s="26" t="str">
        <f>IFERROR(IF($A150="",,IF($I150="",Translation!$A$2,IF($L150="",Translation!$A$3,IF($N150&lt;&gt;$B150,Translation!$A$4,IF(IFERROR($F150,)="",Translation!$A$5,IF($H150&gt;TIME(0,5,0),Translation!$A$6,IF($M150,Translation!$A$7,$K150))))))),Translation!$A$7)</f>
        <v/>
      </c>
      <c r="F150" s="27"/>
      <c r="G150" s="28"/>
      <c r="H150" s="29"/>
    </row>
    <row r="151">
      <c r="D151" s="14"/>
      <c r="E151" s="26" t="str">
        <f>IFERROR(IF($A151="",,IF($I151="",Translation!$A$2,IF($L151="",Translation!$A$3,IF($N151&lt;&gt;$B151,Translation!$A$4,IF(IFERROR($F151,)="",Translation!$A$5,IF($H151&gt;TIME(0,5,0),Translation!$A$6,IF($M151,Translation!$A$7,$K151))))))),Translation!$A$7)</f>
        <v/>
      </c>
      <c r="F151" s="27"/>
      <c r="G151" s="28"/>
      <c r="H151" s="29"/>
    </row>
    <row r="152">
      <c r="D152" s="14"/>
      <c r="E152" s="26" t="str">
        <f>IFERROR(IF($A152="",,IF($I152="",Translation!$A$2,IF($L152="",Translation!$A$3,IF($N152&lt;&gt;$B152,Translation!$A$4,IF(IFERROR($F152,)="",Translation!$A$5,IF($H152&gt;TIME(0,5,0),Translation!$A$6,IF($M152,Translation!$A$7,$K152))))))),Translation!$A$7)</f>
        <v/>
      </c>
      <c r="F152" s="27"/>
      <c r="G152" s="28"/>
      <c r="H152" s="29"/>
    </row>
    <row r="153">
      <c r="D153" s="14"/>
      <c r="E153" s="26" t="str">
        <f>IFERROR(IF($A153="",,IF($I153="",Translation!$A$2,IF($L153="",Translation!$A$3,IF($N153&lt;&gt;$B153,Translation!$A$4,IF(IFERROR($F153,)="",Translation!$A$5,IF($H153&gt;TIME(0,5,0),Translation!$A$6,IF($M153,Translation!$A$7,$K153))))))),Translation!$A$7)</f>
        <v/>
      </c>
      <c r="F153" s="27"/>
      <c r="G153" s="28"/>
      <c r="H153" s="29"/>
    </row>
    <row r="154">
      <c r="D154" s="14"/>
      <c r="E154" s="26" t="str">
        <f>IFERROR(IF($A154="",,IF($I154="",Translation!$A$2,IF($L154="",Translation!$A$3,IF($N154&lt;&gt;$B154,Translation!$A$4,IF(IFERROR($F154,)="",Translation!$A$5,IF($H154&gt;TIME(0,5,0),Translation!$A$6,IF($M154,Translation!$A$7,$K154))))))),Translation!$A$7)</f>
        <v/>
      </c>
      <c r="F154" s="27"/>
      <c r="G154" s="28"/>
      <c r="H154" s="29"/>
    </row>
    <row r="155">
      <c r="D155" s="14"/>
      <c r="E155" s="26" t="str">
        <f>IFERROR(IF($A155="",,IF($I155="",Translation!$A$2,IF($L155="",Translation!$A$3,IF($N155&lt;&gt;$B155,Translation!$A$4,IF(IFERROR($F155,)="",Translation!$A$5,IF($H155&gt;TIME(0,5,0),Translation!$A$6,IF($M155,Translation!$A$7,$K155))))))),Translation!$A$7)</f>
        <v/>
      </c>
      <c r="F155" s="27"/>
      <c r="G155" s="28"/>
      <c r="H155" s="29"/>
    </row>
    <row r="156">
      <c r="D156" s="14"/>
      <c r="E156" s="26" t="str">
        <f>IFERROR(IF($A156="",,IF($I156="",Translation!$A$2,IF($L156="",Translation!$A$3,IF($N156&lt;&gt;$B156,Translation!$A$4,IF(IFERROR($F156,)="",Translation!$A$5,IF($H156&gt;TIME(0,5,0),Translation!$A$6,IF($M156,Translation!$A$7,$K156))))))),Translation!$A$7)</f>
        <v/>
      </c>
      <c r="F156" s="27"/>
      <c r="G156" s="28"/>
      <c r="H156" s="29"/>
    </row>
    <row r="157">
      <c r="D157" s="14"/>
      <c r="E157" s="26" t="str">
        <f>IFERROR(IF($A157="",,IF($I157="",Translation!$A$2,IF($L157="",Translation!$A$3,IF($N157&lt;&gt;$B157,Translation!$A$4,IF(IFERROR($F157,)="",Translation!$A$5,IF($H157&gt;TIME(0,5,0),Translation!$A$6,IF($M157,Translation!$A$7,$K157))))))),Translation!$A$7)</f>
        <v/>
      </c>
      <c r="F157" s="27"/>
      <c r="G157" s="28"/>
      <c r="H157" s="29"/>
    </row>
    <row r="158">
      <c r="D158" s="14"/>
      <c r="E158" s="26" t="str">
        <f>IFERROR(IF($A158="",,IF($I158="",Translation!$A$2,IF($L158="",Translation!$A$3,IF($N158&lt;&gt;$B158,Translation!$A$4,IF(IFERROR($F158,)="",Translation!$A$5,IF($H158&gt;TIME(0,5,0),Translation!$A$6,IF($M158,Translation!$A$7,$K158))))))),Translation!$A$7)</f>
        <v/>
      </c>
      <c r="F158" s="27"/>
      <c r="G158" s="28"/>
      <c r="H158" s="29"/>
    </row>
    <row r="159">
      <c r="D159" s="14"/>
      <c r="E159" s="26" t="str">
        <f>IFERROR(IF($A159="",,IF($I159="",Translation!$A$2,IF($L159="",Translation!$A$3,IF($N159&lt;&gt;$B159,Translation!$A$4,IF(IFERROR($F159,)="",Translation!$A$5,IF($H159&gt;TIME(0,5,0),Translation!$A$6,IF($M159,Translation!$A$7,$K159))))))),Translation!$A$7)</f>
        <v/>
      </c>
      <c r="F159" s="27"/>
      <c r="G159" s="28"/>
      <c r="H159" s="29"/>
    </row>
    <row r="160">
      <c r="D160" s="14"/>
      <c r="E160" s="26" t="str">
        <f>IFERROR(IF($A160="",,IF($I160="",Translation!$A$2,IF($L160="",Translation!$A$3,IF($N160&lt;&gt;$B160,Translation!$A$4,IF(IFERROR($F160,)="",Translation!$A$5,IF($H160&gt;TIME(0,5,0),Translation!$A$6,IF($M160,Translation!$A$7,$K160))))))),Translation!$A$7)</f>
        <v/>
      </c>
      <c r="F160" s="27"/>
      <c r="G160" s="28"/>
      <c r="H160" s="29"/>
    </row>
    <row r="161">
      <c r="D161" s="14"/>
      <c r="E161" s="26" t="str">
        <f>IFERROR(IF($A161="",,IF($I161="",Translation!$A$2,IF($L161="",Translation!$A$3,IF($N161&lt;&gt;$B161,Translation!$A$4,IF(IFERROR($F161,)="",Translation!$A$5,IF($H161&gt;TIME(0,5,0),Translation!$A$6,IF($M161,Translation!$A$7,$K161))))))),Translation!$A$7)</f>
        <v/>
      </c>
      <c r="F161" s="27"/>
      <c r="G161" s="28"/>
      <c r="H161" s="29"/>
    </row>
    <row r="162">
      <c r="D162" s="14"/>
      <c r="E162" s="26" t="str">
        <f>IFERROR(IF($A162="",,IF($I162="",Translation!$A$2,IF($L162="",Translation!$A$3,IF($N162&lt;&gt;$B162,Translation!$A$4,IF(IFERROR($F162,)="",Translation!$A$5,IF($H162&gt;TIME(0,5,0),Translation!$A$6,IF($M162,Translation!$A$7,$K162))))))),Translation!$A$7)</f>
        <v/>
      </c>
      <c r="F162" s="27"/>
      <c r="G162" s="28"/>
      <c r="H162" s="29"/>
    </row>
    <row r="163">
      <c r="D163" s="14"/>
      <c r="E163" s="26" t="str">
        <f>IFERROR(IF($A163="",,IF($I163="",Translation!$A$2,IF($L163="",Translation!$A$3,IF($N163&lt;&gt;$B163,Translation!$A$4,IF(IFERROR($F163,)="",Translation!$A$5,IF($H163&gt;TIME(0,5,0),Translation!$A$6,IF($M163,Translation!$A$7,$K163))))))),Translation!$A$7)</f>
        <v/>
      </c>
      <c r="F163" s="27"/>
      <c r="G163" s="28"/>
      <c r="H163" s="29"/>
    </row>
    <row r="164">
      <c r="D164" s="14"/>
      <c r="E164" s="26" t="str">
        <f>IFERROR(IF($A164="",,IF($I164="",Translation!$A$2,IF($L164="",Translation!$A$3,IF($N164&lt;&gt;$B164,Translation!$A$4,IF(IFERROR($F164,)="",Translation!$A$5,IF($H164&gt;TIME(0,5,0),Translation!$A$6,IF($M164,Translation!$A$7,$K164))))))),Translation!$A$7)</f>
        <v/>
      </c>
      <c r="F164" s="27"/>
      <c r="G164" s="28"/>
      <c r="H164" s="29"/>
    </row>
    <row r="165">
      <c r="D165" s="14"/>
      <c r="E165" s="26" t="str">
        <f>IFERROR(IF($A165="",,IF($I165="",Translation!$A$2,IF($L165="",Translation!$A$3,IF($N165&lt;&gt;$B165,Translation!$A$4,IF(IFERROR($F165,)="",Translation!$A$5,IF($H165&gt;TIME(0,5,0),Translation!$A$6,IF($M165,Translation!$A$7,$K165))))))),Translation!$A$7)</f>
        <v/>
      </c>
      <c r="F165" s="27"/>
      <c r="G165" s="28"/>
      <c r="H165" s="29"/>
    </row>
    <row r="166">
      <c r="D166" s="14"/>
      <c r="E166" s="26" t="str">
        <f>IFERROR(IF($A166="",,IF($I166="",Translation!$A$2,IF($L166="",Translation!$A$3,IF($N166&lt;&gt;$B166,Translation!$A$4,IF(IFERROR($F166,)="",Translation!$A$5,IF($H166&gt;TIME(0,5,0),Translation!$A$6,IF($M166,Translation!$A$7,$K166))))))),Translation!$A$7)</f>
        <v/>
      </c>
      <c r="F166" s="27"/>
      <c r="G166" s="28"/>
      <c r="H166" s="29"/>
    </row>
    <row r="167">
      <c r="D167" s="14"/>
      <c r="E167" s="26" t="str">
        <f>IFERROR(IF($A167="",,IF($I167="",Translation!$A$2,IF($L167="",Translation!$A$3,IF($N167&lt;&gt;$B167,Translation!$A$4,IF(IFERROR($F167,)="",Translation!$A$5,IF($H167&gt;TIME(0,5,0),Translation!$A$6,IF($M167,Translation!$A$7,$K167))))))),Translation!$A$7)</f>
        <v/>
      </c>
      <c r="F167" s="27"/>
      <c r="G167" s="28"/>
      <c r="H167" s="29"/>
    </row>
    <row r="168">
      <c r="D168" s="14"/>
      <c r="E168" s="26" t="str">
        <f>IFERROR(IF($A168="",,IF($I168="",Translation!$A$2,IF($L168="",Translation!$A$3,IF($N168&lt;&gt;$B168,Translation!$A$4,IF(IFERROR($F168,)="",Translation!$A$5,IF($H168&gt;TIME(0,5,0),Translation!$A$6,IF($M168,Translation!$A$7,$K168))))))),Translation!$A$7)</f>
        <v/>
      </c>
      <c r="F168" s="27"/>
      <c r="G168" s="28"/>
      <c r="H168" s="29"/>
    </row>
    <row r="169">
      <c r="D169" s="14"/>
      <c r="E169" s="26" t="str">
        <f>IFERROR(IF($A169="",,IF($I169="",Translation!$A$2,IF($L169="",Translation!$A$3,IF($N169&lt;&gt;$B169,Translation!$A$4,IF(IFERROR($F169,)="",Translation!$A$5,IF($H169&gt;TIME(0,5,0),Translation!$A$6,IF($M169,Translation!$A$7,$K169))))))),Translation!$A$7)</f>
        <v/>
      </c>
      <c r="F169" s="27"/>
      <c r="G169" s="28"/>
      <c r="H169" s="29"/>
    </row>
    <row r="170">
      <c r="D170" s="14"/>
      <c r="E170" s="26" t="str">
        <f>IFERROR(IF($A170="",,IF($I170="",Translation!$A$2,IF($L170="",Translation!$A$3,IF($N170&lt;&gt;$B170,Translation!$A$4,IF(IFERROR($F170,)="",Translation!$A$5,IF($H170&gt;TIME(0,5,0),Translation!$A$6,IF($M170,Translation!$A$7,$K170))))))),Translation!$A$7)</f>
        <v/>
      </c>
      <c r="F170" s="27"/>
      <c r="G170" s="28"/>
      <c r="H170" s="29"/>
    </row>
    <row r="171">
      <c r="D171" s="14"/>
      <c r="E171" s="26" t="str">
        <f>IFERROR(IF($A171="",,IF($I171="",Translation!$A$2,IF($L171="",Translation!$A$3,IF($N171&lt;&gt;$B171,Translation!$A$4,IF(IFERROR($F171,)="",Translation!$A$5,IF($H171&gt;TIME(0,5,0),Translation!$A$6,IF($M171,Translation!$A$7,$K171))))))),Translation!$A$7)</f>
        <v/>
      </c>
      <c r="F171" s="27"/>
      <c r="G171" s="28"/>
      <c r="H171" s="29"/>
    </row>
    <row r="172">
      <c r="D172" s="14"/>
      <c r="E172" s="26" t="str">
        <f>IFERROR(IF($A172="",,IF($I172="",Translation!$A$2,IF($L172="",Translation!$A$3,IF($N172&lt;&gt;$B172,Translation!$A$4,IF(IFERROR($F172,)="",Translation!$A$5,IF($H172&gt;TIME(0,5,0),Translation!$A$6,IF($M172,Translation!$A$7,$K172))))))),Translation!$A$7)</f>
        <v/>
      </c>
      <c r="F172" s="27"/>
      <c r="G172" s="28"/>
      <c r="H172" s="29"/>
    </row>
    <row r="173">
      <c r="D173" s="14"/>
      <c r="E173" s="26" t="str">
        <f>IFERROR(IF($A173="",,IF($I173="",Translation!$A$2,IF($L173="",Translation!$A$3,IF($N173&lt;&gt;$B173,Translation!$A$4,IF(IFERROR($F173,)="",Translation!$A$5,IF($H173&gt;TIME(0,5,0),Translation!$A$6,IF($M173,Translation!$A$7,$K173))))))),Translation!$A$7)</f>
        <v/>
      </c>
      <c r="F173" s="27"/>
      <c r="G173" s="28"/>
      <c r="H173" s="29"/>
    </row>
    <row r="174">
      <c r="D174" s="14"/>
      <c r="E174" s="26" t="str">
        <f>IFERROR(IF($A174="",,IF($I174="",Translation!$A$2,IF($L174="",Translation!$A$3,IF($N174&lt;&gt;$B174,Translation!$A$4,IF(IFERROR($F174,)="",Translation!$A$5,IF($H174&gt;TIME(0,5,0),Translation!$A$6,IF($M174,Translation!$A$7,$K174))))))),Translation!$A$7)</f>
        <v/>
      </c>
      <c r="F174" s="27"/>
      <c r="G174" s="28"/>
      <c r="H174" s="29"/>
    </row>
    <row r="175">
      <c r="D175" s="14"/>
      <c r="E175" s="26" t="str">
        <f>IFERROR(IF($A175="",,IF($I175="",Translation!$A$2,IF($L175="",Translation!$A$3,IF($N175&lt;&gt;$B175,Translation!$A$4,IF(IFERROR($F175,)="",Translation!$A$5,IF($H175&gt;TIME(0,5,0),Translation!$A$6,IF($M175,Translation!$A$7,$K175))))))),Translation!$A$7)</f>
        <v/>
      </c>
      <c r="F175" s="27"/>
      <c r="G175" s="28"/>
      <c r="H175" s="29"/>
    </row>
    <row r="176">
      <c r="D176" s="14"/>
      <c r="E176" s="26" t="str">
        <f>IFERROR(IF($A176="",,IF($I176="",Translation!$A$2,IF($L176="",Translation!$A$3,IF($N176&lt;&gt;$B176,Translation!$A$4,IF(IFERROR($F176,)="",Translation!$A$5,IF($H176&gt;TIME(0,5,0),Translation!$A$6,IF($M176,Translation!$A$7,$K176))))))),Translation!$A$7)</f>
        <v/>
      </c>
      <c r="F176" s="27"/>
      <c r="G176" s="28"/>
      <c r="H176" s="29"/>
    </row>
    <row r="177">
      <c r="D177" s="14"/>
      <c r="E177" s="26" t="str">
        <f>IFERROR(IF($A177="",,IF($I177="",Translation!$A$2,IF($L177="",Translation!$A$3,IF($N177&lt;&gt;$B177,Translation!$A$4,IF(IFERROR($F177,)="",Translation!$A$5,IF($H177&gt;TIME(0,5,0),Translation!$A$6,IF($M177,Translation!$A$7,$K177))))))),Translation!$A$7)</f>
        <v/>
      </c>
      <c r="F177" s="27"/>
      <c r="G177" s="28"/>
      <c r="H177" s="29"/>
    </row>
    <row r="178">
      <c r="D178" s="14"/>
      <c r="E178" s="26" t="str">
        <f>IFERROR(IF($A178="",,IF($I178="",Translation!$A$2,IF($L178="",Translation!$A$3,IF($N178&lt;&gt;$B178,Translation!$A$4,IF(IFERROR($F178,)="",Translation!$A$5,IF($H178&gt;TIME(0,5,0),Translation!$A$6,IF($M178,Translation!$A$7,$K178))))))),Translation!$A$7)</f>
        <v/>
      </c>
      <c r="F178" s="27"/>
      <c r="G178" s="28"/>
      <c r="H178" s="29"/>
    </row>
    <row r="179">
      <c r="D179" s="14"/>
      <c r="E179" s="26" t="str">
        <f>IFERROR(IF($A179="",,IF($I179="",Translation!$A$2,IF($L179="",Translation!$A$3,IF($N179&lt;&gt;$B179,Translation!$A$4,IF(IFERROR($F179,)="",Translation!$A$5,IF($H179&gt;TIME(0,5,0),Translation!$A$6,IF($M179,Translation!$A$7,$K179))))))),Translation!$A$7)</f>
        <v/>
      </c>
      <c r="F179" s="27"/>
      <c r="G179" s="28"/>
      <c r="H179" s="29"/>
    </row>
    <row r="180">
      <c r="D180" s="14"/>
      <c r="E180" s="26" t="str">
        <f>IFERROR(IF($A180="",,IF($I180="",Translation!$A$2,IF($L180="",Translation!$A$3,IF($N180&lt;&gt;$B180,Translation!$A$4,IF(IFERROR($F180,)="",Translation!$A$5,IF($H180&gt;TIME(0,5,0),Translation!$A$6,IF($M180,Translation!$A$7,$K180))))))),Translation!$A$7)</f>
        <v/>
      </c>
      <c r="F180" s="27"/>
      <c r="G180" s="28"/>
      <c r="H180" s="29"/>
    </row>
    <row r="181">
      <c r="D181" s="14"/>
      <c r="E181" s="26" t="str">
        <f>IFERROR(IF($A181="",,IF($I181="",Translation!$A$2,IF($L181="",Translation!$A$3,IF($N181&lt;&gt;$B181,Translation!$A$4,IF(IFERROR($F181,)="",Translation!$A$5,IF($H181&gt;TIME(0,5,0),Translation!$A$6,IF($M181,Translation!$A$7,$K181))))))),Translation!$A$7)</f>
        <v/>
      </c>
      <c r="F181" s="27"/>
      <c r="G181" s="28"/>
      <c r="H181" s="29"/>
    </row>
    <row r="182">
      <c r="D182" s="14"/>
      <c r="E182" s="26" t="str">
        <f>IFERROR(IF($A182="",,IF($I182="",Translation!$A$2,IF($L182="",Translation!$A$3,IF($N182&lt;&gt;$B182,Translation!$A$4,IF(IFERROR($F182,)="",Translation!$A$5,IF($H182&gt;TIME(0,5,0),Translation!$A$6,IF($M182,Translation!$A$7,$K182))))))),Translation!$A$7)</f>
        <v/>
      </c>
      <c r="F182" s="27"/>
      <c r="G182" s="28"/>
      <c r="H182" s="29"/>
    </row>
    <row r="183">
      <c r="D183" s="14"/>
      <c r="E183" s="26" t="str">
        <f>IFERROR(IF($A183="",,IF($I183="",Translation!$A$2,IF($L183="",Translation!$A$3,IF($N183&lt;&gt;$B183,Translation!$A$4,IF(IFERROR($F183,)="",Translation!$A$5,IF($H183&gt;TIME(0,5,0),Translation!$A$6,IF($M183,Translation!$A$7,$K183))))))),Translation!$A$7)</f>
        <v/>
      </c>
      <c r="F183" s="27"/>
      <c r="G183" s="28"/>
      <c r="H183" s="29"/>
    </row>
    <row r="184">
      <c r="D184" s="14"/>
      <c r="E184" s="26" t="str">
        <f>IFERROR(IF($A184="",,IF($I184="",Translation!$A$2,IF($L184="",Translation!$A$3,IF($N184&lt;&gt;$B184,Translation!$A$4,IF(IFERROR($F184,)="",Translation!$A$5,IF($H184&gt;TIME(0,5,0),Translation!$A$6,IF($M184,Translation!$A$7,$K184))))))),Translation!$A$7)</f>
        <v/>
      </c>
      <c r="F184" s="27"/>
      <c r="G184" s="28"/>
      <c r="H184" s="29"/>
    </row>
    <row r="185">
      <c r="D185" s="14"/>
      <c r="E185" s="26" t="str">
        <f>IFERROR(IF($A185="",,IF($I185="",Translation!$A$2,IF($L185="",Translation!$A$3,IF($N185&lt;&gt;$B185,Translation!$A$4,IF(IFERROR($F185,)="",Translation!$A$5,IF($H185&gt;TIME(0,5,0),Translation!$A$6,IF($M185,Translation!$A$7,$K185))))))),Translation!$A$7)</f>
        <v/>
      </c>
      <c r="F185" s="27"/>
      <c r="G185" s="28"/>
      <c r="H185" s="29"/>
    </row>
    <row r="186">
      <c r="D186" s="14"/>
      <c r="E186" s="26" t="str">
        <f>IFERROR(IF($A186="",,IF($I186="",Translation!$A$2,IF($L186="",Translation!$A$3,IF($N186&lt;&gt;$B186,Translation!$A$4,IF(IFERROR($F186,)="",Translation!$A$5,IF($H186&gt;TIME(0,5,0),Translation!$A$6,IF($M186,Translation!$A$7,$K186))))))),Translation!$A$7)</f>
        <v/>
      </c>
      <c r="F186" s="27"/>
      <c r="G186" s="28"/>
      <c r="H186" s="29"/>
    </row>
    <row r="187">
      <c r="D187" s="14"/>
      <c r="E187" s="26" t="str">
        <f>IFERROR(IF($A187="",,IF($I187="",Translation!$A$2,IF($L187="",Translation!$A$3,IF($N187&lt;&gt;$B187,Translation!$A$4,IF(IFERROR($F187,)="",Translation!$A$5,IF($H187&gt;TIME(0,5,0),Translation!$A$6,IF($M187,Translation!$A$7,$K187))))))),Translation!$A$7)</f>
        <v/>
      </c>
      <c r="F187" s="27"/>
      <c r="G187" s="28"/>
      <c r="H187" s="29"/>
    </row>
    <row r="188">
      <c r="D188" s="14"/>
      <c r="E188" s="26" t="str">
        <f>IFERROR(IF($A188="",,IF($I188="",Translation!$A$2,IF($L188="",Translation!$A$3,IF($N188&lt;&gt;$B188,Translation!$A$4,IF(IFERROR($F188,)="",Translation!$A$5,IF($H188&gt;TIME(0,5,0),Translation!$A$6,IF($M188,Translation!$A$7,$K188))))))),Translation!$A$7)</f>
        <v/>
      </c>
      <c r="F188" s="27"/>
      <c r="G188" s="28"/>
      <c r="H188" s="29"/>
    </row>
    <row r="189">
      <c r="D189" s="14"/>
      <c r="E189" s="26" t="str">
        <f>IFERROR(IF($A189="",,IF($I189="",Translation!$A$2,IF($L189="",Translation!$A$3,IF($N189&lt;&gt;$B189,Translation!$A$4,IF(IFERROR($F189,)="",Translation!$A$5,IF($H189&gt;TIME(0,5,0),Translation!$A$6,IF($M189,Translation!$A$7,$K189))))))),Translation!$A$7)</f>
        <v/>
      </c>
      <c r="F189" s="27"/>
      <c r="G189" s="28"/>
      <c r="H189" s="29"/>
    </row>
    <row r="190">
      <c r="D190" s="14"/>
      <c r="E190" s="26" t="str">
        <f>IFERROR(IF($A190="",,IF($I190="",Translation!$A$2,IF($L190="",Translation!$A$3,IF($N190&lt;&gt;$B190,Translation!$A$4,IF(IFERROR($F190,)="",Translation!$A$5,IF($H190&gt;TIME(0,5,0),Translation!$A$6,IF($M190,Translation!$A$7,$K190))))))),Translation!$A$7)</f>
        <v/>
      </c>
      <c r="F190" s="27"/>
      <c r="G190" s="28"/>
      <c r="H190" s="29"/>
    </row>
    <row r="191">
      <c r="D191" s="14"/>
      <c r="E191" s="26" t="str">
        <f>IFERROR(IF($A191="",,IF($I191="",Translation!$A$2,IF($L191="",Translation!$A$3,IF($N191&lt;&gt;$B191,Translation!$A$4,IF(IFERROR($F191,)="",Translation!$A$5,IF($H191&gt;TIME(0,5,0),Translation!$A$6,IF($M191,Translation!$A$7,$K191))))))),Translation!$A$7)</f>
        <v/>
      </c>
      <c r="F191" s="27"/>
      <c r="G191" s="28"/>
      <c r="H191" s="29"/>
    </row>
    <row r="192">
      <c r="D192" s="14"/>
      <c r="E192" s="26" t="str">
        <f>IFERROR(IF($A192="",,IF($I192="",Translation!$A$2,IF($L192="",Translation!$A$3,IF($N192&lt;&gt;$B192,Translation!$A$4,IF(IFERROR($F192,)="",Translation!$A$5,IF($H192&gt;TIME(0,5,0),Translation!$A$6,IF($M192,Translation!$A$7,$K192))))))),Translation!$A$7)</f>
        <v/>
      </c>
      <c r="F192" s="27"/>
      <c r="G192" s="28"/>
      <c r="H192" s="29"/>
    </row>
    <row r="193">
      <c r="D193" s="14"/>
      <c r="E193" s="26" t="str">
        <f>IFERROR(IF($A193="",,IF($I193="",Translation!$A$2,IF($L193="",Translation!$A$3,IF($N193&lt;&gt;$B193,Translation!$A$4,IF(IFERROR($F193,)="",Translation!$A$5,IF($H193&gt;TIME(0,5,0),Translation!$A$6,IF($M193,Translation!$A$7,$K193))))))),Translation!$A$7)</f>
        <v/>
      </c>
      <c r="F193" s="27"/>
      <c r="G193" s="28"/>
      <c r="H193" s="29"/>
    </row>
    <row r="194">
      <c r="D194" s="14"/>
      <c r="E194" s="26" t="str">
        <f>IFERROR(IF($A194="",,IF($I194="",Translation!$A$2,IF($L194="",Translation!$A$3,IF($N194&lt;&gt;$B194,Translation!$A$4,IF(IFERROR($F194,)="",Translation!$A$5,IF($H194&gt;TIME(0,5,0),Translation!$A$6,IF($M194,Translation!$A$7,$K194))))))),Translation!$A$7)</f>
        <v/>
      </c>
      <c r="F194" s="27"/>
      <c r="G194" s="28"/>
      <c r="H194" s="29"/>
    </row>
    <row r="195">
      <c r="D195" s="14"/>
      <c r="E195" s="26" t="str">
        <f>IFERROR(IF($A195="",,IF($I195="",Translation!$A$2,IF($L195="",Translation!$A$3,IF($N195&lt;&gt;$B195,Translation!$A$4,IF(IFERROR($F195,)="",Translation!$A$5,IF($H195&gt;TIME(0,5,0),Translation!$A$6,IF($M195,Translation!$A$7,$K195))))))),Translation!$A$7)</f>
        <v/>
      </c>
      <c r="F195" s="27"/>
      <c r="G195" s="28"/>
      <c r="H195" s="29"/>
    </row>
    <row r="196">
      <c r="D196" s="14"/>
      <c r="E196" s="26" t="str">
        <f>IFERROR(IF($A196="",,IF($I196="",Translation!$A$2,IF($L196="",Translation!$A$3,IF($N196&lt;&gt;$B196,Translation!$A$4,IF(IFERROR($F196,)="",Translation!$A$5,IF($H196&gt;TIME(0,5,0),Translation!$A$6,IF($M196,Translation!$A$7,$K196))))))),Translation!$A$7)</f>
        <v/>
      </c>
      <c r="F196" s="27"/>
      <c r="G196" s="28"/>
      <c r="H196" s="29"/>
    </row>
    <row r="197">
      <c r="D197" s="14"/>
      <c r="E197" s="26" t="str">
        <f>IFERROR(IF($A197="",,IF($I197="",Translation!$A$2,IF($L197="",Translation!$A$3,IF($N197&lt;&gt;$B197,Translation!$A$4,IF(IFERROR($F197,)="",Translation!$A$5,IF($H197&gt;TIME(0,5,0),Translation!$A$6,IF($M197,Translation!$A$7,$K197))))))),Translation!$A$7)</f>
        <v/>
      </c>
      <c r="F197" s="27"/>
      <c r="G197" s="28"/>
      <c r="H197" s="29"/>
    </row>
    <row r="198">
      <c r="D198" s="14"/>
      <c r="E198" s="26" t="str">
        <f>IFERROR(IF($A198="",,IF($I198="",Translation!$A$2,IF($L198="",Translation!$A$3,IF($N198&lt;&gt;$B198,Translation!$A$4,IF(IFERROR($F198,)="",Translation!$A$5,IF($H198&gt;TIME(0,5,0),Translation!$A$6,IF($M198,Translation!$A$7,$K198))))))),Translation!$A$7)</f>
        <v/>
      </c>
      <c r="F198" s="27"/>
      <c r="G198" s="28"/>
      <c r="H198" s="29"/>
    </row>
    <row r="199">
      <c r="D199" s="14"/>
      <c r="E199" s="26" t="str">
        <f>IFERROR(IF($A199="",,IF($I199="",Translation!$A$2,IF($L199="",Translation!$A$3,IF($N199&lt;&gt;$B199,Translation!$A$4,IF(IFERROR($F199,)="",Translation!$A$5,IF($H199&gt;TIME(0,5,0),Translation!$A$6,IF($M199,Translation!$A$7,$K199))))))),Translation!$A$7)</f>
        <v/>
      </c>
      <c r="F199" s="27"/>
      <c r="G199" s="28"/>
      <c r="H199" s="29"/>
    </row>
    <row r="200">
      <c r="D200" s="14"/>
      <c r="E200" s="26" t="str">
        <f>IFERROR(IF($A200="",,IF($I200="",Translation!$A$2,IF($L200="",Translation!$A$3,IF($N200&lt;&gt;$B200,Translation!$A$4,IF(IFERROR($F200,)="",Translation!$A$5,IF($H200&gt;TIME(0,5,0),Translation!$A$6,IF($M200,Translation!$A$7,$K200))))))),Translation!$A$7)</f>
        <v/>
      </c>
      <c r="F200" s="27"/>
      <c r="G200" s="28"/>
      <c r="H200" s="29"/>
    </row>
    <row r="201">
      <c r="D201" s="14"/>
      <c r="E201" s="26" t="str">
        <f>IFERROR(IF($A201="",,IF($I201="",Translation!$A$2,IF($L201="",Translation!$A$3,IF($N201&lt;&gt;$B201,Translation!$A$4,IF(IFERROR($F201,)="",Translation!$A$5,IF($H201&gt;TIME(0,5,0),Translation!$A$6,IF($M201,Translation!$A$7,$K201))))))),Translation!$A$7)</f>
        <v/>
      </c>
      <c r="F201" s="27"/>
      <c r="G201" s="28"/>
      <c r="H201" s="29"/>
    </row>
    <row r="202">
      <c r="D202" s="14"/>
      <c r="E202" s="26" t="str">
        <f>IFERROR(IF($A202="",,IF($I202="",Translation!$A$2,IF($L202="",Translation!$A$3,IF($N202&lt;&gt;$B202,Translation!$A$4,IF(IFERROR($F202,)="",Translation!$A$5,IF($H202&gt;TIME(0,5,0),Translation!$A$6,IF($M202,Translation!$A$7,$K202))))))),Translation!$A$7)</f>
        <v/>
      </c>
      <c r="F202" s="27"/>
      <c r="G202" s="28"/>
      <c r="H202" s="29"/>
    </row>
    <row r="203">
      <c r="D203" s="14"/>
      <c r="E203" s="26" t="str">
        <f>IFERROR(IF($A203="",,IF($I203="",Translation!$A$2,IF($L203="",Translation!$A$3,IF($N203&lt;&gt;$B203,Translation!$A$4,IF(IFERROR($F203,)="",Translation!$A$5,IF($H203&gt;TIME(0,5,0),Translation!$A$6,IF($M203,Translation!$A$7,$K203))))))),Translation!$A$7)</f>
        <v/>
      </c>
      <c r="F203" s="27"/>
      <c r="G203" s="28"/>
      <c r="H203" s="29"/>
    </row>
    <row r="204">
      <c r="D204" s="14"/>
      <c r="E204" s="26" t="str">
        <f>IFERROR(IF($A204="",,IF($I204="",Translation!$A$2,IF($L204="",Translation!$A$3,IF($N204&lt;&gt;$B204,Translation!$A$4,IF(IFERROR($F204,)="",Translation!$A$5,IF($H204&gt;TIME(0,5,0),Translation!$A$6,IF($M204,Translation!$A$7,$K204))))))),Translation!$A$7)</f>
        <v/>
      </c>
      <c r="F204" s="27"/>
      <c r="G204" s="28"/>
      <c r="H204" s="29"/>
    </row>
    <row r="205">
      <c r="D205" s="14"/>
      <c r="E205" s="26" t="str">
        <f>IFERROR(IF($A205="",,IF($I205="",Translation!$A$2,IF($L205="",Translation!$A$3,IF($N205&lt;&gt;$B205,Translation!$A$4,IF(IFERROR($F205,)="",Translation!$A$5,IF($H205&gt;TIME(0,5,0),Translation!$A$6,IF($M205,Translation!$A$7,$K205))))))),Translation!$A$7)</f>
        <v/>
      </c>
      <c r="F205" s="27"/>
      <c r="G205" s="28"/>
      <c r="H205" s="29"/>
    </row>
    <row r="206">
      <c r="D206" s="14"/>
      <c r="E206" s="26" t="str">
        <f>IFERROR(IF($A206="",,IF($I206="",Translation!$A$2,IF($L206="",Translation!$A$3,IF($N206&lt;&gt;$B206,Translation!$A$4,IF(IFERROR($F206,)="",Translation!$A$5,IF($H206&gt;TIME(0,5,0),Translation!$A$6,IF($M206,Translation!$A$7,$K206))))))),Translation!$A$7)</f>
        <v/>
      </c>
      <c r="F206" s="27"/>
      <c r="G206" s="28"/>
      <c r="H206" s="29"/>
    </row>
    <row r="207">
      <c r="D207" s="14"/>
      <c r="E207" s="26" t="str">
        <f>IFERROR(IF($A207="",,IF($I207="",Translation!$A$2,IF($L207="",Translation!$A$3,IF($N207&lt;&gt;$B207,Translation!$A$4,IF(IFERROR($F207,)="",Translation!$A$5,IF($H207&gt;TIME(0,5,0),Translation!$A$6,IF($M207,Translation!$A$7,$K207))))))),Translation!$A$7)</f>
        <v/>
      </c>
      <c r="F207" s="27"/>
      <c r="G207" s="28"/>
      <c r="H207" s="29"/>
    </row>
    <row r="208">
      <c r="D208" s="14"/>
      <c r="E208" s="26" t="str">
        <f>IFERROR(IF($A208="",,IF($I208="",Translation!$A$2,IF($L208="",Translation!$A$3,IF($N208&lt;&gt;$B208,Translation!$A$4,IF(IFERROR($F208,)="",Translation!$A$5,IF($H208&gt;TIME(0,5,0),Translation!$A$6,IF($M208,Translation!$A$7,$K208))))))),Translation!$A$7)</f>
        <v/>
      </c>
      <c r="F208" s="27"/>
      <c r="G208" s="28"/>
      <c r="H208" s="29"/>
    </row>
    <row r="209">
      <c r="D209" s="14"/>
      <c r="E209" s="26" t="str">
        <f>IFERROR(IF($A209="",,IF($I209="",Translation!$A$2,IF($L209="",Translation!$A$3,IF($N209&lt;&gt;$B209,Translation!$A$4,IF(IFERROR($F209,)="",Translation!$A$5,IF($H209&gt;TIME(0,5,0),Translation!$A$6,IF($M209,Translation!$A$7,$K209))))))),Translation!$A$7)</f>
        <v/>
      </c>
      <c r="F209" s="27"/>
      <c r="G209" s="28"/>
      <c r="H209" s="29"/>
    </row>
    <row r="210">
      <c r="D210" s="14"/>
      <c r="E210" s="26" t="str">
        <f>IFERROR(IF($A210="",,IF($I210="",Translation!$A$2,IF($L210="",Translation!$A$3,IF($N210&lt;&gt;$B210,Translation!$A$4,IF(IFERROR($F210,)="",Translation!$A$5,IF($H210&gt;TIME(0,5,0),Translation!$A$6,IF($M210,Translation!$A$7,$K210))))))),Translation!$A$7)</f>
        <v/>
      </c>
      <c r="F210" s="27"/>
      <c r="G210" s="28"/>
      <c r="H210" s="29"/>
    </row>
    <row r="211">
      <c r="D211" s="14"/>
      <c r="E211" s="26" t="str">
        <f>IFERROR(IF($A211="",,IF($I211="",Translation!$A$2,IF($L211="",Translation!$A$3,IF($N211&lt;&gt;$B211,Translation!$A$4,IF(IFERROR($F211,)="",Translation!$A$5,IF($H211&gt;TIME(0,5,0),Translation!$A$6,IF($M211,Translation!$A$7,$K211))))))),Translation!$A$7)</f>
        <v/>
      </c>
      <c r="F211" s="27"/>
      <c r="G211" s="28"/>
      <c r="H211" s="29"/>
    </row>
    <row r="212">
      <c r="D212" s="14"/>
      <c r="E212" s="26" t="str">
        <f>IFERROR(IF($A212="",,IF($I212="",Translation!$A$2,IF($L212="",Translation!$A$3,IF($N212&lt;&gt;$B212,Translation!$A$4,IF(IFERROR($F212,)="",Translation!$A$5,IF($H212&gt;TIME(0,5,0),Translation!$A$6,IF($M212,Translation!$A$7,$K212))))))),Translation!$A$7)</f>
        <v/>
      </c>
      <c r="F212" s="27"/>
      <c r="G212" s="28"/>
      <c r="H212" s="29"/>
    </row>
    <row r="213">
      <c r="D213" s="14"/>
      <c r="E213" s="26" t="str">
        <f>IFERROR(IF($A213="",,IF($I213="",Translation!$A$2,IF($L213="",Translation!$A$3,IF($N213&lt;&gt;$B213,Translation!$A$4,IF(IFERROR($F213,)="",Translation!$A$5,IF($H213&gt;TIME(0,5,0),Translation!$A$6,IF($M213,Translation!$A$7,$K213))))))),Translation!$A$7)</f>
        <v/>
      </c>
      <c r="F213" s="27"/>
      <c r="G213" s="28"/>
      <c r="H213" s="29"/>
    </row>
    <row r="214">
      <c r="D214" s="14"/>
      <c r="E214" s="26" t="str">
        <f>IFERROR(IF($A214="",,IF($I214="",Translation!$A$2,IF($L214="",Translation!$A$3,IF($N214&lt;&gt;$B214,Translation!$A$4,IF(IFERROR($F214,)="",Translation!$A$5,IF($H214&gt;TIME(0,5,0),Translation!$A$6,IF($M214,Translation!$A$7,$K214))))))),Translation!$A$7)</f>
        <v/>
      </c>
      <c r="F214" s="27"/>
      <c r="G214" s="28"/>
      <c r="H214" s="29"/>
    </row>
    <row r="215">
      <c r="D215" s="14"/>
      <c r="E215" s="26" t="str">
        <f>IFERROR(IF($A215="",,IF($I215="",Translation!$A$2,IF($L215="",Translation!$A$3,IF($N215&lt;&gt;$B215,Translation!$A$4,IF(IFERROR($F215,)="",Translation!$A$5,IF($H215&gt;TIME(0,5,0),Translation!$A$6,IF($M215,Translation!$A$7,$K215))))))),Translation!$A$7)</f>
        <v/>
      </c>
      <c r="F215" s="27"/>
      <c r="G215" s="28"/>
      <c r="H215" s="29"/>
    </row>
    <row r="216">
      <c r="D216" s="14"/>
      <c r="E216" s="26" t="str">
        <f>IFERROR(IF($A216="",,IF($I216="",Translation!$A$2,IF($L216="",Translation!$A$3,IF($N216&lt;&gt;$B216,Translation!$A$4,IF(IFERROR($F216,)="",Translation!$A$5,IF($H216&gt;TIME(0,5,0),Translation!$A$6,IF($M216,Translation!$A$7,$K216))))))),Translation!$A$7)</f>
        <v/>
      </c>
      <c r="F216" s="27"/>
      <c r="G216" s="28"/>
      <c r="H216" s="29"/>
    </row>
    <row r="217">
      <c r="D217" s="14"/>
      <c r="E217" s="26" t="str">
        <f>IFERROR(IF($A217="",,IF($I217="",Translation!$A$2,IF($L217="",Translation!$A$3,IF($N217&lt;&gt;$B217,Translation!$A$4,IF(IFERROR($F217,)="",Translation!$A$5,IF($H217&gt;TIME(0,5,0),Translation!$A$6,IF($M217,Translation!$A$7,$K217))))))),Translation!$A$7)</f>
        <v/>
      </c>
      <c r="F217" s="27"/>
      <c r="G217" s="28"/>
      <c r="H217" s="29"/>
    </row>
    <row r="218">
      <c r="D218" s="14"/>
      <c r="E218" s="26" t="str">
        <f>IFERROR(IF($A218="",,IF($I218="",Translation!$A$2,IF($L218="",Translation!$A$3,IF($N218&lt;&gt;$B218,Translation!$A$4,IF(IFERROR($F218,)="",Translation!$A$5,IF($H218&gt;TIME(0,5,0),Translation!$A$6,IF($M218,Translation!$A$7,$K218))))))),Translation!$A$7)</f>
        <v/>
      </c>
      <c r="F218" s="27"/>
      <c r="G218" s="28"/>
      <c r="H218" s="29"/>
    </row>
    <row r="219">
      <c r="D219" s="14"/>
      <c r="E219" s="26" t="str">
        <f>IFERROR(IF($A219="",,IF($I219="",Translation!$A$2,IF($L219="",Translation!$A$3,IF($N219&lt;&gt;$B219,Translation!$A$4,IF(IFERROR($F219,)="",Translation!$A$5,IF($H219&gt;TIME(0,5,0),Translation!$A$6,IF($M219,Translation!$A$7,$K219))))))),Translation!$A$7)</f>
        <v/>
      </c>
      <c r="F219" s="27"/>
      <c r="G219" s="28"/>
      <c r="H219" s="29"/>
    </row>
    <row r="220">
      <c r="D220" s="14"/>
      <c r="E220" s="26" t="str">
        <f>IFERROR(IF($A220="",,IF($I220="",Translation!$A$2,IF($L220="",Translation!$A$3,IF($N220&lt;&gt;$B220,Translation!$A$4,IF(IFERROR($F220,)="",Translation!$A$5,IF($H220&gt;TIME(0,5,0),Translation!$A$6,IF($M220,Translation!$A$7,$K220))))))),Translation!$A$7)</f>
        <v/>
      </c>
      <c r="F220" s="27"/>
      <c r="G220" s="28"/>
      <c r="H220" s="29"/>
    </row>
    <row r="221">
      <c r="D221" s="14"/>
      <c r="E221" s="26" t="str">
        <f>IFERROR(IF($A221="",,IF($I221="",Translation!$A$2,IF($L221="",Translation!$A$3,IF($N221&lt;&gt;$B221,Translation!$A$4,IF(IFERROR($F221,)="",Translation!$A$5,IF($H221&gt;TIME(0,5,0),Translation!$A$6,IF($M221,Translation!$A$7,$K221))))))),Translation!$A$7)</f>
        <v/>
      </c>
      <c r="F221" s="27"/>
      <c r="G221" s="28"/>
      <c r="H221" s="29"/>
    </row>
    <row r="222">
      <c r="D222" s="14"/>
      <c r="E222" s="26" t="str">
        <f>IFERROR(IF($A222="",,IF($I222="",Translation!$A$2,IF($L222="",Translation!$A$3,IF($N222&lt;&gt;$B222,Translation!$A$4,IF(IFERROR($F222,)="",Translation!$A$5,IF($H222&gt;TIME(0,5,0),Translation!$A$6,IF($M222,Translation!$A$7,$K222))))))),Translation!$A$7)</f>
        <v/>
      </c>
      <c r="F222" s="27"/>
      <c r="G222" s="28"/>
      <c r="H222" s="29"/>
    </row>
    <row r="223">
      <c r="D223" s="14"/>
      <c r="E223" s="26" t="str">
        <f>IFERROR(IF($A223="",,IF($I223="",Translation!$A$2,IF($L223="",Translation!$A$3,IF($N223&lt;&gt;$B223,Translation!$A$4,IF(IFERROR($F223,)="",Translation!$A$5,IF($H223&gt;TIME(0,5,0),Translation!$A$6,IF($M223,Translation!$A$7,$K223))))))),Translation!$A$7)</f>
        <v/>
      </c>
      <c r="F223" s="27"/>
      <c r="G223" s="28"/>
      <c r="H223" s="29"/>
    </row>
    <row r="224">
      <c r="D224" s="14"/>
      <c r="E224" s="26" t="str">
        <f>IFERROR(IF($A224="",,IF($I224="",Translation!$A$2,IF($L224="",Translation!$A$3,IF($N224&lt;&gt;$B224,Translation!$A$4,IF(IFERROR($F224,)="",Translation!$A$5,IF($H224&gt;TIME(0,5,0),Translation!$A$6,IF($M224,Translation!$A$7,$K224))))))),Translation!$A$7)</f>
        <v/>
      </c>
      <c r="F224" s="27"/>
      <c r="G224" s="28"/>
      <c r="H224" s="29"/>
    </row>
    <row r="225">
      <c r="D225" s="14"/>
      <c r="E225" s="26" t="str">
        <f>IFERROR(IF($A225="",,IF($I225="",Translation!$A$2,IF($L225="",Translation!$A$3,IF($N225&lt;&gt;$B225,Translation!$A$4,IF(IFERROR($F225,)="",Translation!$A$5,IF($H225&gt;TIME(0,5,0),Translation!$A$6,IF($M225,Translation!$A$7,$K225))))))),Translation!$A$7)</f>
        <v/>
      </c>
      <c r="F225" s="27"/>
      <c r="G225" s="28"/>
      <c r="H225" s="29"/>
    </row>
    <row r="226">
      <c r="D226" s="14"/>
      <c r="E226" s="26" t="str">
        <f>IFERROR(IF($A226="",,IF($I226="",Translation!$A$2,IF($L226="",Translation!$A$3,IF($N226&lt;&gt;$B226,Translation!$A$4,IF(IFERROR($F226,)="",Translation!$A$5,IF($H226&gt;TIME(0,5,0),Translation!$A$6,IF($M226,Translation!$A$7,$K226))))))),Translation!$A$7)</f>
        <v/>
      </c>
      <c r="F226" s="27"/>
      <c r="G226" s="28"/>
      <c r="H226" s="29"/>
    </row>
    <row r="227">
      <c r="D227" s="14"/>
      <c r="E227" s="26" t="str">
        <f>IFERROR(IF($A227="",,IF($I227="",Translation!$A$2,IF($L227="",Translation!$A$3,IF($N227&lt;&gt;$B227,Translation!$A$4,IF(IFERROR($F227,)="",Translation!$A$5,IF($H227&gt;TIME(0,5,0),Translation!$A$6,IF($M227,Translation!$A$7,$K227))))))),Translation!$A$7)</f>
        <v/>
      </c>
      <c r="F227" s="27"/>
      <c r="G227" s="28"/>
      <c r="H227" s="29"/>
    </row>
    <row r="228">
      <c r="D228" s="14"/>
      <c r="E228" s="26" t="str">
        <f>IFERROR(IF($A228="",,IF($I228="",Translation!$A$2,IF($L228="",Translation!$A$3,IF($N228&lt;&gt;$B228,Translation!$A$4,IF(IFERROR($F228,)="",Translation!$A$5,IF($H228&gt;TIME(0,5,0),Translation!$A$6,IF($M228,Translation!$A$7,$K228))))))),Translation!$A$7)</f>
        <v/>
      </c>
      <c r="F228" s="27"/>
      <c r="G228" s="28"/>
      <c r="H228" s="29"/>
    </row>
    <row r="229">
      <c r="D229" s="14"/>
      <c r="E229" s="26" t="str">
        <f>IFERROR(IF($A229="",,IF($I229="",Translation!$A$2,IF($L229="",Translation!$A$3,IF($N229&lt;&gt;$B229,Translation!$A$4,IF(IFERROR($F229,)="",Translation!$A$5,IF($H229&gt;TIME(0,5,0),Translation!$A$6,IF($M229,Translation!$A$7,$K229))))))),Translation!$A$7)</f>
        <v/>
      </c>
      <c r="F229" s="27"/>
      <c r="G229" s="28"/>
      <c r="H229" s="29"/>
    </row>
    <row r="230">
      <c r="D230" s="14"/>
      <c r="E230" s="26" t="str">
        <f>IFERROR(IF($A230="",,IF($I230="",Translation!$A$2,IF($L230="",Translation!$A$3,IF($N230&lt;&gt;$B230,Translation!$A$4,IF(IFERROR($F230,)="",Translation!$A$5,IF($H230&gt;TIME(0,5,0),Translation!$A$6,IF($M230,Translation!$A$7,$K230))))))),Translation!$A$7)</f>
        <v/>
      </c>
      <c r="F230" s="27"/>
      <c r="G230" s="28"/>
      <c r="H230" s="29"/>
    </row>
    <row r="231">
      <c r="D231" s="14"/>
      <c r="E231" s="26" t="str">
        <f>IFERROR(IF($A231="",,IF($I231="",Translation!$A$2,IF($L231="",Translation!$A$3,IF($N231&lt;&gt;$B231,Translation!$A$4,IF(IFERROR($F231,)="",Translation!$A$5,IF($H231&gt;TIME(0,5,0),Translation!$A$6,IF($M231,Translation!$A$7,$K231))))))),Translation!$A$7)</f>
        <v/>
      </c>
      <c r="F231" s="27"/>
      <c r="G231" s="28"/>
      <c r="H231" s="29"/>
    </row>
    <row r="232">
      <c r="D232" s="14"/>
      <c r="E232" s="26" t="str">
        <f>IFERROR(IF($A232="",,IF($I232="",Translation!$A$2,IF($L232="",Translation!$A$3,IF($N232&lt;&gt;$B232,Translation!$A$4,IF(IFERROR($F232,)="",Translation!$A$5,IF($H232&gt;TIME(0,5,0),Translation!$A$6,IF($M232,Translation!$A$7,$K232))))))),Translation!$A$7)</f>
        <v/>
      </c>
      <c r="F232" s="27"/>
      <c r="G232" s="28"/>
      <c r="H232" s="29"/>
    </row>
    <row r="233">
      <c r="D233" s="14"/>
      <c r="E233" s="26" t="str">
        <f>IFERROR(IF($A233="",,IF($I233="",Translation!$A$2,IF($L233="",Translation!$A$3,IF($N233&lt;&gt;$B233,Translation!$A$4,IF(IFERROR($F233,)="",Translation!$A$5,IF($H233&gt;TIME(0,5,0),Translation!$A$6,IF($M233,Translation!$A$7,$K233))))))),Translation!$A$7)</f>
        <v/>
      </c>
      <c r="F233" s="27"/>
      <c r="G233" s="28"/>
      <c r="H233" s="29"/>
    </row>
    <row r="234">
      <c r="D234" s="14"/>
      <c r="E234" s="26" t="str">
        <f>IFERROR(IF($A234="",,IF($I234="",Translation!$A$2,IF($L234="",Translation!$A$3,IF($N234&lt;&gt;$B234,Translation!$A$4,IF(IFERROR($F234,)="",Translation!$A$5,IF($H234&gt;TIME(0,5,0),Translation!$A$6,IF($M234,Translation!$A$7,$K234))))))),Translation!$A$7)</f>
        <v/>
      </c>
      <c r="F234" s="27"/>
      <c r="G234" s="28"/>
      <c r="H234" s="29"/>
    </row>
    <row r="235">
      <c r="D235" s="14"/>
      <c r="E235" s="26" t="str">
        <f>IFERROR(IF($A235="",,IF($I235="",Translation!$A$2,IF($L235="",Translation!$A$3,IF($N235&lt;&gt;$B235,Translation!$A$4,IF(IFERROR($F235,)="",Translation!$A$5,IF($H235&gt;TIME(0,5,0),Translation!$A$6,IF($M235,Translation!$A$7,$K235))))))),Translation!$A$7)</f>
        <v/>
      </c>
      <c r="F235" s="27"/>
      <c r="G235" s="28"/>
      <c r="H235" s="29"/>
    </row>
    <row r="236">
      <c r="D236" s="14"/>
      <c r="E236" s="26" t="str">
        <f>IFERROR(IF($A236="",,IF($I236="",Translation!$A$2,IF($L236="",Translation!$A$3,IF($N236&lt;&gt;$B236,Translation!$A$4,IF(IFERROR($F236,)="",Translation!$A$5,IF($H236&gt;TIME(0,5,0),Translation!$A$6,IF($M236,Translation!$A$7,$K236))))))),Translation!$A$7)</f>
        <v/>
      </c>
      <c r="F236" s="27"/>
      <c r="G236" s="28"/>
      <c r="H236" s="29"/>
    </row>
    <row r="237">
      <c r="D237" s="14"/>
      <c r="E237" s="26" t="str">
        <f>IFERROR(IF($A237="",,IF($I237="",Translation!$A$2,IF($L237="",Translation!$A$3,IF($N237&lt;&gt;$B237,Translation!$A$4,IF(IFERROR($F237,)="",Translation!$A$5,IF($H237&gt;TIME(0,5,0),Translation!$A$6,IF($M237,Translation!$A$7,$K237))))))),Translation!$A$7)</f>
        <v/>
      </c>
      <c r="F237" s="27"/>
      <c r="G237" s="28"/>
      <c r="H237" s="29"/>
    </row>
    <row r="238">
      <c r="D238" s="14"/>
      <c r="E238" s="26" t="str">
        <f>IFERROR(IF($A238="",,IF($I238="",Translation!$A$2,IF($L238="",Translation!$A$3,IF($N238&lt;&gt;$B238,Translation!$A$4,IF(IFERROR($F238,)="",Translation!$A$5,IF($H238&gt;TIME(0,5,0),Translation!$A$6,IF($M238,Translation!$A$7,$K238))))))),Translation!$A$7)</f>
        <v/>
      </c>
      <c r="F238" s="27"/>
      <c r="G238" s="28"/>
      <c r="H238" s="29"/>
    </row>
    <row r="239">
      <c r="D239" s="14"/>
      <c r="E239" s="26" t="str">
        <f>IFERROR(IF($A239="",,IF($I239="",Translation!$A$2,IF($L239="",Translation!$A$3,IF($N239&lt;&gt;$B239,Translation!$A$4,IF(IFERROR($F239,)="",Translation!$A$5,IF($H239&gt;TIME(0,5,0),Translation!$A$6,IF($M239,Translation!$A$7,$K239))))))),Translation!$A$7)</f>
        <v/>
      </c>
      <c r="F239" s="27"/>
      <c r="G239" s="28"/>
      <c r="H239" s="29"/>
    </row>
    <row r="240">
      <c r="D240" s="14"/>
      <c r="E240" s="26" t="str">
        <f>IFERROR(IF($A240="",,IF($I240="",Translation!$A$2,IF($L240="",Translation!$A$3,IF($N240&lt;&gt;$B240,Translation!$A$4,IF(IFERROR($F240,)="",Translation!$A$5,IF($H240&gt;TIME(0,5,0),Translation!$A$6,IF($M240,Translation!$A$7,$K240))))))),Translation!$A$7)</f>
        <v/>
      </c>
      <c r="F240" s="27"/>
      <c r="G240" s="28"/>
      <c r="H240" s="29"/>
    </row>
    <row r="241">
      <c r="D241" s="14"/>
      <c r="E241" s="26" t="str">
        <f>IFERROR(IF($A241="",,IF($I241="",Translation!$A$2,IF($L241="",Translation!$A$3,IF($N241&lt;&gt;$B241,Translation!$A$4,IF(IFERROR($F241,)="",Translation!$A$5,IF($H241&gt;TIME(0,5,0),Translation!$A$6,IF($M241,Translation!$A$7,$K241))))))),Translation!$A$7)</f>
        <v/>
      </c>
      <c r="F241" s="27"/>
      <c r="G241" s="28"/>
      <c r="H241" s="29"/>
    </row>
    <row r="242">
      <c r="D242" s="14"/>
      <c r="E242" s="26" t="str">
        <f>IFERROR(IF($A242="",,IF($I242="",Translation!$A$2,IF($L242="",Translation!$A$3,IF($N242&lt;&gt;$B242,Translation!$A$4,IF(IFERROR($F242,)="",Translation!$A$5,IF($H242&gt;TIME(0,5,0),Translation!$A$6,IF($M242,Translation!$A$7,$K242))))))),Translation!$A$7)</f>
        <v/>
      </c>
      <c r="F242" s="27"/>
      <c r="G242" s="28"/>
      <c r="H242" s="29"/>
    </row>
    <row r="243">
      <c r="D243" s="14"/>
      <c r="E243" s="26" t="str">
        <f>IFERROR(IF($A243="",,IF($I243="",Translation!$A$2,IF($L243="",Translation!$A$3,IF($N243&lt;&gt;$B243,Translation!$A$4,IF(IFERROR($F243,)="",Translation!$A$5,IF($H243&gt;TIME(0,5,0),Translation!$A$6,IF($M243,Translation!$A$7,$K243))))))),Translation!$A$7)</f>
        <v/>
      </c>
      <c r="F243" s="27"/>
      <c r="G243" s="28"/>
      <c r="H243" s="29"/>
    </row>
    <row r="244">
      <c r="D244" s="14"/>
      <c r="E244" s="26" t="str">
        <f>IFERROR(IF($A244="",,IF($I244="",Translation!$A$2,IF($L244="",Translation!$A$3,IF($N244&lt;&gt;$B244,Translation!$A$4,IF(IFERROR($F244,)="",Translation!$A$5,IF($H244&gt;TIME(0,5,0),Translation!$A$6,IF($M244,Translation!$A$7,$K244))))))),Translation!$A$7)</f>
        <v/>
      </c>
      <c r="F244" s="27"/>
      <c r="G244" s="28"/>
      <c r="H244" s="29"/>
    </row>
    <row r="245">
      <c r="D245" s="14"/>
      <c r="E245" s="26" t="str">
        <f>IFERROR(IF($A245="",,IF($I245="",Translation!$A$2,IF($L245="",Translation!$A$3,IF($N245&lt;&gt;$B245,Translation!$A$4,IF(IFERROR($F245,)="",Translation!$A$5,IF($H245&gt;TIME(0,5,0),Translation!$A$6,IF($M245,Translation!$A$7,$K245))))))),Translation!$A$7)</f>
        <v/>
      </c>
      <c r="F245" s="27"/>
      <c r="G245" s="28"/>
      <c r="H245" s="29"/>
    </row>
    <row r="246">
      <c r="D246" s="14"/>
      <c r="E246" s="26" t="str">
        <f>IFERROR(IF($A246="",,IF($I246="",Translation!$A$2,IF($L246="",Translation!$A$3,IF($N246&lt;&gt;$B246,Translation!$A$4,IF(IFERROR($F246,)="",Translation!$A$5,IF($H246&gt;TIME(0,5,0),Translation!$A$6,IF($M246,Translation!$A$7,$K246))))))),Translation!$A$7)</f>
        <v/>
      </c>
      <c r="F246" s="27"/>
      <c r="G246" s="28"/>
      <c r="H246" s="29"/>
    </row>
    <row r="247">
      <c r="D247" s="14"/>
      <c r="E247" s="26" t="str">
        <f>IFERROR(IF($A247="",,IF($I247="",Translation!$A$2,IF($L247="",Translation!$A$3,IF($N247&lt;&gt;$B247,Translation!$A$4,IF(IFERROR($F247,)="",Translation!$A$5,IF($H247&gt;TIME(0,5,0),Translation!$A$6,IF($M247,Translation!$A$7,$K247))))))),Translation!$A$7)</f>
        <v/>
      </c>
      <c r="F247" s="27"/>
      <c r="G247" s="28"/>
      <c r="H247" s="29"/>
    </row>
    <row r="248">
      <c r="D248" s="14"/>
      <c r="E248" s="26" t="str">
        <f>IFERROR(IF($A248="",,IF($I248="",Translation!$A$2,IF($L248="",Translation!$A$3,IF($N248&lt;&gt;$B248,Translation!$A$4,IF(IFERROR($F248,)="",Translation!$A$5,IF($H248&gt;TIME(0,5,0),Translation!$A$6,IF($M248,Translation!$A$7,$K248))))))),Translation!$A$7)</f>
        <v/>
      </c>
      <c r="F248" s="27"/>
      <c r="G248" s="28"/>
      <c r="H248" s="29"/>
    </row>
    <row r="249">
      <c r="D249" s="14"/>
      <c r="E249" s="26" t="str">
        <f>IFERROR(IF($A249="",,IF($I249="",Translation!$A$2,IF($L249="",Translation!$A$3,IF($N249&lt;&gt;$B249,Translation!$A$4,IF(IFERROR($F249,)="",Translation!$A$5,IF($H249&gt;TIME(0,5,0),Translation!$A$6,IF($M249,Translation!$A$7,$K249))))))),Translation!$A$7)</f>
        <v/>
      </c>
      <c r="F249" s="27"/>
      <c r="G249" s="28"/>
      <c r="H249" s="29"/>
    </row>
    <row r="250">
      <c r="D250" s="14"/>
      <c r="E250" s="26" t="str">
        <f>IFERROR(IF($A250="",,IF($I250="",Translation!$A$2,IF($L250="",Translation!$A$3,IF($N250&lt;&gt;$B250,Translation!$A$4,IF(IFERROR($F250,)="",Translation!$A$5,IF($H250&gt;TIME(0,5,0),Translation!$A$6,IF($M250,Translation!$A$7,$K250))))))),Translation!$A$7)</f>
        <v/>
      </c>
      <c r="F250" s="27"/>
      <c r="G250" s="28"/>
      <c r="H250" s="29"/>
    </row>
    <row r="251">
      <c r="D251" s="14"/>
      <c r="E251" s="26" t="str">
        <f>IFERROR(IF($A251="",,IF($I251="",Translation!$A$2,IF($L251="",Translation!$A$3,IF($N251&lt;&gt;$B251,Translation!$A$4,IF(IFERROR($F251,)="",Translation!$A$5,IF($H251&gt;TIME(0,5,0),Translation!$A$6,IF($M251,Translation!$A$7,$K251))))))),Translation!$A$7)</f>
        <v/>
      </c>
      <c r="F251" s="27"/>
      <c r="G251" s="28"/>
      <c r="H251" s="29"/>
    </row>
    <row r="252">
      <c r="D252" s="14"/>
      <c r="E252" s="26" t="str">
        <f>IFERROR(IF($A252="",,IF($I252="",Translation!$A$2,IF($L252="",Translation!$A$3,IF($N252&lt;&gt;$B252,Translation!$A$4,IF(IFERROR($F252,)="",Translation!$A$5,IF($H252&gt;TIME(0,5,0),Translation!$A$6,IF($M252,Translation!$A$7,$K252))))))),Translation!$A$7)</f>
        <v/>
      </c>
      <c r="F252" s="27"/>
      <c r="G252" s="28"/>
      <c r="H252" s="29"/>
    </row>
    <row r="253">
      <c r="D253" s="14"/>
      <c r="E253" s="26" t="str">
        <f>IFERROR(IF($A253="",,IF($I253="",Translation!$A$2,IF($L253="",Translation!$A$3,IF($N253&lt;&gt;$B253,Translation!$A$4,IF(IFERROR($F253,)="",Translation!$A$5,IF($H253&gt;TIME(0,5,0),Translation!$A$6,IF($M253,Translation!$A$7,$K253))))))),Translation!$A$7)</f>
        <v/>
      </c>
      <c r="F253" s="27"/>
      <c r="G253" s="28"/>
      <c r="H253" s="29"/>
    </row>
    <row r="254">
      <c r="D254" s="14"/>
      <c r="E254" s="26" t="str">
        <f>IFERROR(IF($A254="",,IF($I254="",Translation!$A$2,IF($L254="",Translation!$A$3,IF($N254&lt;&gt;$B254,Translation!$A$4,IF(IFERROR($F254,)="",Translation!$A$5,IF($H254&gt;TIME(0,5,0),Translation!$A$6,IF($M254,Translation!$A$7,$K254))))))),Translation!$A$7)</f>
        <v/>
      </c>
      <c r="F254" s="27"/>
      <c r="G254" s="28"/>
      <c r="H254" s="29"/>
    </row>
    <row r="255">
      <c r="D255" s="14"/>
      <c r="E255" s="26" t="str">
        <f>IFERROR(IF($A255="",,IF($I255="",Translation!$A$2,IF($L255="",Translation!$A$3,IF($N255&lt;&gt;$B255,Translation!$A$4,IF(IFERROR($F255,)="",Translation!$A$5,IF($H255&gt;TIME(0,5,0),Translation!$A$6,IF($M255,Translation!$A$7,$K255))))))),Translation!$A$7)</f>
        <v/>
      </c>
      <c r="F255" s="27"/>
      <c r="G255" s="28"/>
      <c r="H255" s="29"/>
    </row>
    <row r="256">
      <c r="D256" s="14"/>
      <c r="E256" s="26" t="str">
        <f>IFERROR(IF($A256="",,IF($I256="",Translation!$A$2,IF($L256="",Translation!$A$3,IF($N256&lt;&gt;$B256,Translation!$A$4,IF(IFERROR($F256,)="",Translation!$A$5,IF($H256&gt;TIME(0,5,0),Translation!$A$6,IF($M256,Translation!$A$7,$K256))))))),Translation!$A$7)</f>
        <v/>
      </c>
      <c r="F256" s="27"/>
      <c r="G256" s="28"/>
      <c r="H256" s="29"/>
    </row>
    <row r="257">
      <c r="D257" s="14"/>
      <c r="E257" s="26" t="str">
        <f>IFERROR(IF($A257="",,IF($I257="",Translation!$A$2,IF($L257="",Translation!$A$3,IF($N257&lt;&gt;$B257,Translation!$A$4,IF(IFERROR($F257,)="",Translation!$A$5,IF($H257&gt;TIME(0,5,0),Translation!$A$6,IF($M257,Translation!$A$7,$K257))))))),Translation!$A$7)</f>
        <v/>
      </c>
      <c r="F257" s="27"/>
      <c r="G257" s="28"/>
      <c r="H257" s="29"/>
    </row>
    <row r="258">
      <c r="D258" s="14"/>
      <c r="E258" s="26" t="str">
        <f>IFERROR(IF($A258="",,IF($I258="",Translation!$A$2,IF($L258="",Translation!$A$3,IF($N258&lt;&gt;$B258,Translation!$A$4,IF(IFERROR($F258,)="",Translation!$A$5,IF($H258&gt;TIME(0,5,0),Translation!$A$6,IF($M258,Translation!$A$7,$K258))))))),Translation!$A$7)</f>
        <v/>
      </c>
      <c r="F258" s="27"/>
      <c r="G258" s="28"/>
      <c r="H258" s="29"/>
    </row>
    <row r="259">
      <c r="D259" s="14"/>
      <c r="E259" s="26" t="str">
        <f>IFERROR(IF($A259="",,IF($I259="",Translation!$A$2,IF($L259="",Translation!$A$3,IF($N259&lt;&gt;$B259,Translation!$A$4,IF(IFERROR($F259,)="",Translation!$A$5,IF($H259&gt;TIME(0,5,0),Translation!$A$6,IF($M259,Translation!$A$7,$K259))))))),Translation!$A$7)</f>
        <v/>
      </c>
      <c r="F259" s="27"/>
      <c r="G259" s="28"/>
      <c r="H259" s="29"/>
    </row>
    <row r="260">
      <c r="D260" s="14"/>
      <c r="E260" s="26" t="str">
        <f>IFERROR(IF($A260="",,IF($I260="",Translation!$A$2,IF($L260="",Translation!$A$3,IF($N260&lt;&gt;$B260,Translation!$A$4,IF(IFERROR($F260,)="",Translation!$A$5,IF($H260&gt;TIME(0,5,0),Translation!$A$6,IF($M260,Translation!$A$7,$K260))))))),Translation!$A$7)</f>
        <v/>
      </c>
      <c r="F260" s="27"/>
      <c r="G260" s="28"/>
      <c r="H260" s="29"/>
    </row>
    <row r="261">
      <c r="D261" s="14"/>
      <c r="E261" s="26" t="str">
        <f>IFERROR(IF($A261="",,IF($I261="",Translation!$A$2,IF($L261="",Translation!$A$3,IF($N261&lt;&gt;$B261,Translation!$A$4,IF(IFERROR($F261,)="",Translation!$A$5,IF($H261&gt;TIME(0,5,0),Translation!$A$6,IF($M261,Translation!$A$7,$K261))))))),Translation!$A$7)</f>
        <v/>
      </c>
      <c r="F261" s="27"/>
      <c r="G261" s="28"/>
      <c r="H261" s="29"/>
    </row>
    <row r="262">
      <c r="D262" s="14"/>
      <c r="E262" s="26" t="str">
        <f>IFERROR(IF($A262="",,IF($I262="",Translation!$A$2,IF($L262="",Translation!$A$3,IF($N262&lt;&gt;$B262,Translation!$A$4,IF(IFERROR($F262,)="",Translation!$A$5,IF($H262&gt;TIME(0,5,0),Translation!$A$6,IF($M262,Translation!$A$7,$K262))))))),Translation!$A$7)</f>
        <v/>
      </c>
      <c r="F262" s="27"/>
      <c r="G262" s="28"/>
      <c r="H262" s="29"/>
    </row>
    <row r="263">
      <c r="D263" s="14"/>
      <c r="E263" s="26" t="str">
        <f>IFERROR(IF($A263="",,IF($I263="",Translation!$A$2,IF($L263="",Translation!$A$3,IF($N263&lt;&gt;$B263,Translation!$A$4,IF(IFERROR($F263,)="",Translation!$A$5,IF($H263&gt;TIME(0,5,0),Translation!$A$6,IF($M263,Translation!$A$7,$K263))))))),Translation!$A$7)</f>
        <v/>
      </c>
      <c r="F263" s="27"/>
      <c r="G263" s="28"/>
      <c r="H263" s="29"/>
    </row>
    <row r="264">
      <c r="D264" s="14"/>
      <c r="E264" s="26" t="str">
        <f>IFERROR(IF($A264="",,IF($I264="",Translation!$A$2,IF($L264="",Translation!$A$3,IF($N264&lt;&gt;$B264,Translation!$A$4,IF(IFERROR($F264,)="",Translation!$A$5,IF($H264&gt;TIME(0,5,0),Translation!$A$6,IF($M264,Translation!$A$7,$K264))))))),Translation!$A$7)</f>
        <v/>
      </c>
      <c r="F264" s="27"/>
      <c r="G264" s="28"/>
      <c r="H264" s="29"/>
    </row>
    <row r="265">
      <c r="D265" s="14"/>
      <c r="E265" s="26" t="str">
        <f>IFERROR(IF($A265="",,IF($I265="",Translation!$A$2,IF($L265="",Translation!$A$3,IF($N265&lt;&gt;$B265,Translation!$A$4,IF(IFERROR($F265,)="",Translation!$A$5,IF($H265&gt;TIME(0,5,0),Translation!$A$6,IF($M265,Translation!$A$7,$K265))))))),Translation!$A$7)</f>
        <v/>
      </c>
      <c r="F265" s="27"/>
      <c r="G265" s="28"/>
      <c r="H265" s="29"/>
    </row>
    <row r="266">
      <c r="D266" s="14"/>
      <c r="E266" s="26" t="str">
        <f>IFERROR(IF($A266="",,IF($I266="",Translation!$A$2,IF($L266="",Translation!$A$3,IF($N266&lt;&gt;$B266,Translation!$A$4,IF(IFERROR($F266,)="",Translation!$A$5,IF($H266&gt;TIME(0,5,0),Translation!$A$6,IF($M266,Translation!$A$7,$K266))))))),Translation!$A$7)</f>
        <v/>
      </c>
      <c r="F266" s="27"/>
      <c r="G266" s="28"/>
      <c r="H266" s="29"/>
    </row>
    <row r="267">
      <c r="D267" s="14"/>
      <c r="E267" s="26" t="str">
        <f>IFERROR(IF($A267="",,IF($I267="",Translation!$A$2,IF($L267="",Translation!$A$3,IF($N267&lt;&gt;$B267,Translation!$A$4,IF(IFERROR($F267,)="",Translation!$A$5,IF($H267&gt;TIME(0,5,0),Translation!$A$6,IF($M267,Translation!$A$7,$K267))))))),Translation!$A$7)</f>
        <v/>
      </c>
      <c r="F267" s="27"/>
      <c r="G267" s="28"/>
      <c r="H267" s="29"/>
    </row>
    <row r="268">
      <c r="D268" s="14"/>
      <c r="E268" s="26" t="str">
        <f>IFERROR(IF($A268="",,IF($I268="",Translation!$A$2,IF($L268="",Translation!$A$3,IF($N268&lt;&gt;$B268,Translation!$A$4,IF(IFERROR($F268,)="",Translation!$A$5,IF($H268&gt;TIME(0,5,0),Translation!$A$6,IF($M268,Translation!$A$7,$K268))))))),Translation!$A$7)</f>
        <v/>
      </c>
      <c r="F268" s="27"/>
      <c r="G268" s="28"/>
      <c r="H268" s="29"/>
    </row>
    <row r="269">
      <c r="D269" s="14"/>
      <c r="E269" s="26" t="str">
        <f>IFERROR(IF($A269="",,IF($I269="",Translation!$A$2,IF($L269="",Translation!$A$3,IF($N269&lt;&gt;$B269,Translation!$A$4,IF(IFERROR($F269,)="",Translation!$A$5,IF($H269&gt;TIME(0,5,0),Translation!$A$6,IF($M269,Translation!$A$7,$K269))))))),Translation!$A$7)</f>
        <v/>
      </c>
      <c r="F269" s="27"/>
      <c r="G269" s="28"/>
      <c r="H269" s="29"/>
    </row>
    <row r="270">
      <c r="D270" s="14"/>
      <c r="E270" s="26" t="str">
        <f>IFERROR(IF($A270="",,IF($I270="",Translation!$A$2,IF($L270="",Translation!$A$3,IF($N270&lt;&gt;$B270,Translation!$A$4,IF(IFERROR($F270,)="",Translation!$A$5,IF($H270&gt;TIME(0,5,0),Translation!$A$6,IF($M270,Translation!$A$7,$K270))))))),Translation!$A$7)</f>
        <v/>
      </c>
      <c r="F270" s="27"/>
      <c r="G270" s="28"/>
      <c r="H270" s="29"/>
    </row>
    <row r="271">
      <c r="D271" s="14"/>
      <c r="E271" s="26" t="str">
        <f>IFERROR(IF($A271="",,IF($I271="",Translation!$A$2,IF($L271="",Translation!$A$3,IF($N271&lt;&gt;$B271,Translation!$A$4,IF(IFERROR($F271,)="",Translation!$A$5,IF($H271&gt;TIME(0,5,0),Translation!$A$6,IF($M271,Translation!$A$7,$K271))))))),Translation!$A$7)</f>
        <v/>
      </c>
      <c r="F271" s="27"/>
      <c r="G271" s="28"/>
      <c r="H271" s="29"/>
    </row>
    <row r="272">
      <c r="D272" s="14"/>
      <c r="E272" s="26" t="str">
        <f>IFERROR(IF($A272="",,IF($I272="",Translation!$A$2,IF($L272="",Translation!$A$3,IF($N272&lt;&gt;$B272,Translation!$A$4,IF(IFERROR($F272,)="",Translation!$A$5,IF($H272&gt;TIME(0,5,0),Translation!$A$6,IF($M272,Translation!$A$7,$K272))))))),Translation!$A$7)</f>
        <v/>
      </c>
      <c r="F272" s="27"/>
      <c r="G272" s="28"/>
      <c r="H272" s="29"/>
    </row>
    <row r="273">
      <c r="D273" s="14"/>
      <c r="E273" s="26" t="str">
        <f>IFERROR(IF($A273="",,IF($I273="",Translation!$A$2,IF($L273="",Translation!$A$3,IF($N273&lt;&gt;$B273,Translation!$A$4,IF(IFERROR($F273,)="",Translation!$A$5,IF($H273&gt;TIME(0,5,0),Translation!$A$6,IF($M273,Translation!$A$7,$K273))))))),Translation!$A$7)</f>
        <v/>
      </c>
      <c r="F273" s="27"/>
      <c r="G273" s="28"/>
      <c r="H273" s="29"/>
    </row>
    <row r="274">
      <c r="D274" s="14"/>
      <c r="E274" s="26" t="str">
        <f>IFERROR(IF($A274="",,IF($I274="",Translation!$A$2,IF($L274="",Translation!$A$3,IF($N274&lt;&gt;$B274,Translation!$A$4,IF(IFERROR($F274,)="",Translation!$A$5,IF($H274&gt;TIME(0,5,0),Translation!$A$6,IF($M274,Translation!$A$7,$K274))))))),Translation!$A$7)</f>
        <v/>
      </c>
      <c r="F274" s="27"/>
      <c r="G274" s="28"/>
      <c r="H274" s="29"/>
    </row>
    <row r="275">
      <c r="D275" s="14"/>
      <c r="E275" s="26" t="str">
        <f>IFERROR(IF($A275="",,IF($I275="",Translation!$A$2,IF($L275="",Translation!$A$3,IF($N275&lt;&gt;$B275,Translation!$A$4,IF(IFERROR($F275,)="",Translation!$A$5,IF($H275&gt;TIME(0,5,0),Translation!$A$6,IF($M275,Translation!$A$7,$K275))))))),Translation!$A$7)</f>
        <v/>
      </c>
      <c r="F275" s="27"/>
      <c r="G275" s="28"/>
      <c r="H275" s="29"/>
    </row>
    <row r="276">
      <c r="D276" s="14"/>
      <c r="E276" s="26" t="str">
        <f>IFERROR(IF($A276="",,IF($I276="",Translation!$A$2,IF($L276="",Translation!$A$3,IF($N276&lt;&gt;$B276,Translation!$A$4,IF(IFERROR($F276,)="",Translation!$A$5,IF($H276&gt;TIME(0,5,0),Translation!$A$6,IF($M276,Translation!$A$7,$K276))))))),Translation!$A$7)</f>
        <v/>
      </c>
      <c r="F276" s="27"/>
      <c r="G276" s="28"/>
      <c r="H276" s="29"/>
    </row>
    <row r="277">
      <c r="D277" s="14"/>
      <c r="E277" s="26" t="str">
        <f>IFERROR(IF($A277="",,IF($I277="",Translation!$A$2,IF($L277="",Translation!$A$3,IF($N277&lt;&gt;$B277,Translation!$A$4,IF(IFERROR($F277,)="",Translation!$A$5,IF($H277&gt;TIME(0,5,0),Translation!$A$6,IF($M277,Translation!$A$7,$K277))))))),Translation!$A$7)</f>
        <v/>
      </c>
      <c r="F277" s="27"/>
      <c r="G277" s="28"/>
      <c r="H277" s="29"/>
    </row>
    <row r="278">
      <c r="D278" s="14"/>
      <c r="E278" s="26" t="str">
        <f>IFERROR(IF($A278="",,IF($I278="",Translation!$A$2,IF($L278="",Translation!$A$3,IF($N278&lt;&gt;$B278,Translation!$A$4,IF(IFERROR($F278,)="",Translation!$A$5,IF($H278&gt;TIME(0,5,0),Translation!$A$6,IF($M278,Translation!$A$7,$K278))))))),Translation!$A$7)</f>
        <v/>
      </c>
      <c r="F278" s="27"/>
      <c r="G278" s="28"/>
      <c r="H278" s="29"/>
    </row>
    <row r="279">
      <c r="D279" s="14"/>
      <c r="E279" s="26" t="str">
        <f>IFERROR(IF($A279="",,IF($I279="",Translation!$A$2,IF($L279="",Translation!$A$3,IF($N279&lt;&gt;$B279,Translation!$A$4,IF(IFERROR($F279,)="",Translation!$A$5,IF($H279&gt;TIME(0,5,0),Translation!$A$6,IF($M279,Translation!$A$7,$K279))))))),Translation!$A$7)</f>
        <v/>
      </c>
      <c r="F279" s="27"/>
      <c r="G279" s="28"/>
      <c r="H279" s="29"/>
    </row>
    <row r="280">
      <c r="D280" s="14"/>
      <c r="E280" s="26" t="str">
        <f>IFERROR(IF($A280="",,IF($I280="",Translation!$A$2,IF($L280="",Translation!$A$3,IF($N280&lt;&gt;$B280,Translation!$A$4,IF(IFERROR($F280,)="",Translation!$A$5,IF($H280&gt;TIME(0,5,0),Translation!$A$6,IF($M280,Translation!$A$7,$K280))))))),Translation!$A$7)</f>
        <v/>
      </c>
      <c r="F280" s="27"/>
      <c r="G280" s="28"/>
      <c r="H280" s="29"/>
    </row>
    <row r="281">
      <c r="D281" s="14"/>
      <c r="E281" s="26" t="str">
        <f>IFERROR(IF($A281="",,IF($I281="",Translation!$A$2,IF($L281="",Translation!$A$3,IF($N281&lt;&gt;$B281,Translation!$A$4,IF(IFERROR($F281,)="",Translation!$A$5,IF($H281&gt;TIME(0,5,0),Translation!$A$6,IF($M281,Translation!$A$7,$K281))))))),Translation!$A$7)</f>
        <v/>
      </c>
      <c r="F281" s="27"/>
      <c r="G281" s="28"/>
      <c r="H281" s="29"/>
    </row>
    <row r="282">
      <c r="D282" s="14"/>
      <c r="E282" s="26" t="str">
        <f>IFERROR(IF($A282="",,IF($I282="",Translation!$A$2,IF($L282="",Translation!$A$3,IF($N282&lt;&gt;$B282,Translation!$A$4,IF(IFERROR($F282,)="",Translation!$A$5,IF($H282&gt;TIME(0,5,0),Translation!$A$6,IF($M282,Translation!$A$7,$K282))))))),Translation!$A$7)</f>
        <v/>
      </c>
      <c r="F282" s="27"/>
      <c r="G282" s="28"/>
      <c r="H282" s="29"/>
    </row>
    <row r="283">
      <c r="D283" s="14"/>
      <c r="E283" s="26" t="str">
        <f>IFERROR(IF($A283="",,IF($I283="",Translation!$A$2,IF($L283="",Translation!$A$3,IF($N283&lt;&gt;$B283,Translation!$A$4,IF(IFERROR($F283,)="",Translation!$A$5,IF($H283&gt;TIME(0,5,0),Translation!$A$6,IF($M283,Translation!$A$7,$K283))))))),Translation!$A$7)</f>
        <v/>
      </c>
      <c r="F283" s="27"/>
      <c r="G283" s="28"/>
      <c r="H283" s="29"/>
    </row>
    <row r="284">
      <c r="D284" s="14"/>
      <c r="E284" s="26" t="str">
        <f>IFERROR(IF($A284="",,IF($I284="",Translation!$A$2,IF($L284="",Translation!$A$3,IF($N284&lt;&gt;$B284,Translation!$A$4,IF(IFERROR($F284,)="",Translation!$A$5,IF($H284&gt;TIME(0,5,0),Translation!$A$6,IF($M284,Translation!$A$7,$K284))))))),Translation!$A$7)</f>
        <v/>
      </c>
      <c r="F284" s="27"/>
      <c r="G284" s="28"/>
      <c r="H284" s="29"/>
    </row>
    <row r="285">
      <c r="D285" s="14"/>
      <c r="E285" s="26" t="str">
        <f>IFERROR(IF($A285="",,IF($I285="",Translation!$A$2,IF($L285="",Translation!$A$3,IF($N285&lt;&gt;$B285,Translation!$A$4,IF(IFERROR($F285,)="",Translation!$A$5,IF($H285&gt;TIME(0,5,0),Translation!$A$6,IF($M285,Translation!$A$7,$K285))))))),Translation!$A$7)</f>
        <v/>
      </c>
      <c r="F285" s="27"/>
      <c r="G285" s="28"/>
      <c r="H285" s="29"/>
    </row>
    <row r="286">
      <c r="D286" s="14"/>
      <c r="E286" s="26" t="str">
        <f>IFERROR(IF($A286="",,IF($I286="",Translation!$A$2,IF($L286="",Translation!$A$3,IF($N286&lt;&gt;$B286,Translation!$A$4,IF(IFERROR($F286,)="",Translation!$A$5,IF($H286&gt;TIME(0,5,0),Translation!$A$6,IF($M286,Translation!$A$7,$K286))))))),Translation!$A$7)</f>
        <v/>
      </c>
      <c r="F286" s="27"/>
      <c r="G286" s="28"/>
      <c r="H286" s="29"/>
    </row>
    <row r="287">
      <c r="D287" s="14"/>
      <c r="E287" s="26" t="str">
        <f>IFERROR(IF($A287="",,IF($I287="",Translation!$A$2,IF($L287="",Translation!$A$3,IF($N287&lt;&gt;$B287,Translation!$A$4,IF(IFERROR($F287,)="",Translation!$A$5,IF($H287&gt;TIME(0,5,0),Translation!$A$6,IF($M287,Translation!$A$7,$K287))))))),Translation!$A$7)</f>
        <v/>
      </c>
      <c r="F287" s="27"/>
      <c r="G287" s="28"/>
      <c r="H287" s="29"/>
    </row>
    <row r="288">
      <c r="D288" s="14"/>
      <c r="E288" s="26" t="str">
        <f>IFERROR(IF($A288="",,IF($I288="",Translation!$A$2,IF($L288="",Translation!$A$3,IF($N288&lt;&gt;$B288,Translation!$A$4,IF(IFERROR($F288,)="",Translation!$A$5,IF($H288&gt;TIME(0,5,0),Translation!$A$6,IF($M288,Translation!$A$7,$K288))))))),Translation!$A$7)</f>
        <v/>
      </c>
      <c r="F288" s="27"/>
      <c r="G288" s="28"/>
      <c r="H288" s="29"/>
    </row>
    <row r="289">
      <c r="D289" s="14"/>
      <c r="E289" s="26" t="str">
        <f>IFERROR(IF($A289="",,IF($I289="",Translation!$A$2,IF($L289="",Translation!$A$3,IF($N289&lt;&gt;$B289,Translation!$A$4,IF(IFERROR($F289,)="",Translation!$A$5,IF($H289&gt;TIME(0,5,0),Translation!$A$6,IF($M289,Translation!$A$7,$K289))))))),Translation!$A$7)</f>
        <v/>
      </c>
      <c r="F289" s="27"/>
      <c r="G289" s="28"/>
      <c r="H289" s="29"/>
    </row>
    <row r="290">
      <c r="D290" s="14"/>
      <c r="E290" s="26" t="str">
        <f>IFERROR(IF($A290="",,IF($I290="",Translation!$A$2,IF($L290="",Translation!$A$3,IF($N290&lt;&gt;$B290,Translation!$A$4,IF(IFERROR($F290,)="",Translation!$A$5,IF($H290&gt;TIME(0,5,0),Translation!$A$6,IF($M290,Translation!$A$7,$K290))))))),Translation!$A$7)</f>
        <v/>
      </c>
      <c r="F290" s="27"/>
      <c r="G290" s="28"/>
      <c r="H290" s="29"/>
    </row>
    <row r="291">
      <c r="D291" s="14"/>
      <c r="E291" s="26" t="str">
        <f>IFERROR(IF($A291="",,IF($I291="",Translation!$A$2,IF($L291="",Translation!$A$3,IF($N291&lt;&gt;$B291,Translation!$A$4,IF(IFERROR($F291,)="",Translation!$A$5,IF($H291&gt;TIME(0,5,0),Translation!$A$6,IF($M291,Translation!$A$7,$K291))))))),Translation!$A$7)</f>
        <v/>
      </c>
      <c r="F291" s="27"/>
      <c r="G291" s="28"/>
      <c r="H291" s="29"/>
    </row>
    <row r="292">
      <c r="D292" s="14"/>
      <c r="E292" s="26" t="str">
        <f>IFERROR(IF($A292="",,IF($I292="",Translation!$A$2,IF($L292="",Translation!$A$3,IF($N292&lt;&gt;$B292,Translation!$A$4,IF(IFERROR($F292,)="",Translation!$A$5,IF($H292&gt;TIME(0,5,0),Translation!$A$6,IF($M292,Translation!$A$7,$K292))))))),Translation!$A$7)</f>
        <v/>
      </c>
      <c r="F292" s="27"/>
      <c r="G292" s="28"/>
      <c r="H292" s="29"/>
    </row>
    <row r="293">
      <c r="D293" s="14"/>
      <c r="E293" s="26" t="str">
        <f>IFERROR(IF($A293="",,IF($I293="",Translation!$A$2,IF($L293="",Translation!$A$3,IF($N293&lt;&gt;$B293,Translation!$A$4,IF(IFERROR($F293,)="",Translation!$A$5,IF($H293&gt;TIME(0,5,0),Translation!$A$6,IF($M293,Translation!$A$7,$K293))))))),Translation!$A$7)</f>
        <v/>
      </c>
      <c r="F293" s="27"/>
      <c r="G293" s="28"/>
      <c r="H293" s="29"/>
    </row>
    <row r="294">
      <c r="D294" s="14"/>
      <c r="E294" s="26" t="str">
        <f>IFERROR(IF($A294="",,IF($I294="",Translation!$A$2,IF($L294="",Translation!$A$3,IF($N294&lt;&gt;$B294,Translation!$A$4,IF(IFERROR($F294,)="",Translation!$A$5,IF($H294&gt;TIME(0,5,0),Translation!$A$6,IF($M294,Translation!$A$7,$K294))))))),Translation!$A$7)</f>
        <v/>
      </c>
      <c r="F294" s="27"/>
      <c r="G294" s="28"/>
      <c r="H294" s="29"/>
    </row>
    <row r="295">
      <c r="D295" s="14"/>
      <c r="E295" s="26" t="str">
        <f>IFERROR(IF($A295="",,IF($I295="",Translation!$A$2,IF($L295="",Translation!$A$3,IF($N295&lt;&gt;$B295,Translation!$A$4,IF(IFERROR($F295,)="",Translation!$A$5,IF($H295&gt;TIME(0,5,0),Translation!$A$6,IF($M295,Translation!$A$7,$K295))))))),Translation!$A$7)</f>
        <v/>
      </c>
      <c r="F295" s="27"/>
      <c r="G295" s="28"/>
      <c r="H295" s="29"/>
    </row>
    <row r="296">
      <c r="D296" s="14"/>
      <c r="E296" s="26" t="str">
        <f>IFERROR(IF($A296="",,IF($I296="",Translation!$A$2,IF($L296="",Translation!$A$3,IF($N296&lt;&gt;$B296,Translation!$A$4,IF(IFERROR($F296,)="",Translation!$A$5,IF($H296&gt;TIME(0,5,0),Translation!$A$6,IF($M296,Translation!$A$7,$K296))))))),Translation!$A$7)</f>
        <v/>
      </c>
      <c r="F296" s="27"/>
      <c r="G296" s="28"/>
      <c r="H296" s="29"/>
    </row>
    <row r="297">
      <c r="D297" s="14"/>
      <c r="E297" s="26" t="str">
        <f>IFERROR(IF($A297="",,IF($I297="",Translation!$A$2,IF($L297="",Translation!$A$3,IF($N297&lt;&gt;$B297,Translation!$A$4,IF(IFERROR($F297,)="",Translation!$A$5,IF($H297&gt;TIME(0,5,0),Translation!$A$6,IF($M297,Translation!$A$7,$K297))))))),Translation!$A$7)</f>
        <v/>
      </c>
      <c r="F297" s="27"/>
      <c r="G297" s="28"/>
      <c r="H297" s="29"/>
    </row>
    <row r="298">
      <c r="D298" s="14"/>
      <c r="E298" s="26" t="str">
        <f>IFERROR(IF($A298="",,IF($I298="",Translation!$A$2,IF($L298="",Translation!$A$3,IF($N298&lt;&gt;$B298,Translation!$A$4,IF(IFERROR($F298,)="",Translation!$A$5,IF($H298&gt;TIME(0,5,0),Translation!$A$6,IF($M298,Translation!$A$7,$K298))))))),Translation!$A$7)</f>
        <v/>
      </c>
      <c r="F298" s="27"/>
      <c r="G298" s="28"/>
      <c r="H298" s="29"/>
    </row>
    <row r="299">
      <c r="D299" s="14"/>
      <c r="E299" s="26" t="str">
        <f>IFERROR(IF($A299="",,IF($I299="",Translation!$A$2,IF($L299="",Translation!$A$3,IF($N299&lt;&gt;$B299,Translation!$A$4,IF(IFERROR($F299,)="",Translation!$A$5,IF($H299&gt;TIME(0,5,0),Translation!$A$6,IF($M299,Translation!$A$7,$K299))))))),Translation!$A$7)</f>
        <v/>
      </c>
      <c r="F299" s="27"/>
      <c r="G299" s="28"/>
      <c r="H299" s="29"/>
    </row>
    <row r="300">
      <c r="D300" s="14"/>
      <c r="E300" s="26" t="str">
        <f>IFERROR(IF($A300="",,IF($I300="",Translation!$A$2,IF($L300="",Translation!$A$3,IF($N300&lt;&gt;$B300,Translation!$A$4,IF(IFERROR($F300,)="",Translation!$A$5,IF($H300&gt;TIME(0,5,0),Translation!$A$6,IF($M300,Translation!$A$7,$K300))))))),Translation!$A$7)</f>
        <v/>
      </c>
      <c r="F300" s="27"/>
      <c r="G300" s="28"/>
      <c r="H300" s="29"/>
    </row>
    <row r="301">
      <c r="D301" s="14"/>
      <c r="E301" s="26" t="str">
        <f>IFERROR(IF($A301="",,IF($I301="",Translation!$A$2,IF($L301="",Translation!$A$3,IF($N301&lt;&gt;$B301,Translation!$A$4,IF(IFERROR($F301,)="",Translation!$A$5,IF($H301&gt;TIME(0,5,0),Translation!$A$6,IF($M301,Translation!$A$7,$K301))))))),Translation!$A$7)</f>
        <v/>
      </c>
      <c r="F301" s="27"/>
      <c r="G301" s="28"/>
      <c r="H301" s="29"/>
    </row>
    <row r="302">
      <c r="D302" s="14"/>
      <c r="E302" s="26" t="str">
        <f>IFERROR(IF($A302="",,IF($I302="",Translation!$A$2,IF($L302="",Translation!$A$3,IF($N302&lt;&gt;$B302,Translation!$A$4,IF(IFERROR($F302,)="",Translation!$A$5,IF($H302&gt;TIME(0,5,0),Translation!$A$6,IF($M302,Translation!$A$7,$K302))))))),Translation!$A$7)</f>
        <v/>
      </c>
      <c r="F302" s="27"/>
      <c r="G302" s="28"/>
      <c r="H302" s="29"/>
    </row>
    <row r="303">
      <c r="D303" s="14"/>
      <c r="E303" s="26" t="str">
        <f>IFERROR(IF($A303="",,IF($I303="",Translation!$A$2,IF($L303="",Translation!$A$3,IF($N303&lt;&gt;$B303,Translation!$A$4,IF(IFERROR($F303,)="",Translation!$A$5,IF($H303&gt;TIME(0,5,0),Translation!$A$6,IF($M303,Translation!$A$7,$K303))))))),Translation!$A$7)</f>
        <v/>
      </c>
      <c r="F303" s="27"/>
      <c r="G303" s="28"/>
      <c r="H303" s="29"/>
    </row>
    <row r="304">
      <c r="D304" s="14"/>
      <c r="E304" s="26" t="str">
        <f>IFERROR(IF($A304="",,IF($I304="",Translation!$A$2,IF($L304="",Translation!$A$3,IF($N304&lt;&gt;$B304,Translation!$A$4,IF(IFERROR($F304,)="",Translation!$A$5,IF($H304&gt;TIME(0,5,0),Translation!$A$6,IF($M304,Translation!$A$7,$K304))))))),Translation!$A$7)</f>
        <v/>
      </c>
      <c r="F304" s="27"/>
      <c r="G304" s="28"/>
      <c r="H304" s="29"/>
    </row>
    <row r="305">
      <c r="D305" s="14"/>
      <c r="E305" s="26" t="str">
        <f>IFERROR(IF($A305="",,IF($I305="",Translation!$A$2,IF($L305="",Translation!$A$3,IF($N305&lt;&gt;$B305,Translation!$A$4,IF(IFERROR($F305,)="",Translation!$A$5,IF($H305&gt;TIME(0,5,0),Translation!$A$6,IF($M305,Translation!$A$7,$K305))))))),Translation!$A$7)</f>
        <v/>
      </c>
      <c r="F305" s="27"/>
      <c r="G305" s="28"/>
      <c r="H305" s="29"/>
    </row>
    <row r="306">
      <c r="D306" s="14"/>
      <c r="E306" s="26" t="str">
        <f>IFERROR(IF($A306="",,IF($I306="",Translation!$A$2,IF($L306="",Translation!$A$3,IF($N306&lt;&gt;$B306,Translation!$A$4,IF(IFERROR($F306,)="",Translation!$A$5,IF($H306&gt;TIME(0,5,0),Translation!$A$6,IF($M306,Translation!$A$7,$K306))))))),Translation!$A$7)</f>
        <v/>
      </c>
      <c r="F306" s="27"/>
      <c r="G306" s="28"/>
      <c r="H306" s="29"/>
    </row>
    <row r="307">
      <c r="D307" s="14"/>
      <c r="E307" s="26" t="str">
        <f>IFERROR(IF($A307="",,IF($I307="",Translation!$A$2,IF($L307="",Translation!$A$3,IF($N307&lt;&gt;$B307,Translation!$A$4,IF(IFERROR($F307,)="",Translation!$A$5,IF($H307&gt;TIME(0,5,0),Translation!$A$6,IF($M307,Translation!$A$7,$K307))))))),Translation!$A$7)</f>
        <v/>
      </c>
      <c r="F307" s="27"/>
      <c r="G307" s="28"/>
      <c r="H307" s="29"/>
    </row>
    <row r="308">
      <c r="D308" s="14"/>
      <c r="E308" s="26" t="str">
        <f>IFERROR(IF($A308="",,IF($I308="",Translation!$A$2,IF($L308="",Translation!$A$3,IF($N308&lt;&gt;$B308,Translation!$A$4,IF(IFERROR($F308,)="",Translation!$A$5,IF($H308&gt;TIME(0,5,0),Translation!$A$6,IF($M308,Translation!$A$7,$K308))))))),Translation!$A$7)</f>
        <v/>
      </c>
      <c r="F308" s="27"/>
      <c r="G308" s="28"/>
      <c r="H308" s="29"/>
    </row>
    <row r="309">
      <c r="D309" s="14"/>
      <c r="E309" s="26" t="str">
        <f>IFERROR(IF($A309="",,IF($I309="",Translation!$A$2,IF($L309="",Translation!$A$3,IF($N309&lt;&gt;$B309,Translation!$A$4,IF(IFERROR($F309,)="",Translation!$A$5,IF($H309&gt;TIME(0,5,0),Translation!$A$6,IF($M309,Translation!$A$7,$K309))))))),Translation!$A$7)</f>
        <v/>
      </c>
      <c r="F309" s="27"/>
      <c r="G309" s="28"/>
      <c r="H309" s="29"/>
    </row>
    <row r="310">
      <c r="D310" s="14"/>
      <c r="E310" s="26" t="str">
        <f>IFERROR(IF($A310="",,IF($I310="",Translation!$A$2,IF($L310="",Translation!$A$3,IF($N310&lt;&gt;$B310,Translation!$A$4,IF(IFERROR($F310,)="",Translation!$A$5,IF($H310&gt;TIME(0,5,0),Translation!$A$6,IF($M310,Translation!$A$7,$K310))))))),Translation!$A$7)</f>
        <v/>
      </c>
      <c r="F310" s="27"/>
      <c r="G310" s="28"/>
      <c r="H310" s="29"/>
    </row>
    <row r="311">
      <c r="D311" s="14"/>
      <c r="E311" s="26" t="str">
        <f>IFERROR(IF($A311="",,IF($I311="",Translation!$A$2,IF($L311="",Translation!$A$3,IF($N311&lt;&gt;$B311,Translation!$A$4,IF(IFERROR($F311,)="",Translation!$A$5,IF($H311&gt;TIME(0,5,0),Translation!$A$6,IF($M311,Translation!$A$7,$K311))))))),Translation!$A$7)</f>
        <v/>
      </c>
      <c r="F311" s="27"/>
      <c r="G311" s="28"/>
      <c r="H311" s="29"/>
    </row>
    <row r="312">
      <c r="D312" s="14"/>
      <c r="E312" s="26" t="str">
        <f>IFERROR(IF($A312="",,IF($I312="",Translation!$A$2,IF($L312="",Translation!$A$3,IF($N312&lt;&gt;$B312,Translation!$A$4,IF(IFERROR($F312,)="",Translation!$A$5,IF($H312&gt;TIME(0,5,0),Translation!$A$6,IF($M312,Translation!$A$7,$K312))))))),Translation!$A$7)</f>
        <v/>
      </c>
      <c r="F312" s="27"/>
      <c r="G312" s="28"/>
      <c r="H312" s="29"/>
    </row>
    <row r="313">
      <c r="D313" s="14"/>
      <c r="E313" s="26" t="str">
        <f>IFERROR(IF($A313="",,IF($I313="",Translation!$A$2,IF($L313="",Translation!$A$3,IF($N313&lt;&gt;$B313,Translation!$A$4,IF(IFERROR($F313,)="",Translation!$A$5,IF($H313&gt;TIME(0,5,0),Translation!$A$6,IF($M313,Translation!$A$7,$K313))))))),Translation!$A$7)</f>
        <v/>
      </c>
      <c r="F313" s="27"/>
      <c r="G313" s="28"/>
      <c r="H313" s="29"/>
    </row>
    <row r="314">
      <c r="D314" s="14"/>
      <c r="E314" s="26" t="str">
        <f>IFERROR(IF($A314="",,IF($I314="",Translation!$A$2,IF($L314="",Translation!$A$3,IF($N314&lt;&gt;$B314,Translation!$A$4,IF(IFERROR($F314,)="",Translation!$A$5,IF($H314&gt;TIME(0,5,0),Translation!$A$6,IF($M314,Translation!$A$7,$K314))))))),Translation!$A$7)</f>
        <v/>
      </c>
      <c r="F314" s="27"/>
      <c r="G314" s="28"/>
      <c r="H314" s="29"/>
    </row>
    <row r="315">
      <c r="D315" s="14"/>
      <c r="E315" s="26" t="str">
        <f>IFERROR(IF($A315="",,IF($I315="",Translation!$A$2,IF($L315="",Translation!$A$3,IF($N315&lt;&gt;$B315,Translation!$A$4,IF(IFERROR($F315,)="",Translation!$A$5,IF($H315&gt;TIME(0,5,0),Translation!$A$6,IF($M315,Translation!$A$7,$K315))))))),Translation!$A$7)</f>
        <v/>
      </c>
      <c r="F315" s="27"/>
      <c r="G315" s="28"/>
      <c r="H315" s="29"/>
    </row>
    <row r="316">
      <c r="D316" s="14"/>
      <c r="E316" s="26" t="str">
        <f>IFERROR(IF($A316="",,IF($I316="",Translation!$A$2,IF($L316="",Translation!$A$3,IF($N316&lt;&gt;$B316,Translation!$A$4,IF(IFERROR($F316,)="",Translation!$A$5,IF($H316&gt;TIME(0,5,0),Translation!$A$6,IF($M316,Translation!$A$7,$K316))))))),Translation!$A$7)</f>
        <v/>
      </c>
      <c r="F316" s="27"/>
      <c r="G316" s="28"/>
      <c r="H316" s="29"/>
    </row>
    <row r="317">
      <c r="D317" s="14"/>
      <c r="E317" s="26" t="str">
        <f>IFERROR(IF($A317="",,IF($I317="",Translation!$A$2,IF($L317="",Translation!$A$3,IF($N317&lt;&gt;$B317,Translation!$A$4,IF(IFERROR($F317,)="",Translation!$A$5,IF($H317&gt;TIME(0,5,0),Translation!$A$6,IF($M317,Translation!$A$7,$K317))))))),Translation!$A$7)</f>
        <v/>
      </c>
      <c r="F317" s="27"/>
      <c r="G317" s="28"/>
      <c r="H317" s="29"/>
    </row>
    <row r="318">
      <c r="D318" s="14"/>
      <c r="E318" s="26" t="str">
        <f>IFERROR(IF($A318="",,IF($I318="",Translation!$A$2,IF($L318="",Translation!$A$3,IF($N318&lt;&gt;$B318,Translation!$A$4,IF(IFERROR($F318,)="",Translation!$A$5,IF($H318&gt;TIME(0,5,0),Translation!$A$6,IF($M318,Translation!$A$7,$K318))))))),Translation!$A$7)</f>
        <v/>
      </c>
      <c r="F318" s="27"/>
      <c r="G318" s="28"/>
      <c r="H318" s="29"/>
    </row>
    <row r="319">
      <c r="D319" s="14"/>
      <c r="E319" s="26" t="str">
        <f>IFERROR(IF($A319="",,IF($I319="",Translation!$A$2,IF($L319="",Translation!$A$3,IF($N319&lt;&gt;$B319,Translation!$A$4,IF(IFERROR($F319,)="",Translation!$A$5,IF($H319&gt;TIME(0,5,0),Translation!$A$6,IF($M319,Translation!$A$7,$K319))))))),Translation!$A$7)</f>
        <v/>
      </c>
      <c r="F319" s="27"/>
      <c r="G319" s="28"/>
      <c r="H319" s="29"/>
    </row>
    <row r="320">
      <c r="D320" s="14"/>
      <c r="E320" s="26" t="str">
        <f>IFERROR(IF($A320="",,IF($I320="",Translation!$A$2,IF($L320="",Translation!$A$3,IF($N320&lt;&gt;$B320,Translation!$A$4,IF(IFERROR($F320,)="",Translation!$A$5,IF($H320&gt;TIME(0,5,0),Translation!$A$6,IF($M320,Translation!$A$7,$K320))))))),Translation!$A$7)</f>
        <v/>
      </c>
      <c r="F320" s="27"/>
      <c r="G320" s="28"/>
      <c r="H320" s="29"/>
    </row>
    <row r="321">
      <c r="D321" s="14"/>
      <c r="E321" s="26" t="str">
        <f>IFERROR(IF($A321="",,IF($I321="",Translation!$A$2,IF($L321="",Translation!$A$3,IF($N321&lt;&gt;$B321,Translation!$A$4,IF(IFERROR($F321,)="",Translation!$A$5,IF($H321&gt;TIME(0,5,0),Translation!$A$6,IF($M321,Translation!$A$7,$K321))))))),Translation!$A$7)</f>
        <v/>
      </c>
      <c r="F321" s="27"/>
      <c r="G321" s="28"/>
      <c r="H321" s="29"/>
    </row>
    <row r="322">
      <c r="D322" s="14"/>
      <c r="E322" s="26" t="str">
        <f>IFERROR(IF($A322="",,IF($I322="",Translation!$A$2,IF($L322="",Translation!$A$3,IF($N322&lt;&gt;$B322,Translation!$A$4,IF(IFERROR($F322,)="",Translation!$A$5,IF($H322&gt;TIME(0,5,0),Translation!$A$6,IF($M322,Translation!$A$7,$K322))))))),Translation!$A$7)</f>
        <v/>
      </c>
      <c r="F322" s="27"/>
      <c r="G322" s="28"/>
      <c r="H322" s="29"/>
    </row>
    <row r="323">
      <c r="D323" s="14"/>
      <c r="E323" s="26" t="str">
        <f>IFERROR(IF($A323="",,IF($I323="",Translation!$A$2,IF($L323="",Translation!$A$3,IF($N323&lt;&gt;$B323,Translation!$A$4,IF(IFERROR($F323,)="",Translation!$A$5,IF($H323&gt;TIME(0,5,0),Translation!$A$6,IF($M323,Translation!$A$7,$K323))))))),Translation!$A$7)</f>
        <v/>
      </c>
      <c r="F323" s="27"/>
      <c r="G323" s="28"/>
      <c r="H323" s="29"/>
    </row>
    <row r="324">
      <c r="D324" s="14"/>
      <c r="E324" s="26" t="str">
        <f>IFERROR(IF($A324="",,IF($I324="",Translation!$A$2,IF($L324="",Translation!$A$3,IF($N324&lt;&gt;$B324,Translation!$A$4,IF(IFERROR($F324,)="",Translation!$A$5,IF($H324&gt;TIME(0,5,0),Translation!$A$6,IF($M324,Translation!$A$7,$K324))))))),Translation!$A$7)</f>
        <v/>
      </c>
      <c r="F324" s="27"/>
      <c r="G324" s="28"/>
      <c r="H324" s="29"/>
    </row>
    <row r="325">
      <c r="D325" s="14"/>
      <c r="E325" s="26" t="str">
        <f>IFERROR(IF($A325="",,IF($I325="",Translation!$A$2,IF($L325="",Translation!$A$3,IF($N325&lt;&gt;$B325,Translation!$A$4,IF(IFERROR($F325,)="",Translation!$A$5,IF($H325&gt;TIME(0,5,0),Translation!$A$6,IF($M325,Translation!$A$7,$K325))))))),Translation!$A$7)</f>
        <v/>
      </c>
      <c r="F325" s="27"/>
      <c r="G325" s="28"/>
      <c r="H325" s="29"/>
    </row>
    <row r="326">
      <c r="D326" s="14"/>
      <c r="E326" s="26" t="str">
        <f>IFERROR(IF($A326="",,IF($I326="",Translation!$A$2,IF($L326="",Translation!$A$3,IF($N326&lt;&gt;$B326,Translation!$A$4,IF(IFERROR($F326,)="",Translation!$A$5,IF($H326&gt;TIME(0,5,0),Translation!$A$6,IF($M326,Translation!$A$7,$K326))))))),Translation!$A$7)</f>
        <v/>
      </c>
      <c r="F326" s="27"/>
      <c r="G326" s="28"/>
      <c r="H326" s="29"/>
    </row>
    <row r="327">
      <c r="D327" s="14"/>
      <c r="E327" s="26" t="str">
        <f>IFERROR(IF($A327="",,IF($I327="",Translation!$A$2,IF($L327="",Translation!$A$3,IF($N327&lt;&gt;$B327,Translation!$A$4,IF(IFERROR($F327,)="",Translation!$A$5,IF($H327&gt;TIME(0,5,0),Translation!$A$6,IF($M327,Translation!$A$7,$K327))))))),Translation!$A$7)</f>
        <v/>
      </c>
      <c r="F327" s="27"/>
      <c r="G327" s="28"/>
      <c r="H327" s="29"/>
    </row>
    <row r="328">
      <c r="D328" s="14"/>
      <c r="E328" s="26" t="str">
        <f>IFERROR(IF($A328="",,IF($I328="",Translation!$A$2,IF($L328="",Translation!$A$3,IF($N328&lt;&gt;$B328,Translation!$A$4,IF(IFERROR($F328,)="",Translation!$A$5,IF($H328&gt;TIME(0,5,0),Translation!$A$6,IF($M328,Translation!$A$7,$K328))))))),Translation!$A$7)</f>
        <v/>
      </c>
      <c r="F328" s="27"/>
      <c r="G328" s="28"/>
      <c r="H328" s="29"/>
    </row>
    <row r="329">
      <c r="D329" s="14"/>
      <c r="E329" s="26" t="str">
        <f>IFERROR(IF($A329="",,IF($I329="",Translation!$A$2,IF($L329="",Translation!$A$3,IF($N329&lt;&gt;$B329,Translation!$A$4,IF(IFERROR($F329,)="",Translation!$A$5,IF($H329&gt;TIME(0,5,0),Translation!$A$6,IF($M329,Translation!$A$7,$K329))))))),Translation!$A$7)</f>
        <v/>
      </c>
      <c r="F329" s="27"/>
      <c r="G329" s="28"/>
      <c r="H329" s="29"/>
    </row>
    <row r="330">
      <c r="D330" s="14"/>
      <c r="E330" s="26" t="str">
        <f>IFERROR(IF($A330="",,IF($I330="",Translation!$A$2,IF($L330="",Translation!$A$3,IF($N330&lt;&gt;$B330,Translation!$A$4,IF(IFERROR($F330,)="",Translation!$A$5,IF($H330&gt;TIME(0,5,0),Translation!$A$6,IF($M330,Translation!$A$7,$K330))))))),Translation!$A$7)</f>
        <v/>
      </c>
      <c r="F330" s="27"/>
      <c r="G330" s="28"/>
      <c r="H330" s="29"/>
    </row>
    <row r="331">
      <c r="D331" s="14"/>
      <c r="E331" s="26" t="str">
        <f>IFERROR(IF($A331="",,IF($I331="",Translation!$A$2,IF($L331="",Translation!$A$3,IF($N331&lt;&gt;$B331,Translation!$A$4,IF(IFERROR($F331,)="",Translation!$A$5,IF($H331&gt;TIME(0,5,0),Translation!$A$6,IF($M331,Translation!$A$7,$K331))))))),Translation!$A$7)</f>
        <v/>
      </c>
      <c r="F331" s="27"/>
      <c r="G331" s="28"/>
      <c r="H331" s="29"/>
    </row>
    <row r="332">
      <c r="D332" s="14"/>
      <c r="E332" s="26" t="str">
        <f>IFERROR(IF($A332="",,IF($I332="",Translation!$A$2,IF($L332="",Translation!$A$3,IF($N332&lt;&gt;$B332,Translation!$A$4,IF(IFERROR($F332,)="",Translation!$A$5,IF($H332&gt;TIME(0,5,0),Translation!$A$6,IF($M332,Translation!$A$7,$K332))))))),Translation!$A$7)</f>
        <v/>
      </c>
      <c r="F332" s="27"/>
      <c r="G332" s="28"/>
      <c r="H332" s="29"/>
    </row>
    <row r="333">
      <c r="D333" s="14"/>
      <c r="E333" s="26" t="str">
        <f>IFERROR(IF($A333="",,IF($I333="",Translation!$A$2,IF($L333="",Translation!$A$3,IF($N333&lt;&gt;$B333,Translation!$A$4,IF(IFERROR($F333,)="",Translation!$A$5,IF($H333&gt;TIME(0,5,0),Translation!$A$6,IF($M333,Translation!$A$7,$K333))))))),Translation!$A$7)</f>
        <v/>
      </c>
      <c r="F333" s="27"/>
      <c r="G333" s="28"/>
      <c r="H333" s="29"/>
    </row>
    <row r="334">
      <c r="D334" s="14"/>
      <c r="E334" s="26" t="str">
        <f>IFERROR(IF($A334="",,IF($I334="",Translation!$A$2,IF($L334="",Translation!$A$3,IF($N334&lt;&gt;$B334,Translation!$A$4,IF(IFERROR($F334,)="",Translation!$A$5,IF($H334&gt;TIME(0,5,0),Translation!$A$6,IF($M334,Translation!$A$7,$K334))))))),Translation!$A$7)</f>
        <v/>
      </c>
      <c r="F334" s="27"/>
      <c r="G334" s="28"/>
      <c r="H334" s="29"/>
    </row>
    <row r="335">
      <c r="D335" s="14"/>
      <c r="E335" s="26" t="str">
        <f>IFERROR(IF($A335="",,IF($I335="",Translation!$A$2,IF($L335="",Translation!$A$3,IF($N335&lt;&gt;$B335,Translation!$A$4,IF(IFERROR($F335,)="",Translation!$A$5,IF($H335&gt;TIME(0,5,0),Translation!$A$6,IF($M335,Translation!$A$7,$K335))))))),Translation!$A$7)</f>
        <v/>
      </c>
      <c r="F335" s="27"/>
      <c r="G335" s="28"/>
      <c r="H335" s="29"/>
    </row>
    <row r="336">
      <c r="D336" s="14"/>
      <c r="E336" s="26" t="str">
        <f>IFERROR(IF($A336="",,IF($I336="",Translation!$A$2,IF($L336="",Translation!$A$3,IF($N336&lt;&gt;$B336,Translation!$A$4,IF(IFERROR($F336,)="",Translation!$A$5,IF($H336&gt;TIME(0,5,0),Translation!$A$6,IF($M336,Translation!$A$7,$K336))))))),Translation!$A$7)</f>
        <v/>
      </c>
      <c r="F336" s="27"/>
      <c r="G336" s="28"/>
      <c r="H336" s="29"/>
    </row>
    <row r="337">
      <c r="D337" s="14"/>
      <c r="E337" s="26" t="str">
        <f>IFERROR(IF($A337="",,IF($I337="",Translation!$A$2,IF($L337="",Translation!$A$3,IF($N337&lt;&gt;$B337,Translation!$A$4,IF(IFERROR($F337,)="",Translation!$A$5,IF($H337&gt;TIME(0,5,0),Translation!$A$6,IF($M337,Translation!$A$7,$K337))))))),Translation!$A$7)</f>
        <v/>
      </c>
      <c r="F337" s="27"/>
      <c r="G337" s="28"/>
      <c r="H337" s="29"/>
    </row>
    <row r="338">
      <c r="D338" s="14"/>
      <c r="E338" s="26" t="str">
        <f>IFERROR(IF($A338="",,IF($I338="",Translation!$A$2,IF($L338="",Translation!$A$3,IF($N338&lt;&gt;$B338,Translation!$A$4,IF(IFERROR($F338,)="",Translation!$A$5,IF($H338&gt;TIME(0,5,0),Translation!$A$6,IF($M338,Translation!$A$7,$K338))))))),Translation!$A$7)</f>
        <v/>
      </c>
      <c r="F338" s="27"/>
      <c r="G338" s="28"/>
      <c r="H338" s="29"/>
    </row>
    <row r="339">
      <c r="D339" s="14"/>
      <c r="E339" s="26" t="str">
        <f>IFERROR(IF($A339="",,IF($I339="",Translation!$A$2,IF($L339="",Translation!$A$3,IF($N339&lt;&gt;$B339,Translation!$A$4,IF(IFERROR($F339,)="",Translation!$A$5,IF($H339&gt;TIME(0,5,0),Translation!$A$6,IF($M339,Translation!$A$7,$K339))))))),Translation!$A$7)</f>
        <v/>
      </c>
      <c r="F339" s="27"/>
      <c r="G339" s="28"/>
      <c r="H339" s="29"/>
    </row>
    <row r="340">
      <c r="D340" s="14"/>
      <c r="E340" s="26" t="str">
        <f>IFERROR(IF($A340="",,IF($I340="",Translation!$A$2,IF($L340="",Translation!$A$3,IF($N340&lt;&gt;$B340,Translation!$A$4,IF(IFERROR($F340,)="",Translation!$A$5,IF($H340&gt;TIME(0,5,0),Translation!$A$6,IF($M340,Translation!$A$7,$K340))))))),Translation!$A$7)</f>
        <v/>
      </c>
      <c r="F340" s="27"/>
      <c r="G340" s="28"/>
      <c r="H340" s="29"/>
    </row>
    <row r="341">
      <c r="D341" s="14"/>
      <c r="E341" s="26" t="str">
        <f>IFERROR(IF($A341="",,IF($I341="",Translation!$A$2,IF($L341="",Translation!$A$3,IF($N341&lt;&gt;$B341,Translation!$A$4,IF(IFERROR($F341,)="",Translation!$A$5,IF($H341&gt;TIME(0,5,0),Translation!$A$6,IF($M341,Translation!$A$7,$K341))))))),Translation!$A$7)</f>
        <v/>
      </c>
      <c r="F341" s="27"/>
      <c r="G341" s="28"/>
      <c r="H341" s="29"/>
    </row>
    <row r="342">
      <c r="D342" s="14"/>
      <c r="E342" s="26" t="str">
        <f>IFERROR(IF($A342="",,IF($I342="",Translation!$A$2,IF($L342="",Translation!$A$3,IF($N342&lt;&gt;$B342,Translation!$A$4,IF(IFERROR($F342,)="",Translation!$A$5,IF($H342&gt;TIME(0,5,0),Translation!$A$6,IF($M342,Translation!$A$7,$K342))))))),Translation!$A$7)</f>
        <v/>
      </c>
      <c r="F342" s="27"/>
      <c r="G342" s="28"/>
      <c r="H342" s="29"/>
    </row>
    <row r="343">
      <c r="D343" s="14"/>
      <c r="E343" s="26" t="str">
        <f>IFERROR(IF($A343="",,IF($I343="",Translation!$A$2,IF($L343="",Translation!$A$3,IF($N343&lt;&gt;$B343,Translation!$A$4,IF(IFERROR($F343,)="",Translation!$A$5,IF($H343&gt;TIME(0,5,0),Translation!$A$6,IF($M343,Translation!$A$7,$K343))))))),Translation!$A$7)</f>
        <v/>
      </c>
      <c r="F343" s="27"/>
      <c r="G343" s="28"/>
      <c r="H343" s="29"/>
    </row>
    <row r="344">
      <c r="D344" s="14"/>
      <c r="E344" s="26" t="str">
        <f>IFERROR(IF($A344="",,IF($I344="",Translation!$A$2,IF($L344="",Translation!$A$3,IF($N344&lt;&gt;$B344,Translation!$A$4,IF(IFERROR($F344,)="",Translation!$A$5,IF($H344&gt;TIME(0,5,0),Translation!$A$6,IF($M344,Translation!$A$7,$K344))))))),Translation!$A$7)</f>
        <v/>
      </c>
      <c r="F344" s="27"/>
      <c r="G344" s="28"/>
      <c r="H344" s="29"/>
    </row>
    <row r="345">
      <c r="D345" s="14"/>
      <c r="E345" s="26" t="str">
        <f>IFERROR(IF($A345="",,IF($I345="",Translation!$A$2,IF($L345="",Translation!$A$3,IF($N345&lt;&gt;$B345,Translation!$A$4,IF(IFERROR($F345,)="",Translation!$A$5,IF($H345&gt;TIME(0,5,0),Translation!$A$6,IF($M345,Translation!$A$7,$K345))))))),Translation!$A$7)</f>
        <v/>
      </c>
      <c r="F345" s="27"/>
      <c r="G345" s="28"/>
      <c r="H345" s="29"/>
    </row>
    <row r="346">
      <c r="D346" s="14"/>
      <c r="E346" s="26" t="str">
        <f>IFERROR(IF($A346="",,IF($I346="",Translation!$A$2,IF($L346="",Translation!$A$3,IF($N346&lt;&gt;$B346,Translation!$A$4,IF(IFERROR($F346,)="",Translation!$A$5,IF($H346&gt;TIME(0,5,0),Translation!$A$6,IF($M346,Translation!$A$7,$K346))))))),Translation!$A$7)</f>
        <v/>
      </c>
      <c r="F346" s="27"/>
      <c r="G346" s="28"/>
      <c r="H346" s="29"/>
    </row>
    <row r="347">
      <c r="D347" s="14"/>
      <c r="E347" s="26" t="str">
        <f>IFERROR(IF($A347="",,IF($I347="",Translation!$A$2,IF($L347="",Translation!$A$3,IF($N347&lt;&gt;$B347,Translation!$A$4,IF(IFERROR($F347,)="",Translation!$A$5,IF($H347&gt;TIME(0,5,0),Translation!$A$6,IF($M347,Translation!$A$7,$K347))))))),Translation!$A$7)</f>
        <v/>
      </c>
      <c r="F347" s="27"/>
      <c r="G347" s="28"/>
      <c r="H347" s="29"/>
    </row>
    <row r="348">
      <c r="D348" s="14"/>
      <c r="E348" s="26" t="str">
        <f>IFERROR(IF($A348="",,IF($I348="",Translation!$A$2,IF($L348="",Translation!$A$3,IF($N348&lt;&gt;$B348,Translation!$A$4,IF(IFERROR($F348,)="",Translation!$A$5,IF($H348&gt;TIME(0,5,0),Translation!$A$6,IF($M348,Translation!$A$7,$K348))))))),Translation!$A$7)</f>
        <v/>
      </c>
      <c r="F348" s="27"/>
      <c r="G348" s="28"/>
      <c r="H348" s="29"/>
    </row>
    <row r="349">
      <c r="D349" s="14"/>
      <c r="E349" s="26" t="str">
        <f>IFERROR(IF($A349="",,IF($I349="",Translation!$A$2,IF($L349="",Translation!$A$3,IF($N349&lt;&gt;$B349,Translation!$A$4,IF(IFERROR($F349,)="",Translation!$A$5,IF($H349&gt;TIME(0,5,0),Translation!$A$6,IF($M349,Translation!$A$7,$K349))))))),Translation!$A$7)</f>
        <v/>
      </c>
      <c r="F349" s="27"/>
      <c r="G349" s="28"/>
      <c r="H349" s="29"/>
    </row>
    <row r="350">
      <c r="D350" s="14"/>
      <c r="E350" s="26" t="str">
        <f>IFERROR(IF($A350="",,IF($I350="",Translation!$A$2,IF($L350="",Translation!$A$3,IF($N350&lt;&gt;$B350,Translation!$A$4,IF(IFERROR($F350,)="",Translation!$A$5,IF($H350&gt;TIME(0,5,0),Translation!$A$6,IF($M350,Translation!$A$7,$K350))))))),Translation!$A$7)</f>
        <v/>
      </c>
      <c r="F350" s="27"/>
      <c r="G350" s="28"/>
      <c r="H350" s="29"/>
    </row>
    <row r="351">
      <c r="D351" s="14"/>
      <c r="E351" s="26" t="str">
        <f>IFERROR(IF($A351="",,IF($I351="",Translation!$A$2,IF($L351="",Translation!$A$3,IF($N351&lt;&gt;$B351,Translation!$A$4,IF(IFERROR($F351,)="",Translation!$A$5,IF($H351&gt;TIME(0,5,0),Translation!$A$6,IF($M351,Translation!$A$7,$K351))))))),Translation!$A$7)</f>
        <v/>
      </c>
      <c r="F351" s="27"/>
      <c r="G351" s="28"/>
      <c r="H351" s="29"/>
    </row>
    <row r="352">
      <c r="D352" s="14"/>
      <c r="E352" s="26" t="str">
        <f>IFERROR(IF($A352="",,IF($I352="",Translation!$A$2,IF($L352="",Translation!$A$3,IF($N352&lt;&gt;$B352,Translation!$A$4,IF(IFERROR($F352,)="",Translation!$A$5,IF($H352&gt;TIME(0,5,0),Translation!$A$6,IF($M352,Translation!$A$7,$K352))))))),Translation!$A$7)</f>
        <v/>
      </c>
      <c r="F352" s="27"/>
      <c r="G352" s="28"/>
      <c r="H352" s="29"/>
    </row>
    <row r="353">
      <c r="D353" s="14"/>
      <c r="E353" s="26" t="str">
        <f>IFERROR(IF($A353="",,IF($I353="",Translation!$A$2,IF($L353="",Translation!$A$3,IF($N353&lt;&gt;$B353,Translation!$A$4,IF(IFERROR($F353,)="",Translation!$A$5,IF($H353&gt;TIME(0,5,0),Translation!$A$6,IF($M353,Translation!$A$7,$K353))))))),Translation!$A$7)</f>
        <v/>
      </c>
      <c r="F353" s="27"/>
      <c r="G353" s="28"/>
      <c r="H353" s="29"/>
    </row>
    <row r="354">
      <c r="D354" s="14"/>
      <c r="E354" s="26" t="str">
        <f>IFERROR(IF($A354="",,IF($I354="",Translation!$A$2,IF($L354="",Translation!$A$3,IF($N354&lt;&gt;$B354,Translation!$A$4,IF(IFERROR($F354,)="",Translation!$A$5,IF($H354&gt;TIME(0,5,0),Translation!$A$6,IF($M354,Translation!$A$7,$K354))))))),Translation!$A$7)</f>
        <v/>
      </c>
      <c r="F354" s="27"/>
      <c r="G354" s="28"/>
      <c r="H354" s="29"/>
    </row>
    <row r="355">
      <c r="D355" s="14"/>
      <c r="E355" s="26" t="str">
        <f>IFERROR(IF($A355="",,IF($I355="",Translation!$A$2,IF($L355="",Translation!$A$3,IF($N355&lt;&gt;$B355,Translation!$A$4,IF(IFERROR($F355,)="",Translation!$A$5,IF($H355&gt;TIME(0,5,0),Translation!$A$6,IF($M355,Translation!$A$7,$K355))))))),Translation!$A$7)</f>
        <v/>
      </c>
      <c r="F355" s="27"/>
      <c r="G355" s="28"/>
      <c r="H355" s="29"/>
    </row>
    <row r="356">
      <c r="D356" s="14"/>
      <c r="E356" s="26" t="str">
        <f>IFERROR(IF($A356="",,IF($I356="",Translation!$A$2,IF($L356="",Translation!$A$3,IF($N356&lt;&gt;$B356,Translation!$A$4,IF(IFERROR($F356,)="",Translation!$A$5,IF($H356&gt;TIME(0,5,0),Translation!$A$6,IF($M356,Translation!$A$7,$K356))))))),Translation!$A$7)</f>
        <v/>
      </c>
      <c r="F356" s="27"/>
      <c r="G356" s="28"/>
      <c r="H356" s="29"/>
    </row>
    <row r="357">
      <c r="D357" s="14"/>
      <c r="E357" s="26" t="str">
        <f>IFERROR(IF($A357="",,IF($I357="",Translation!$A$2,IF($L357="",Translation!$A$3,IF($N357&lt;&gt;$B357,Translation!$A$4,IF(IFERROR($F357,)="",Translation!$A$5,IF($H357&gt;TIME(0,5,0),Translation!$A$6,IF($M357,Translation!$A$7,$K357))))))),Translation!$A$7)</f>
        <v/>
      </c>
      <c r="F357" s="27"/>
      <c r="G357" s="28"/>
      <c r="H357" s="29"/>
    </row>
    <row r="358">
      <c r="D358" s="14"/>
      <c r="E358" s="26" t="str">
        <f>IFERROR(IF($A358="",,IF($I358="",Translation!$A$2,IF($L358="",Translation!$A$3,IF($N358&lt;&gt;$B358,Translation!$A$4,IF(IFERROR($F358,)="",Translation!$A$5,IF($H358&gt;TIME(0,5,0),Translation!$A$6,IF($M358,Translation!$A$7,$K358))))))),Translation!$A$7)</f>
        <v/>
      </c>
      <c r="F358" s="27"/>
      <c r="G358" s="28"/>
      <c r="H358" s="29"/>
    </row>
    <row r="359">
      <c r="D359" s="14"/>
      <c r="E359" s="26" t="str">
        <f>IFERROR(IF($A359="",,IF($I359="",Translation!$A$2,IF($L359="",Translation!$A$3,IF($N359&lt;&gt;$B359,Translation!$A$4,IF(IFERROR($F359,)="",Translation!$A$5,IF($H359&gt;TIME(0,5,0),Translation!$A$6,IF($M359,Translation!$A$7,$K359))))))),Translation!$A$7)</f>
        <v/>
      </c>
      <c r="F359" s="27"/>
      <c r="G359" s="28"/>
      <c r="H359" s="29"/>
    </row>
    <row r="360">
      <c r="D360" s="14"/>
      <c r="E360" s="26" t="str">
        <f>IFERROR(IF($A360="",,IF($I360="",Translation!$A$2,IF($L360="",Translation!$A$3,IF($N360&lt;&gt;$B360,Translation!$A$4,IF(IFERROR($F360,)="",Translation!$A$5,IF($H360&gt;TIME(0,5,0),Translation!$A$6,IF($M360,Translation!$A$7,$K360))))))),Translation!$A$7)</f>
        <v/>
      </c>
      <c r="F360" s="27"/>
      <c r="G360" s="28"/>
      <c r="H360" s="29"/>
    </row>
    <row r="361">
      <c r="D361" s="14"/>
      <c r="E361" s="26" t="str">
        <f>IFERROR(IF($A361="",,IF($I361="",Translation!$A$2,IF($L361="",Translation!$A$3,IF($N361&lt;&gt;$B361,Translation!$A$4,IF(IFERROR($F361,)="",Translation!$A$5,IF($H361&gt;TIME(0,5,0),Translation!$A$6,IF($M361,Translation!$A$7,$K361))))))),Translation!$A$7)</f>
        <v/>
      </c>
      <c r="F361" s="27"/>
      <c r="G361" s="28"/>
      <c r="H361" s="29"/>
    </row>
    <row r="362">
      <c r="D362" s="14"/>
      <c r="E362" s="26" t="str">
        <f>IFERROR(IF($A362="",,IF($I362="",Translation!$A$2,IF($L362="",Translation!$A$3,IF($N362&lt;&gt;$B362,Translation!$A$4,IF(IFERROR($F362,)="",Translation!$A$5,IF($H362&gt;TIME(0,5,0),Translation!$A$6,IF($M362,Translation!$A$7,$K362))))))),Translation!$A$7)</f>
        <v/>
      </c>
      <c r="F362" s="27"/>
      <c r="G362" s="28"/>
      <c r="H362" s="29"/>
    </row>
    <row r="363">
      <c r="D363" s="14"/>
      <c r="E363" s="26" t="str">
        <f>IFERROR(IF($A363="",,IF($I363="",Translation!$A$2,IF($L363="",Translation!$A$3,IF($N363&lt;&gt;$B363,Translation!$A$4,IF(IFERROR($F363,)="",Translation!$A$5,IF($H363&gt;TIME(0,5,0),Translation!$A$6,IF($M363,Translation!$A$7,$K363))))))),Translation!$A$7)</f>
        <v/>
      </c>
      <c r="F363" s="27"/>
      <c r="G363" s="28"/>
      <c r="H363" s="29"/>
    </row>
    <row r="364">
      <c r="D364" s="14"/>
      <c r="E364" s="26" t="str">
        <f>IFERROR(IF($A364="",,IF($I364="",Translation!$A$2,IF($L364="",Translation!$A$3,IF($N364&lt;&gt;$B364,Translation!$A$4,IF(IFERROR($F364,)="",Translation!$A$5,IF($H364&gt;TIME(0,5,0),Translation!$A$6,IF($M364,Translation!$A$7,$K364))))))),Translation!$A$7)</f>
        <v/>
      </c>
      <c r="F364" s="27"/>
      <c r="G364" s="28"/>
      <c r="H364" s="29"/>
    </row>
    <row r="365">
      <c r="D365" s="14"/>
      <c r="E365" s="26" t="str">
        <f>IFERROR(IF($A365="",,IF($I365="",Translation!$A$2,IF($L365="",Translation!$A$3,IF($N365&lt;&gt;$B365,Translation!$A$4,IF(IFERROR($F365,)="",Translation!$A$5,IF($H365&gt;TIME(0,5,0),Translation!$A$6,IF($M365,Translation!$A$7,$K365))))))),Translation!$A$7)</f>
        <v/>
      </c>
      <c r="F365" s="27"/>
      <c r="G365" s="28"/>
      <c r="H365" s="29"/>
    </row>
    <row r="366">
      <c r="D366" s="14"/>
      <c r="E366" s="26" t="str">
        <f>IFERROR(IF($A366="",,IF($I366="",Translation!$A$2,IF($L366="",Translation!$A$3,IF($N366&lt;&gt;$B366,Translation!$A$4,IF(IFERROR($F366,)="",Translation!$A$5,IF($H366&gt;TIME(0,5,0),Translation!$A$6,IF($M366,Translation!$A$7,$K366))))))),Translation!$A$7)</f>
        <v/>
      </c>
      <c r="F366" s="27"/>
      <c r="G366" s="28"/>
      <c r="H366" s="29"/>
    </row>
    <row r="367">
      <c r="D367" s="14"/>
      <c r="E367" s="26" t="str">
        <f>IFERROR(IF($A367="",,IF($I367="",Translation!$A$2,IF($L367="",Translation!$A$3,IF($N367&lt;&gt;$B367,Translation!$A$4,IF(IFERROR($F367,)="",Translation!$A$5,IF($H367&gt;TIME(0,5,0),Translation!$A$6,IF($M367,Translation!$A$7,$K367))))))),Translation!$A$7)</f>
        <v/>
      </c>
      <c r="F367" s="27"/>
      <c r="G367" s="28"/>
      <c r="H367" s="29"/>
    </row>
    <row r="368">
      <c r="D368" s="14"/>
      <c r="E368" s="26" t="str">
        <f>IFERROR(IF($A368="",,IF($I368="",Translation!$A$2,IF($L368="",Translation!$A$3,IF($N368&lt;&gt;$B368,Translation!$A$4,IF(IFERROR($F368,)="",Translation!$A$5,IF($H368&gt;TIME(0,5,0),Translation!$A$6,IF($M368,Translation!$A$7,$K368))))))),Translation!$A$7)</f>
        <v/>
      </c>
      <c r="F368" s="27"/>
      <c r="G368" s="28"/>
      <c r="H368" s="29"/>
    </row>
    <row r="369">
      <c r="D369" s="14"/>
      <c r="E369" s="26" t="str">
        <f>IFERROR(IF($A369="",,IF($I369="",Translation!$A$2,IF($L369="",Translation!$A$3,IF($N369&lt;&gt;$B369,Translation!$A$4,IF(IFERROR($F369,)="",Translation!$A$5,IF($H369&gt;TIME(0,5,0),Translation!$A$6,IF($M369,Translation!$A$7,$K369))))))),Translation!$A$7)</f>
        <v/>
      </c>
      <c r="F369" s="27"/>
      <c r="G369" s="28"/>
      <c r="H369" s="29"/>
    </row>
    <row r="370">
      <c r="D370" s="14"/>
      <c r="E370" s="26" t="str">
        <f>IFERROR(IF($A370="",,IF($I370="",Translation!$A$2,IF($L370="",Translation!$A$3,IF($N370&lt;&gt;$B370,Translation!$A$4,IF(IFERROR($F370,)="",Translation!$A$5,IF($H370&gt;TIME(0,5,0),Translation!$A$6,IF($M370,Translation!$A$7,$K370))))))),Translation!$A$7)</f>
        <v/>
      </c>
      <c r="F370" s="27"/>
      <c r="G370" s="28"/>
      <c r="H370" s="29"/>
    </row>
    <row r="371">
      <c r="D371" s="14"/>
      <c r="E371" s="26" t="str">
        <f>IFERROR(IF($A371="",,IF($I371="",Translation!$A$2,IF($L371="",Translation!$A$3,IF($N371&lt;&gt;$B371,Translation!$A$4,IF(IFERROR($F371,)="",Translation!$A$5,IF($H371&gt;TIME(0,5,0),Translation!$A$6,IF($M371,Translation!$A$7,$K371))))))),Translation!$A$7)</f>
        <v/>
      </c>
      <c r="F371" s="27"/>
      <c r="G371" s="28"/>
      <c r="H371" s="29"/>
    </row>
    <row r="372">
      <c r="D372" s="14"/>
      <c r="E372" s="26" t="str">
        <f>IFERROR(IF($A372="",,IF($I372="",Translation!$A$2,IF($L372="",Translation!$A$3,IF($N372&lt;&gt;$B372,Translation!$A$4,IF(IFERROR($F372,)="",Translation!$A$5,IF($H372&gt;TIME(0,5,0),Translation!$A$6,IF($M372,Translation!$A$7,$K372))))))),Translation!$A$7)</f>
        <v/>
      </c>
      <c r="F372" s="27"/>
      <c r="G372" s="28"/>
      <c r="H372" s="29"/>
    </row>
    <row r="373">
      <c r="D373" s="14"/>
      <c r="E373" s="26" t="str">
        <f>IFERROR(IF($A373="",,IF($I373="",Translation!$A$2,IF($L373="",Translation!$A$3,IF($N373&lt;&gt;$B373,Translation!$A$4,IF(IFERROR($F373,)="",Translation!$A$5,IF($H373&gt;TIME(0,5,0),Translation!$A$6,IF($M373,Translation!$A$7,$K373))))))),Translation!$A$7)</f>
        <v/>
      </c>
      <c r="F373" s="27"/>
      <c r="G373" s="28"/>
      <c r="H373" s="29"/>
    </row>
    <row r="374">
      <c r="D374" s="14"/>
      <c r="E374" s="26" t="str">
        <f>IFERROR(IF($A374="",,IF($I374="",Translation!$A$2,IF($L374="",Translation!$A$3,IF($N374&lt;&gt;$B374,Translation!$A$4,IF(IFERROR($F374,)="",Translation!$A$5,IF($H374&gt;TIME(0,5,0),Translation!$A$6,IF($M374,Translation!$A$7,$K374))))))),Translation!$A$7)</f>
        <v/>
      </c>
      <c r="F374" s="27"/>
      <c r="G374" s="28"/>
      <c r="H374" s="29"/>
    </row>
    <row r="375">
      <c r="D375" s="14"/>
      <c r="E375" s="26" t="str">
        <f>IFERROR(IF($A375="",,IF($I375="",Translation!$A$2,IF($L375="",Translation!$A$3,IF($N375&lt;&gt;$B375,Translation!$A$4,IF(IFERROR($F375,)="",Translation!$A$5,IF($H375&gt;TIME(0,5,0),Translation!$A$6,IF($M375,Translation!$A$7,$K375))))))),Translation!$A$7)</f>
        <v/>
      </c>
      <c r="F375" s="27"/>
      <c r="G375" s="28"/>
      <c r="H375" s="29"/>
    </row>
    <row r="376">
      <c r="D376" s="14"/>
      <c r="E376" s="26" t="str">
        <f>IFERROR(IF($A376="",,IF($I376="",Translation!$A$2,IF($L376="",Translation!$A$3,IF($N376&lt;&gt;$B376,Translation!$A$4,IF(IFERROR($F376,)="",Translation!$A$5,IF($H376&gt;TIME(0,5,0),Translation!$A$6,IF($M376,Translation!$A$7,$K376))))))),Translation!$A$7)</f>
        <v/>
      </c>
      <c r="F376" s="27"/>
      <c r="G376" s="28"/>
      <c r="H376" s="29"/>
    </row>
    <row r="377">
      <c r="D377" s="14"/>
      <c r="E377" s="26" t="str">
        <f>IFERROR(IF($A377="",,IF($I377="",Translation!$A$2,IF($L377="",Translation!$A$3,IF($N377&lt;&gt;$B377,Translation!$A$4,IF(IFERROR($F377,)="",Translation!$A$5,IF($H377&gt;TIME(0,5,0),Translation!$A$6,IF($M377,Translation!$A$7,$K377))))))),Translation!$A$7)</f>
        <v/>
      </c>
      <c r="F377" s="27"/>
      <c r="G377" s="28"/>
      <c r="H377" s="29"/>
    </row>
    <row r="378">
      <c r="D378" s="14"/>
      <c r="E378" s="26" t="str">
        <f>IFERROR(IF($A378="",,IF($I378="",Translation!$A$2,IF($L378="",Translation!$A$3,IF($N378&lt;&gt;$B378,Translation!$A$4,IF(IFERROR($F378,)="",Translation!$A$5,IF($H378&gt;TIME(0,5,0),Translation!$A$6,IF($M378,Translation!$A$7,$K378))))))),Translation!$A$7)</f>
        <v/>
      </c>
      <c r="F378" s="27"/>
      <c r="G378" s="28"/>
      <c r="H378" s="29"/>
    </row>
    <row r="379">
      <c r="D379" s="14"/>
      <c r="E379" s="26" t="str">
        <f>IFERROR(IF($A379="",,IF($I379="",Translation!$A$2,IF($L379="",Translation!$A$3,IF($N379&lt;&gt;$B379,Translation!$A$4,IF(IFERROR($F379,)="",Translation!$A$5,IF($H379&gt;TIME(0,5,0),Translation!$A$6,IF($M379,Translation!$A$7,$K379))))))),Translation!$A$7)</f>
        <v/>
      </c>
      <c r="F379" s="27"/>
      <c r="G379" s="28"/>
      <c r="H379" s="29"/>
    </row>
    <row r="380">
      <c r="D380" s="14"/>
      <c r="E380" s="26" t="str">
        <f>IFERROR(IF($A380="",,IF($I380="",Translation!$A$2,IF($L380="",Translation!$A$3,IF($N380&lt;&gt;$B380,Translation!$A$4,IF(IFERROR($F380,)="",Translation!$A$5,IF($H380&gt;TIME(0,5,0),Translation!$A$6,IF($M380,Translation!$A$7,$K380))))))),Translation!$A$7)</f>
        <v/>
      </c>
      <c r="F380" s="27"/>
      <c r="G380" s="28"/>
      <c r="H380" s="29"/>
    </row>
    <row r="381">
      <c r="D381" s="14"/>
      <c r="E381" s="26" t="str">
        <f>IFERROR(IF($A381="",,IF($I381="",Translation!$A$2,IF($L381="",Translation!$A$3,IF($N381&lt;&gt;$B381,Translation!$A$4,IF(IFERROR($F381,)="",Translation!$A$5,IF($H381&gt;TIME(0,5,0),Translation!$A$6,IF($M381,Translation!$A$7,$K381))))))),Translation!$A$7)</f>
        <v/>
      </c>
      <c r="F381" s="27"/>
      <c r="G381" s="28"/>
      <c r="H381" s="29"/>
    </row>
    <row r="382">
      <c r="D382" s="14"/>
      <c r="E382" s="26" t="str">
        <f>IFERROR(IF($A382="",,IF($I382="",Translation!$A$2,IF($L382="",Translation!$A$3,IF($N382&lt;&gt;$B382,Translation!$A$4,IF(IFERROR($F382,)="",Translation!$A$5,IF($H382&gt;TIME(0,5,0),Translation!$A$6,IF($M382,Translation!$A$7,$K382))))))),Translation!$A$7)</f>
        <v/>
      </c>
      <c r="F382" s="27"/>
      <c r="G382" s="28"/>
      <c r="H382" s="29"/>
    </row>
    <row r="383">
      <c r="D383" s="14"/>
      <c r="E383" s="26" t="str">
        <f>IFERROR(IF($A383="",,IF($I383="",Translation!$A$2,IF($L383="",Translation!$A$3,IF($N383&lt;&gt;$B383,Translation!$A$4,IF(IFERROR($F383,)="",Translation!$A$5,IF($H383&gt;TIME(0,5,0),Translation!$A$6,IF($M383,Translation!$A$7,$K383))))))),Translation!$A$7)</f>
        <v/>
      </c>
      <c r="F383" s="27"/>
      <c r="G383" s="28"/>
      <c r="H383" s="29"/>
    </row>
    <row r="384">
      <c r="D384" s="14"/>
      <c r="E384" s="26" t="str">
        <f>IFERROR(IF($A384="",,IF($I384="",Translation!$A$2,IF($L384="",Translation!$A$3,IF($N384&lt;&gt;$B384,Translation!$A$4,IF(IFERROR($F384,)="",Translation!$A$5,IF($H384&gt;TIME(0,5,0),Translation!$A$6,IF($M384,Translation!$A$7,$K384))))))),Translation!$A$7)</f>
        <v/>
      </c>
      <c r="F384" s="27"/>
      <c r="G384" s="28"/>
      <c r="H384" s="29"/>
    </row>
    <row r="385">
      <c r="D385" s="14"/>
      <c r="E385" s="26" t="str">
        <f>IFERROR(IF($A385="",,IF($I385="",Translation!$A$2,IF($L385="",Translation!$A$3,IF($N385&lt;&gt;$B385,Translation!$A$4,IF(IFERROR($F385,)="",Translation!$A$5,IF($H385&gt;TIME(0,5,0),Translation!$A$6,IF($M385,Translation!$A$7,$K385))))))),Translation!$A$7)</f>
        <v/>
      </c>
      <c r="F385" s="27"/>
      <c r="G385" s="28"/>
      <c r="H385" s="29"/>
    </row>
    <row r="386">
      <c r="D386" s="14"/>
      <c r="E386" s="26" t="str">
        <f>IFERROR(IF($A386="",,IF($I386="",Translation!$A$2,IF($L386="",Translation!$A$3,IF($N386&lt;&gt;$B386,Translation!$A$4,IF(IFERROR($F386,)="",Translation!$A$5,IF($H386&gt;TIME(0,5,0),Translation!$A$6,IF($M386,Translation!$A$7,$K386))))))),Translation!$A$7)</f>
        <v/>
      </c>
      <c r="F386" s="27"/>
      <c r="G386" s="28"/>
      <c r="H386" s="29"/>
    </row>
    <row r="387">
      <c r="D387" s="14"/>
      <c r="E387" s="26" t="str">
        <f>IFERROR(IF($A387="",,IF($I387="",Translation!$A$2,IF($L387="",Translation!$A$3,IF($N387&lt;&gt;$B387,Translation!$A$4,IF(IFERROR($F387,)="",Translation!$A$5,IF($H387&gt;TIME(0,5,0),Translation!$A$6,IF($M387,Translation!$A$7,$K387))))))),Translation!$A$7)</f>
        <v/>
      </c>
      <c r="F387" s="27"/>
      <c r="G387" s="28"/>
      <c r="H387" s="29"/>
    </row>
    <row r="388">
      <c r="D388" s="14"/>
      <c r="E388" s="26" t="str">
        <f>IFERROR(IF($A388="",,IF($I388="",Translation!$A$2,IF($L388="",Translation!$A$3,IF($N388&lt;&gt;$B388,Translation!$A$4,IF(IFERROR($F388,)="",Translation!$A$5,IF($H388&gt;TIME(0,5,0),Translation!$A$6,IF($M388,Translation!$A$7,$K388))))))),Translation!$A$7)</f>
        <v/>
      </c>
      <c r="F388" s="27"/>
      <c r="G388" s="28"/>
      <c r="H388" s="29"/>
    </row>
    <row r="389">
      <c r="D389" s="14"/>
      <c r="E389" s="26" t="str">
        <f>IFERROR(IF($A389="",,IF($I389="",Translation!$A$2,IF($L389="",Translation!$A$3,IF($N389&lt;&gt;$B389,Translation!$A$4,IF(IFERROR($F389,)="",Translation!$A$5,IF($H389&gt;TIME(0,5,0),Translation!$A$6,IF($M389,Translation!$A$7,$K389))))))),Translation!$A$7)</f>
        <v/>
      </c>
      <c r="F389" s="27"/>
      <c r="G389" s="28"/>
      <c r="H389" s="29"/>
    </row>
    <row r="390">
      <c r="D390" s="14"/>
      <c r="E390" s="26" t="str">
        <f>IFERROR(IF($A390="",,IF($I390="",Translation!$A$2,IF($L390="",Translation!$A$3,IF($N390&lt;&gt;$B390,Translation!$A$4,IF(IFERROR($F390,)="",Translation!$A$5,IF($H390&gt;TIME(0,5,0),Translation!$A$6,IF($M390,Translation!$A$7,$K390))))))),Translation!$A$7)</f>
        <v/>
      </c>
      <c r="F390" s="27"/>
      <c r="G390" s="28"/>
      <c r="H390" s="29"/>
    </row>
    <row r="391">
      <c r="D391" s="14"/>
      <c r="E391" s="26" t="str">
        <f>IFERROR(IF($A391="",,IF($I391="",Translation!$A$2,IF($L391="",Translation!$A$3,IF($N391&lt;&gt;$B391,Translation!$A$4,IF(IFERROR($F391,)="",Translation!$A$5,IF($H391&gt;TIME(0,5,0),Translation!$A$6,IF($M391,Translation!$A$7,$K391))))))),Translation!$A$7)</f>
        <v/>
      </c>
      <c r="F391" s="27"/>
      <c r="G391" s="28"/>
      <c r="H391" s="29"/>
    </row>
    <row r="392">
      <c r="D392" s="14"/>
      <c r="E392" s="26" t="str">
        <f>IFERROR(IF($A392="",,IF($I392="",Translation!$A$2,IF($L392="",Translation!$A$3,IF($N392&lt;&gt;$B392,Translation!$A$4,IF(IFERROR($F392,)="",Translation!$A$5,IF($H392&gt;TIME(0,5,0),Translation!$A$6,IF($M392,Translation!$A$7,$K392))))))),Translation!$A$7)</f>
        <v/>
      </c>
      <c r="F392" s="27"/>
      <c r="G392" s="28"/>
      <c r="H392" s="29"/>
    </row>
    <row r="393">
      <c r="D393" s="14"/>
      <c r="E393" s="26" t="str">
        <f>IFERROR(IF($A393="",,IF($I393="",Translation!$A$2,IF($L393="",Translation!$A$3,IF($N393&lt;&gt;$B393,Translation!$A$4,IF(IFERROR($F393,)="",Translation!$A$5,IF($H393&gt;TIME(0,5,0),Translation!$A$6,IF($M393,Translation!$A$7,$K393))))))),Translation!$A$7)</f>
        <v/>
      </c>
      <c r="F393" s="27"/>
      <c r="G393" s="28"/>
      <c r="H393" s="29"/>
    </row>
    <row r="394">
      <c r="D394" s="14"/>
      <c r="E394" s="26" t="str">
        <f>IFERROR(IF($A394="",,IF($I394="",Translation!$A$2,IF($L394="",Translation!$A$3,IF($N394&lt;&gt;$B394,Translation!$A$4,IF(IFERROR($F394,)="",Translation!$A$5,IF($H394&gt;TIME(0,5,0),Translation!$A$6,IF($M394,Translation!$A$7,$K394))))))),Translation!$A$7)</f>
        <v/>
      </c>
      <c r="F394" s="27"/>
      <c r="G394" s="28"/>
      <c r="H394" s="29"/>
    </row>
    <row r="395">
      <c r="D395" s="14"/>
      <c r="E395" s="26" t="str">
        <f>IFERROR(IF($A395="",,IF($I395="",Translation!$A$2,IF($L395="",Translation!$A$3,IF($N395&lt;&gt;$B395,Translation!$A$4,IF(IFERROR($F395,)="",Translation!$A$5,IF($H395&gt;TIME(0,5,0),Translation!$A$6,IF($M395,Translation!$A$7,$K395))))))),Translation!$A$7)</f>
        <v/>
      </c>
      <c r="F395" s="27"/>
      <c r="G395" s="28"/>
      <c r="H395" s="29"/>
    </row>
    <row r="396">
      <c r="D396" s="14"/>
      <c r="E396" s="26" t="str">
        <f>IFERROR(IF($A396="",,IF($I396="",Translation!$A$2,IF($L396="",Translation!$A$3,IF($N396&lt;&gt;$B396,Translation!$A$4,IF(IFERROR($F396,)="",Translation!$A$5,IF($H396&gt;TIME(0,5,0),Translation!$A$6,IF($M396,Translation!$A$7,$K396))))))),Translation!$A$7)</f>
        <v/>
      </c>
      <c r="F396" s="27"/>
      <c r="G396" s="28"/>
      <c r="H396" s="29"/>
    </row>
    <row r="397">
      <c r="D397" s="14"/>
      <c r="E397" s="26" t="str">
        <f>IFERROR(IF($A397="",,IF($I397="",Translation!$A$2,IF($L397="",Translation!$A$3,IF($N397&lt;&gt;$B397,Translation!$A$4,IF(IFERROR($F397,)="",Translation!$A$5,IF($H397&gt;TIME(0,5,0),Translation!$A$6,IF($M397,Translation!$A$7,$K397))))))),Translation!$A$7)</f>
        <v/>
      </c>
      <c r="F397" s="27"/>
      <c r="G397" s="28"/>
      <c r="H397" s="29"/>
    </row>
    <row r="398">
      <c r="D398" s="14"/>
      <c r="E398" s="26" t="str">
        <f>IFERROR(IF($A398="",,IF($I398="",Translation!$A$2,IF($L398="",Translation!$A$3,IF($N398&lt;&gt;$B398,Translation!$A$4,IF(IFERROR($F398,)="",Translation!$A$5,IF($H398&gt;TIME(0,5,0),Translation!$A$6,IF($M398,Translation!$A$7,$K398))))))),Translation!$A$7)</f>
        <v/>
      </c>
      <c r="F398" s="27"/>
      <c r="G398" s="28"/>
      <c r="H398" s="29"/>
    </row>
    <row r="399">
      <c r="D399" s="14"/>
      <c r="E399" s="26" t="str">
        <f>IFERROR(IF($A399="",,IF($I399="",Translation!$A$2,IF($L399="",Translation!$A$3,IF($N399&lt;&gt;$B399,Translation!$A$4,IF(IFERROR($F399,)="",Translation!$A$5,IF($H399&gt;TIME(0,5,0),Translation!$A$6,IF($M399,Translation!$A$7,$K399))))))),Translation!$A$7)</f>
        <v/>
      </c>
      <c r="F399" s="27"/>
      <c r="G399" s="28"/>
      <c r="H399" s="29"/>
    </row>
    <row r="400">
      <c r="D400" s="14"/>
      <c r="E400" s="26" t="str">
        <f>IFERROR(IF($A400="",,IF($I400="",Translation!$A$2,IF($L400="",Translation!$A$3,IF($N400&lt;&gt;$B400,Translation!$A$4,IF(IFERROR($F400,)="",Translation!$A$5,IF($H400&gt;TIME(0,5,0),Translation!$A$6,IF($M400,Translation!$A$7,$K400))))))),Translation!$A$7)</f>
        <v/>
      </c>
      <c r="F400" s="27"/>
      <c r="G400" s="28"/>
      <c r="H400" s="29"/>
    </row>
    <row r="401">
      <c r="D401" s="14"/>
      <c r="E401" s="26" t="str">
        <f>IFERROR(IF($A401="",,IF($I401="",Translation!$A$2,IF($L401="",Translation!$A$3,IF($N401&lt;&gt;$B401,Translation!$A$4,IF(IFERROR($F401,)="",Translation!$A$5,IF($H401&gt;TIME(0,5,0),Translation!$A$6,IF($M401,Translation!$A$7,$K401))))))),Translation!$A$7)</f>
        <v/>
      </c>
      <c r="F401" s="27"/>
      <c r="G401" s="28"/>
      <c r="H401" s="29"/>
    </row>
    <row r="402">
      <c r="D402" s="14"/>
      <c r="E402" s="26" t="str">
        <f>IFERROR(IF($A402="",,IF($I402="",Translation!$A$2,IF($L402="",Translation!$A$3,IF($N402&lt;&gt;$B402,Translation!$A$4,IF(IFERROR($F402,)="",Translation!$A$5,IF($H402&gt;TIME(0,5,0),Translation!$A$6,IF($M402,Translation!$A$7,$K402))))))),Translation!$A$7)</f>
        <v/>
      </c>
      <c r="F402" s="27"/>
      <c r="G402" s="28"/>
      <c r="H402" s="29"/>
    </row>
    <row r="403">
      <c r="D403" s="14"/>
      <c r="E403" s="26" t="str">
        <f>IFERROR(IF($A403="",,IF($I403="",Translation!$A$2,IF($L403="",Translation!$A$3,IF($N403&lt;&gt;$B403,Translation!$A$4,IF(IFERROR($F403,)="",Translation!$A$5,IF($H403&gt;TIME(0,5,0),Translation!$A$6,IF($M403,Translation!$A$7,$K403))))))),Translation!$A$7)</f>
        <v/>
      </c>
      <c r="F403" s="27"/>
      <c r="G403" s="28"/>
      <c r="H403" s="29"/>
    </row>
    <row r="404">
      <c r="D404" s="14"/>
      <c r="E404" s="26" t="str">
        <f>IFERROR(IF($A404="",,IF($I404="",Translation!$A$2,IF($L404="",Translation!$A$3,IF($N404&lt;&gt;$B404,Translation!$A$4,IF(IFERROR($F404,)="",Translation!$A$5,IF($H404&gt;TIME(0,5,0),Translation!$A$6,IF($M404,Translation!$A$7,$K404))))))),Translation!$A$7)</f>
        <v/>
      </c>
      <c r="F404" s="27"/>
      <c r="G404" s="28"/>
      <c r="H404" s="29"/>
    </row>
    <row r="405">
      <c r="D405" s="14"/>
      <c r="E405" s="26" t="str">
        <f>IFERROR(IF($A405="",,IF($I405="",Translation!$A$2,IF($L405="",Translation!$A$3,IF($N405&lt;&gt;$B405,Translation!$A$4,IF(IFERROR($F405,)="",Translation!$A$5,IF($H405&gt;TIME(0,5,0),Translation!$A$6,IF($M405,Translation!$A$7,$K405))))))),Translation!$A$7)</f>
        <v/>
      </c>
      <c r="F405" s="27"/>
      <c r="G405" s="28"/>
      <c r="H405" s="29"/>
    </row>
    <row r="406">
      <c r="D406" s="14"/>
      <c r="E406" s="26" t="str">
        <f>IFERROR(IF($A406="",,IF($I406="",Translation!$A$2,IF($L406="",Translation!$A$3,IF($N406&lt;&gt;$B406,Translation!$A$4,IF(IFERROR($F406,)="",Translation!$A$5,IF($H406&gt;TIME(0,5,0),Translation!$A$6,IF($M406,Translation!$A$7,$K406))))))),Translation!$A$7)</f>
        <v/>
      </c>
      <c r="F406" s="27"/>
      <c r="G406" s="28"/>
      <c r="H406" s="29"/>
    </row>
    <row r="407">
      <c r="D407" s="14"/>
      <c r="E407" s="26" t="str">
        <f>IFERROR(IF($A407="",,IF($I407="",Translation!$A$2,IF($L407="",Translation!$A$3,IF($N407&lt;&gt;$B407,Translation!$A$4,IF(IFERROR($F407,)="",Translation!$A$5,IF($H407&gt;TIME(0,5,0),Translation!$A$6,IF($M407,Translation!$A$7,$K407))))))),Translation!$A$7)</f>
        <v/>
      </c>
      <c r="F407" s="27"/>
      <c r="G407" s="28"/>
      <c r="H407" s="29"/>
    </row>
    <row r="408">
      <c r="D408" s="14"/>
      <c r="E408" s="26" t="str">
        <f>IFERROR(IF($A408="",,IF($I408="",Translation!$A$2,IF($L408="",Translation!$A$3,IF($N408&lt;&gt;$B408,Translation!$A$4,IF(IFERROR($F408,)="",Translation!$A$5,IF($H408&gt;TIME(0,5,0),Translation!$A$6,IF($M408,Translation!$A$7,$K408))))))),Translation!$A$7)</f>
        <v/>
      </c>
      <c r="F408" s="27"/>
      <c r="G408" s="28"/>
      <c r="H408" s="29"/>
    </row>
    <row r="409">
      <c r="D409" s="14"/>
      <c r="E409" s="26" t="str">
        <f>IFERROR(IF($A409="",,IF($I409="",Translation!$A$2,IF($L409="",Translation!$A$3,IF($N409&lt;&gt;$B409,Translation!$A$4,IF(IFERROR($F409,)="",Translation!$A$5,IF($H409&gt;TIME(0,5,0),Translation!$A$6,IF($M409,Translation!$A$7,$K409))))))),Translation!$A$7)</f>
        <v/>
      </c>
      <c r="F409" s="27"/>
      <c r="G409" s="28"/>
      <c r="H409" s="29"/>
    </row>
    <row r="410">
      <c r="D410" s="14"/>
      <c r="E410" s="26" t="str">
        <f>IFERROR(IF($A410="",,IF($I410="",Translation!$A$2,IF($L410="",Translation!$A$3,IF($N410&lt;&gt;$B410,Translation!$A$4,IF(IFERROR($F410,)="",Translation!$A$5,IF($H410&gt;TIME(0,5,0),Translation!$A$6,IF($M410,Translation!$A$7,$K410))))))),Translation!$A$7)</f>
        <v/>
      </c>
      <c r="F410" s="27"/>
      <c r="G410" s="28"/>
      <c r="H410" s="29"/>
    </row>
    <row r="411">
      <c r="D411" s="14"/>
      <c r="E411" s="26" t="str">
        <f>IFERROR(IF($A411="",,IF($I411="",Translation!$A$2,IF($L411="",Translation!$A$3,IF($N411&lt;&gt;$B411,Translation!$A$4,IF(IFERROR($F411,)="",Translation!$A$5,IF($H411&gt;TIME(0,5,0),Translation!$A$6,IF($M411,Translation!$A$7,$K411))))))),Translation!$A$7)</f>
        <v/>
      </c>
      <c r="F411" s="27"/>
      <c r="G411" s="28"/>
      <c r="H411" s="29"/>
    </row>
    <row r="412">
      <c r="D412" s="14"/>
      <c r="E412" s="26" t="str">
        <f>IFERROR(IF($A412="",,IF($I412="",Translation!$A$2,IF($L412="",Translation!$A$3,IF($N412&lt;&gt;$B412,Translation!$A$4,IF(IFERROR($F412,)="",Translation!$A$5,IF($H412&gt;TIME(0,5,0),Translation!$A$6,IF($M412,Translation!$A$7,$K412))))))),Translation!$A$7)</f>
        <v/>
      </c>
      <c r="F412" s="27"/>
      <c r="G412" s="28"/>
      <c r="H412" s="29"/>
    </row>
    <row r="413">
      <c r="D413" s="14"/>
      <c r="E413" s="26" t="str">
        <f>IFERROR(IF($A413="",,IF($I413="",Translation!$A$2,IF($L413="",Translation!$A$3,IF($N413&lt;&gt;$B413,Translation!$A$4,IF(IFERROR($F413,)="",Translation!$A$5,IF($H413&gt;TIME(0,5,0),Translation!$A$6,IF($M413,Translation!$A$7,$K413))))))),Translation!$A$7)</f>
        <v/>
      </c>
      <c r="F413" s="27"/>
      <c r="G413" s="28"/>
      <c r="H413" s="29"/>
    </row>
    <row r="414">
      <c r="D414" s="14"/>
      <c r="E414" s="26" t="str">
        <f>IFERROR(IF($A414="",,IF($I414="",Translation!$A$2,IF($L414="",Translation!$A$3,IF($N414&lt;&gt;$B414,Translation!$A$4,IF(IFERROR($F414,)="",Translation!$A$5,IF($H414&gt;TIME(0,5,0),Translation!$A$6,IF($M414,Translation!$A$7,$K414))))))),Translation!$A$7)</f>
        <v/>
      </c>
      <c r="F414" s="27"/>
      <c r="G414" s="28"/>
      <c r="H414" s="29"/>
    </row>
    <row r="415">
      <c r="D415" s="14"/>
      <c r="E415" s="26" t="str">
        <f>IFERROR(IF($A415="",,IF($I415="",Translation!$A$2,IF($L415="",Translation!$A$3,IF($N415&lt;&gt;$B415,Translation!$A$4,IF(IFERROR($F415,)="",Translation!$A$5,IF($H415&gt;TIME(0,5,0),Translation!$A$6,IF($M415,Translation!$A$7,$K415))))))),Translation!$A$7)</f>
        <v/>
      </c>
      <c r="F415" s="27"/>
      <c r="G415" s="28"/>
      <c r="H415" s="29"/>
    </row>
    <row r="416">
      <c r="D416" s="14"/>
      <c r="E416" s="26" t="str">
        <f>IFERROR(IF($A416="",,IF($I416="",Translation!$A$2,IF($L416="",Translation!$A$3,IF($N416&lt;&gt;$B416,Translation!$A$4,IF(IFERROR($F416,)="",Translation!$A$5,IF($H416&gt;TIME(0,5,0),Translation!$A$6,IF($M416,Translation!$A$7,$K416))))))),Translation!$A$7)</f>
        <v/>
      </c>
      <c r="F416" s="27"/>
      <c r="G416" s="28"/>
      <c r="H416" s="29"/>
    </row>
    <row r="417">
      <c r="D417" s="14"/>
      <c r="E417" s="26" t="str">
        <f>IFERROR(IF($A417="",,IF($I417="",Translation!$A$2,IF($L417="",Translation!$A$3,IF($N417&lt;&gt;$B417,Translation!$A$4,IF(IFERROR($F417,)="",Translation!$A$5,IF($H417&gt;TIME(0,5,0),Translation!$A$6,IF($M417,Translation!$A$7,$K417))))))),Translation!$A$7)</f>
        <v/>
      </c>
      <c r="F417" s="27"/>
      <c r="G417" s="28"/>
      <c r="H417" s="29"/>
    </row>
    <row r="418">
      <c r="D418" s="14"/>
      <c r="E418" s="26" t="str">
        <f>IFERROR(IF($A418="",,IF($I418="",Translation!$A$2,IF($L418="",Translation!$A$3,IF($N418&lt;&gt;$B418,Translation!$A$4,IF(IFERROR($F418,)="",Translation!$A$5,IF($H418&gt;TIME(0,5,0),Translation!$A$6,IF($M418,Translation!$A$7,$K418))))))),Translation!$A$7)</f>
        <v/>
      </c>
      <c r="F418" s="27"/>
      <c r="G418" s="28"/>
      <c r="H418" s="29"/>
    </row>
    <row r="419">
      <c r="D419" s="14"/>
      <c r="E419" s="26" t="str">
        <f>IFERROR(IF($A419="",,IF($I419="",Translation!$A$2,IF($L419="",Translation!$A$3,IF($N419&lt;&gt;$B419,Translation!$A$4,IF(IFERROR($F419,)="",Translation!$A$5,IF($H419&gt;TIME(0,5,0),Translation!$A$6,IF($M419,Translation!$A$7,$K419))))))),Translation!$A$7)</f>
        <v/>
      </c>
      <c r="F419" s="27"/>
      <c r="G419" s="28"/>
      <c r="H419" s="29"/>
    </row>
    <row r="420">
      <c r="D420" s="14"/>
      <c r="E420" s="26" t="str">
        <f>IFERROR(IF($A420="",,IF($I420="",Translation!$A$2,IF($L420="",Translation!$A$3,IF($N420&lt;&gt;$B420,Translation!$A$4,IF(IFERROR($F420,)="",Translation!$A$5,IF($H420&gt;TIME(0,5,0),Translation!$A$6,IF($M420,Translation!$A$7,$K420))))))),Translation!$A$7)</f>
        <v/>
      </c>
      <c r="F420" s="27"/>
      <c r="G420" s="28"/>
      <c r="H420" s="29"/>
    </row>
    <row r="421">
      <c r="D421" s="14"/>
      <c r="E421" s="26" t="str">
        <f>IFERROR(IF($A421="",,IF($I421="",Translation!$A$2,IF($L421="",Translation!$A$3,IF($N421&lt;&gt;$B421,Translation!$A$4,IF(IFERROR($F421,)="",Translation!$A$5,IF($H421&gt;TIME(0,5,0),Translation!$A$6,IF($M421,Translation!$A$7,$K421))))))),Translation!$A$7)</f>
        <v/>
      </c>
      <c r="F421" s="27"/>
      <c r="G421" s="28"/>
      <c r="H421" s="29"/>
    </row>
    <row r="422">
      <c r="D422" s="14"/>
      <c r="E422" s="26" t="str">
        <f>IFERROR(IF($A422="",,IF($I422="",Translation!$A$2,IF($L422="",Translation!$A$3,IF($N422&lt;&gt;$B422,Translation!$A$4,IF(IFERROR($F422,)="",Translation!$A$5,IF($H422&gt;TIME(0,5,0),Translation!$A$6,IF($M422,Translation!$A$7,$K422))))))),Translation!$A$7)</f>
        <v/>
      </c>
      <c r="F422" s="27"/>
      <c r="G422" s="28"/>
      <c r="H422" s="29"/>
    </row>
    <row r="423">
      <c r="D423" s="14"/>
      <c r="E423" s="26" t="str">
        <f>IFERROR(IF($A423="",,IF($I423="",Translation!$A$2,IF($L423="",Translation!$A$3,IF($N423&lt;&gt;$B423,Translation!$A$4,IF(IFERROR($F423,)="",Translation!$A$5,IF($H423&gt;TIME(0,5,0),Translation!$A$6,IF($M423,Translation!$A$7,$K423))))))),Translation!$A$7)</f>
        <v/>
      </c>
      <c r="F423" s="27"/>
      <c r="G423" s="28"/>
      <c r="H423" s="29"/>
    </row>
    <row r="424">
      <c r="D424" s="14"/>
      <c r="E424" s="26" t="str">
        <f>IFERROR(IF($A424="",,IF($I424="",Translation!$A$2,IF($L424="",Translation!$A$3,IF($N424&lt;&gt;$B424,Translation!$A$4,IF(IFERROR($F424,)="",Translation!$A$5,IF($H424&gt;TIME(0,5,0),Translation!$A$6,IF($M424,Translation!$A$7,$K424))))))),Translation!$A$7)</f>
        <v/>
      </c>
      <c r="F424" s="27"/>
      <c r="G424" s="28"/>
      <c r="H424" s="29"/>
    </row>
    <row r="425">
      <c r="D425" s="14"/>
      <c r="E425" s="26" t="str">
        <f>IFERROR(IF($A425="",,IF($I425="",Translation!$A$2,IF($L425="",Translation!$A$3,IF($N425&lt;&gt;$B425,Translation!$A$4,IF(IFERROR($F425,)="",Translation!$A$5,IF($H425&gt;TIME(0,5,0),Translation!$A$6,IF($M425,Translation!$A$7,$K425))))))),Translation!$A$7)</f>
        <v/>
      </c>
      <c r="F425" s="27"/>
      <c r="G425" s="28"/>
      <c r="H425" s="29"/>
    </row>
    <row r="426">
      <c r="D426" s="14"/>
      <c r="E426" s="26" t="str">
        <f>IFERROR(IF($A426="",,IF($I426="",Translation!$A$2,IF($L426="",Translation!$A$3,IF($N426&lt;&gt;$B426,Translation!$A$4,IF(IFERROR($F426,)="",Translation!$A$5,IF($H426&gt;TIME(0,5,0),Translation!$A$6,IF($M426,Translation!$A$7,$K426))))))),Translation!$A$7)</f>
        <v/>
      </c>
      <c r="F426" s="27"/>
      <c r="G426" s="28"/>
      <c r="H426" s="29"/>
    </row>
    <row r="427">
      <c r="D427" s="14"/>
      <c r="E427" s="26" t="str">
        <f>IFERROR(IF($A427="",,IF($I427="",Translation!$A$2,IF($L427="",Translation!$A$3,IF($N427&lt;&gt;$B427,Translation!$A$4,IF(IFERROR($F427,)="",Translation!$A$5,IF($H427&gt;TIME(0,5,0),Translation!$A$6,IF($M427,Translation!$A$7,$K427))))))),Translation!$A$7)</f>
        <v/>
      </c>
      <c r="F427" s="27"/>
      <c r="G427" s="28"/>
      <c r="H427" s="29"/>
    </row>
    <row r="428">
      <c r="D428" s="14"/>
      <c r="E428" s="26" t="str">
        <f>IFERROR(IF($A428="",,IF($I428="",Translation!$A$2,IF($L428="",Translation!$A$3,IF($N428&lt;&gt;$B428,Translation!$A$4,IF(IFERROR($F428,)="",Translation!$A$5,IF($H428&gt;TIME(0,5,0),Translation!$A$6,IF($M428,Translation!$A$7,$K428))))))),Translation!$A$7)</f>
        <v/>
      </c>
      <c r="F428" s="27"/>
      <c r="G428" s="28"/>
      <c r="H428" s="29"/>
    </row>
    <row r="429">
      <c r="D429" s="14"/>
      <c r="E429" s="26" t="str">
        <f>IFERROR(IF($A429="",,IF($I429="",Translation!$A$2,IF($L429="",Translation!$A$3,IF($N429&lt;&gt;$B429,Translation!$A$4,IF(IFERROR($F429,)="",Translation!$A$5,IF($H429&gt;TIME(0,5,0),Translation!$A$6,IF($M429,Translation!$A$7,$K429))))))),Translation!$A$7)</f>
        <v/>
      </c>
      <c r="F429" s="27"/>
      <c r="G429" s="28"/>
      <c r="H429" s="29"/>
    </row>
    <row r="430">
      <c r="D430" s="14"/>
      <c r="E430" s="26" t="str">
        <f>IFERROR(IF($A430="",,IF($I430="",Translation!$A$2,IF($L430="",Translation!$A$3,IF($N430&lt;&gt;$B430,Translation!$A$4,IF(IFERROR($F430,)="",Translation!$A$5,IF($H430&gt;TIME(0,5,0),Translation!$A$6,IF($M430,Translation!$A$7,$K430))))))),Translation!$A$7)</f>
        <v/>
      </c>
      <c r="F430" s="27"/>
      <c r="G430" s="28"/>
      <c r="H430" s="29"/>
    </row>
    <row r="431">
      <c r="D431" s="14"/>
      <c r="E431" s="26" t="str">
        <f>IFERROR(IF($A431="",,IF($I431="",Translation!$A$2,IF($L431="",Translation!$A$3,IF($N431&lt;&gt;$B431,Translation!$A$4,IF(IFERROR($F431,)="",Translation!$A$5,IF($H431&gt;TIME(0,5,0),Translation!$A$6,IF($M431,Translation!$A$7,$K431))))))),Translation!$A$7)</f>
        <v/>
      </c>
      <c r="F431" s="27"/>
      <c r="G431" s="28"/>
      <c r="H431" s="29"/>
    </row>
    <row r="432">
      <c r="D432" s="14"/>
      <c r="E432" s="26" t="str">
        <f>IFERROR(IF($A432="",,IF($I432="",Translation!$A$2,IF($L432="",Translation!$A$3,IF($N432&lt;&gt;$B432,Translation!$A$4,IF(IFERROR($F432,)="",Translation!$A$5,IF($H432&gt;TIME(0,5,0),Translation!$A$6,IF($M432,Translation!$A$7,$K432))))))),Translation!$A$7)</f>
        <v/>
      </c>
      <c r="F432" s="27"/>
      <c r="G432" s="28"/>
      <c r="H432" s="29"/>
    </row>
    <row r="433">
      <c r="D433" s="14"/>
      <c r="E433" s="26" t="str">
        <f>IFERROR(IF($A433="",,IF($I433="",Translation!$A$2,IF($L433="",Translation!$A$3,IF($N433&lt;&gt;$B433,Translation!$A$4,IF(IFERROR($F433,)="",Translation!$A$5,IF($H433&gt;TIME(0,5,0),Translation!$A$6,IF($M433,Translation!$A$7,$K433))))))),Translation!$A$7)</f>
        <v/>
      </c>
      <c r="F433" s="27"/>
      <c r="G433" s="28"/>
      <c r="H433" s="29"/>
    </row>
    <row r="434">
      <c r="D434" s="14"/>
      <c r="E434" s="26" t="str">
        <f>IFERROR(IF($A434="",,IF($I434="",Translation!$A$2,IF($L434="",Translation!$A$3,IF($N434&lt;&gt;$B434,Translation!$A$4,IF(IFERROR($F434,)="",Translation!$A$5,IF($H434&gt;TIME(0,5,0),Translation!$A$6,IF($M434,Translation!$A$7,$K434))))))),Translation!$A$7)</f>
        <v/>
      </c>
      <c r="F434" s="27"/>
      <c r="G434" s="28"/>
      <c r="H434" s="29"/>
    </row>
    <row r="435">
      <c r="D435" s="14"/>
      <c r="E435" s="26" t="str">
        <f>IFERROR(IF($A435="",,IF($I435="",Translation!$A$2,IF($L435="",Translation!$A$3,IF($N435&lt;&gt;$B435,Translation!$A$4,IF(IFERROR($F435,)="",Translation!$A$5,IF($H435&gt;TIME(0,5,0),Translation!$A$6,IF($M435,Translation!$A$7,$K435))))))),Translation!$A$7)</f>
        <v/>
      </c>
      <c r="F435" s="27"/>
      <c r="G435" s="28"/>
      <c r="H435" s="29"/>
    </row>
    <row r="436">
      <c r="D436" s="14"/>
      <c r="E436" s="26" t="str">
        <f>IFERROR(IF($A436="",,IF($I436="",Translation!$A$2,IF($L436="",Translation!$A$3,IF($N436&lt;&gt;$B436,Translation!$A$4,IF(IFERROR($F436,)="",Translation!$A$5,IF($H436&gt;TIME(0,5,0),Translation!$A$6,IF($M436,Translation!$A$7,$K436))))))),Translation!$A$7)</f>
        <v/>
      </c>
      <c r="F436" s="27"/>
      <c r="G436" s="28"/>
      <c r="H436" s="29"/>
    </row>
    <row r="437">
      <c r="D437" s="14"/>
      <c r="E437" s="26" t="str">
        <f>IFERROR(IF($A437="",,IF($I437="",Translation!$A$2,IF($L437="",Translation!$A$3,IF($N437&lt;&gt;$B437,Translation!$A$4,IF(IFERROR($F437,)="",Translation!$A$5,IF($H437&gt;TIME(0,5,0),Translation!$A$6,IF($M437,Translation!$A$7,$K437))))))),Translation!$A$7)</f>
        <v/>
      </c>
      <c r="F437" s="27"/>
      <c r="G437" s="28"/>
      <c r="H437" s="29"/>
    </row>
    <row r="438">
      <c r="D438" s="14"/>
      <c r="E438" s="26" t="str">
        <f>IFERROR(IF($A438="",,IF($I438="",Translation!$A$2,IF($L438="",Translation!$A$3,IF($N438&lt;&gt;$B438,Translation!$A$4,IF(IFERROR($F438,)="",Translation!$A$5,IF($H438&gt;TIME(0,5,0),Translation!$A$6,IF($M438,Translation!$A$7,$K438))))))),Translation!$A$7)</f>
        <v/>
      </c>
      <c r="F438" s="27"/>
      <c r="G438" s="28"/>
      <c r="H438" s="29"/>
    </row>
    <row r="439">
      <c r="D439" s="14"/>
      <c r="E439" s="26" t="str">
        <f>IFERROR(IF($A439="",,IF($I439="",Translation!$A$2,IF($L439="",Translation!$A$3,IF($N439&lt;&gt;$B439,Translation!$A$4,IF(IFERROR($F439,)="",Translation!$A$5,IF($H439&gt;TIME(0,5,0),Translation!$A$6,IF($M439,Translation!$A$7,$K439))))))),Translation!$A$7)</f>
        <v/>
      </c>
      <c r="F439" s="27"/>
      <c r="G439" s="28"/>
      <c r="H439" s="29"/>
    </row>
    <row r="440">
      <c r="D440" s="14"/>
      <c r="E440" s="26" t="str">
        <f>IFERROR(IF($A440="",,IF($I440="",Translation!$A$2,IF($L440="",Translation!$A$3,IF($N440&lt;&gt;$B440,Translation!$A$4,IF(IFERROR($F440,)="",Translation!$A$5,IF($H440&gt;TIME(0,5,0),Translation!$A$6,IF($M440,Translation!$A$7,$K440))))))),Translation!$A$7)</f>
        <v/>
      </c>
      <c r="F440" s="27"/>
      <c r="G440" s="28"/>
      <c r="H440" s="29"/>
    </row>
    <row r="441">
      <c r="D441" s="14"/>
      <c r="E441" s="26" t="str">
        <f>IFERROR(IF($A441="",,IF($I441="",Translation!$A$2,IF($L441="",Translation!$A$3,IF($N441&lt;&gt;$B441,Translation!$A$4,IF(IFERROR($F441,)="",Translation!$A$5,IF($H441&gt;TIME(0,5,0),Translation!$A$6,IF($M441,Translation!$A$7,$K441))))))),Translation!$A$7)</f>
        <v/>
      </c>
      <c r="F441" s="27"/>
      <c r="G441" s="28"/>
      <c r="H441" s="29"/>
    </row>
    <row r="442">
      <c r="D442" s="14"/>
      <c r="E442" s="26" t="str">
        <f>IFERROR(IF($A442="",,IF($I442="",Translation!$A$2,IF($L442="",Translation!$A$3,IF($N442&lt;&gt;$B442,Translation!$A$4,IF(IFERROR($F442,)="",Translation!$A$5,IF($H442&gt;TIME(0,5,0),Translation!$A$6,IF($M442,Translation!$A$7,$K442))))))),Translation!$A$7)</f>
        <v/>
      </c>
      <c r="F442" s="27"/>
      <c r="G442" s="28"/>
      <c r="H442" s="29"/>
    </row>
    <row r="443">
      <c r="D443" s="14"/>
      <c r="E443" s="26" t="str">
        <f>IFERROR(IF($A443="",,IF($I443="",Translation!$A$2,IF($L443="",Translation!$A$3,IF($N443&lt;&gt;$B443,Translation!$A$4,IF(IFERROR($F443,)="",Translation!$A$5,IF($H443&gt;TIME(0,5,0),Translation!$A$6,IF($M443,Translation!$A$7,$K443))))))),Translation!$A$7)</f>
        <v/>
      </c>
      <c r="F443" s="27"/>
      <c r="G443" s="28"/>
      <c r="H443" s="29"/>
    </row>
    <row r="444">
      <c r="D444" s="14"/>
      <c r="E444" s="26" t="str">
        <f>IFERROR(IF($A444="",,IF($I444="",Translation!$A$2,IF($L444="",Translation!$A$3,IF($N444&lt;&gt;$B444,Translation!$A$4,IF(IFERROR($F444,)="",Translation!$A$5,IF($H444&gt;TIME(0,5,0),Translation!$A$6,IF($M444,Translation!$A$7,$K444))))))),Translation!$A$7)</f>
        <v/>
      </c>
      <c r="F444" s="27"/>
      <c r="G444" s="28"/>
      <c r="H444" s="29"/>
    </row>
    <row r="445">
      <c r="D445" s="14"/>
      <c r="E445" s="26" t="str">
        <f>IFERROR(IF($A445="",,IF($I445="",Translation!$A$2,IF($L445="",Translation!$A$3,IF($N445&lt;&gt;$B445,Translation!$A$4,IF(IFERROR($F445,)="",Translation!$A$5,IF($H445&gt;TIME(0,5,0),Translation!$A$6,IF($M445,Translation!$A$7,$K445))))))),Translation!$A$7)</f>
        <v/>
      </c>
      <c r="F445" s="27"/>
      <c r="G445" s="28"/>
      <c r="H445" s="29"/>
    </row>
    <row r="446">
      <c r="D446" s="14"/>
      <c r="E446" s="26" t="str">
        <f>IFERROR(IF($A446="",,IF($I446="",Translation!$A$2,IF($L446="",Translation!$A$3,IF($N446&lt;&gt;$B446,Translation!$A$4,IF(IFERROR($F446,)="",Translation!$A$5,IF($H446&gt;TIME(0,5,0),Translation!$A$6,IF($M446,Translation!$A$7,$K446))))))),Translation!$A$7)</f>
        <v/>
      </c>
      <c r="F446" s="27"/>
      <c r="G446" s="28"/>
      <c r="H446" s="29"/>
    </row>
    <row r="447">
      <c r="D447" s="14"/>
      <c r="E447" s="26" t="str">
        <f>IFERROR(IF($A447="",,IF($I447="",Translation!$A$2,IF($L447="",Translation!$A$3,IF($N447&lt;&gt;$B447,Translation!$A$4,IF(IFERROR($F447,)="",Translation!$A$5,IF($H447&gt;TIME(0,5,0),Translation!$A$6,IF($M447,Translation!$A$7,$K447))))))),Translation!$A$7)</f>
        <v/>
      </c>
      <c r="F447" s="27"/>
      <c r="G447" s="28"/>
      <c r="H447" s="29"/>
    </row>
    <row r="448">
      <c r="D448" s="14"/>
      <c r="E448" s="26" t="str">
        <f>IFERROR(IF($A448="",,IF($I448="",Translation!$A$2,IF($L448="",Translation!$A$3,IF($N448&lt;&gt;$B448,Translation!$A$4,IF(IFERROR($F448,)="",Translation!$A$5,IF($H448&gt;TIME(0,5,0),Translation!$A$6,IF($M448,Translation!$A$7,$K448))))))),Translation!$A$7)</f>
        <v/>
      </c>
      <c r="F448" s="27"/>
      <c r="G448" s="28"/>
      <c r="H448" s="29"/>
    </row>
    <row r="449">
      <c r="D449" s="14"/>
      <c r="E449" s="26" t="str">
        <f>IFERROR(IF($A449="",,IF($I449="",Translation!$A$2,IF($L449="",Translation!$A$3,IF($N449&lt;&gt;$B449,Translation!$A$4,IF(IFERROR($F449,)="",Translation!$A$5,IF($H449&gt;TIME(0,5,0),Translation!$A$6,IF($M449,Translation!$A$7,$K449))))))),Translation!$A$7)</f>
        <v/>
      </c>
      <c r="F449" s="27"/>
      <c r="G449" s="28"/>
      <c r="H449" s="29"/>
    </row>
    <row r="450">
      <c r="D450" s="14"/>
      <c r="E450" s="26" t="str">
        <f>IFERROR(IF($A450="",,IF($I450="",Translation!$A$2,IF($L450="",Translation!$A$3,IF($N450&lt;&gt;$B450,Translation!$A$4,IF(IFERROR($F450,)="",Translation!$A$5,IF($H450&gt;TIME(0,5,0),Translation!$A$6,IF($M450,Translation!$A$7,$K450))))))),Translation!$A$7)</f>
        <v/>
      </c>
      <c r="F450" s="27"/>
      <c r="G450" s="28"/>
      <c r="H450" s="29"/>
    </row>
    <row r="451">
      <c r="D451" s="14"/>
      <c r="E451" s="26" t="str">
        <f>IFERROR(IF($A451="",,IF($I451="",Translation!$A$2,IF($L451="",Translation!$A$3,IF($N451&lt;&gt;$B451,Translation!$A$4,IF(IFERROR($F451,)="",Translation!$A$5,IF($H451&gt;TIME(0,5,0),Translation!$A$6,IF($M451,Translation!$A$7,$K451))))))),Translation!$A$7)</f>
        <v/>
      </c>
      <c r="F451" s="27"/>
      <c r="G451" s="28"/>
      <c r="H451" s="29"/>
    </row>
    <row r="452">
      <c r="D452" s="14"/>
      <c r="E452" s="26" t="str">
        <f>IFERROR(IF($A452="",,IF($I452="",Translation!$A$2,IF($L452="",Translation!$A$3,IF($N452&lt;&gt;$B452,Translation!$A$4,IF(IFERROR($F452,)="",Translation!$A$5,IF($H452&gt;TIME(0,5,0),Translation!$A$6,IF($M452,Translation!$A$7,$K452))))))),Translation!$A$7)</f>
        <v/>
      </c>
      <c r="F452" s="27"/>
      <c r="G452" s="28"/>
      <c r="H452" s="29"/>
    </row>
    <row r="453">
      <c r="D453" s="14"/>
      <c r="E453" s="26" t="str">
        <f>IFERROR(IF($A453="",,IF($I453="",Translation!$A$2,IF($L453="",Translation!$A$3,IF($N453&lt;&gt;$B453,Translation!$A$4,IF(IFERROR($F453,)="",Translation!$A$5,IF($H453&gt;TIME(0,5,0),Translation!$A$6,IF($M453,Translation!$A$7,$K453))))))),Translation!$A$7)</f>
        <v/>
      </c>
      <c r="F453" s="27"/>
      <c r="G453" s="28"/>
      <c r="H453" s="29"/>
    </row>
    <row r="454">
      <c r="D454" s="14"/>
      <c r="E454" s="26" t="str">
        <f>IFERROR(IF($A454="",,IF($I454="",Translation!$A$2,IF($L454="",Translation!$A$3,IF($N454&lt;&gt;$B454,Translation!$A$4,IF(IFERROR($F454,)="",Translation!$A$5,IF($H454&gt;TIME(0,5,0),Translation!$A$6,IF($M454,Translation!$A$7,$K454))))))),Translation!$A$7)</f>
        <v/>
      </c>
      <c r="F454" s="27"/>
      <c r="G454" s="28"/>
      <c r="H454" s="29"/>
    </row>
    <row r="455">
      <c r="D455" s="14"/>
      <c r="E455" s="26" t="str">
        <f>IFERROR(IF($A455="",,IF($I455="",Translation!$A$2,IF($L455="",Translation!$A$3,IF($N455&lt;&gt;$B455,Translation!$A$4,IF(IFERROR($F455,)="",Translation!$A$5,IF($H455&gt;TIME(0,5,0),Translation!$A$6,IF($M455,Translation!$A$7,$K455))))))),Translation!$A$7)</f>
        <v/>
      </c>
      <c r="F455" s="27"/>
      <c r="G455" s="28"/>
      <c r="H455" s="29"/>
    </row>
    <row r="456">
      <c r="D456" s="14"/>
      <c r="E456" s="26" t="str">
        <f>IFERROR(IF($A456="",,IF($I456="",Translation!$A$2,IF($L456="",Translation!$A$3,IF($N456&lt;&gt;$B456,Translation!$A$4,IF(IFERROR($F456,)="",Translation!$A$5,IF($H456&gt;TIME(0,5,0),Translation!$A$6,IF($M456,Translation!$A$7,$K456))))))),Translation!$A$7)</f>
        <v/>
      </c>
      <c r="F456" s="27"/>
      <c r="G456" s="28"/>
      <c r="H456" s="29"/>
    </row>
    <row r="457">
      <c r="D457" s="14"/>
      <c r="E457" s="26" t="str">
        <f>IFERROR(IF($A457="",,IF($I457="",Translation!$A$2,IF($L457="",Translation!$A$3,IF($N457&lt;&gt;$B457,Translation!$A$4,IF(IFERROR($F457,)="",Translation!$A$5,IF($H457&gt;TIME(0,5,0),Translation!$A$6,IF($M457,Translation!$A$7,$K457))))))),Translation!$A$7)</f>
        <v/>
      </c>
      <c r="F457" s="27"/>
      <c r="G457" s="28"/>
      <c r="H457" s="29"/>
    </row>
    <row r="458">
      <c r="D458" s="14"/>
      <c r="E458" s="26" t="str">
        <f>IFERROR(IF($A458="",,IF($I458="",Translation!$A$2,IF($L458="",Translation!$A$3,IF($N458&lt;&gt;$B458,Translation!$A$4,IF(IFERROR($F458,)="",Translation!$A$5,IF($H458&gt;TIME(0,5,0),Translation!$A$6,IF($M458,Translation!$A$7,$K458))))))),Translation!$A$7)</f>
        <v/>
      </c>
      <c r="F458" s="27"/>
      <c r="G458" s="28"/>
      <c r="H458" s="29"/>
    </row>
    <row r="459">
      <c r="D459" s="14"/>
      <c r="E459" s="26" t="str">
        <f>IFERROR(IF($A459="",,IF($I459="",Translation!$A$2,IF($L459="",Translation!$A$3,IF($N459&lt;&gt;$B459,Translation!$A$4,IF(IFERROR($F459,)="",Translation!$A$5,IF($H459&gt;TIME(0,5,0),Translation!$A$6,IF($M459,Translation!$A$7,$K459))))))),Translation!$A$7)</f>
        <v/>
      </c>
      <c r="F459" s="27"/>
      <c r="G459" s="28"/>
      <c r="H459" s="29"/>
    </row>
    <row r="460">
      <c r="D460" s="14"/>
      <c r="E460" s="26" t="str">
        <f>IFERROR(IF($A460="",,IF($I460="",Translation!$A$2,IF($L460="",Translation!$A$3,IF($N460&lt;&gt;$B460,Translation!$A$4,IF(IFERROR($F460,)="",Translation!$A$5,IF($H460&gt;TIME(0,5,0),Translation!$A$6,IF($M460,Translation!$A$7,$K460))))))),Translation!$A$7)</f>
        <v/>
      </c>
      <c r="F460" s="27"/>
      <c r="G460" s="28"/>
      <c r="H460" s="29"/>
    </row>
    <row r="461">
      <c r="D461" s="14"/>
      <c r="E461" s="26" t="str">
        <f>IFERROR(IF($A461="",,IF($I461="",Translation!$A$2,IF($L461="",Translation!$A$3,IF($N461&lt;&gt;$B461,Translation!$A$4,IF(IFERROR($F461,)="",Translation!$A$5,IF($H461&gt;TIME(0,5,0),Translation!$A$6,IF($M461,Translation!$A$7,$K461))))))),Translation!$A$7)</f>
        <v/>
      </c>
      <c r="F461" s="27"/>
      <c r="G461" s="28"/>
      <c r="H461" s="29"/>
    </row>
    <row r="462">
      <c r="D462" s="14"/>
      <c r="E462" s="26" t="str">
        <f>IFERROR(IF($A462="",,IF($I462="",Translation!$A$2,IF($L462="",Translation!$A$3,IF($N462&lt;&gt;$B462,Translation!$A$4,IF(IFERROR($F462,)="",Translation!$A$5,IF($H462&gt;TIME(0,5,0),Translation!$A$6,IF($M462,Translation!$A$7,$K462))))))),Translation!$A$7)</f>
        <v/>
      </c>
      <c r="F462" s="27"/>
      <c r="G462" s="28"/>
      <c r="H462" s="29"/>
    </row>
    <row r="463">
      <c r="D463" s="14"/>
      <c r="E463" s="26" t="str">
        <f>IFERROR(IF($A463="",,IF($I463="",Translation!$A$2,IF($L463="",Translation!$A$3,IF($N463&lt;&gt;$B463,Translation!$A$4,IF(IFERROR($F463,)="",Translation!$A$5,IF($H463&gt;TIME(0,5,0),Translation!$A$6,IF($M463,Translation!$A$7,$K463))))))),Translation!$A$7)</f>
        <v/>
      </c>
      <c r="F463" s="27"/>
      <c r="G463" s="28"/>
      <c r="H463" s="29"/>
    </row>
    <row r="464">
      <c r="D464" s="14"/>
      <c r="E464" s="26" t="str">
        <f>IFERROR(IF($A464="",,IF($I464="",Translation!$A$2,IF($L464="",Translation!$A$3,IF($N464&lt;&gt;$B464,Translation!$A$4,IF(IFERROR($F464,)="",Translation!$A$5,IF($H464&gt;TIME(0,5,0),Translation!$A$6,IF($M464,Translation!$A$7,$K464))))))),Translation!$A$7)</f>
        <v/>
      </c>
      <c r="F464" s="27"/>
      <c r="G464" s="28"/>
      <c r="H464" s="29"/>
    </row>
    <row r="465">
      <c r="D465" s="14"/>
      <c r="E465" s="26" t="str">
        <f>IFERROR(IF($A465="",,IF($I465="",Translation!$A$2,IF($L465="",Translation!$A$3,IF($N465&lt;&gt;$B465,Translation!$A$4,IF(IFERROR($F465,)="",Translation!$A$5,IF($H465&gt;TIME(0,5,0),Translation!$A$6,IF($M465,Translation!$A$7,$K465))))))),Translation!$A$7)</f>
        <v/>
      </c>
      <c r="F465" s="27"/>
      <c r="G465" s="28"/>
      <c r="H465" s="29"/>
    </row>
    <row r="466">
      <c r="D466" s="14"/>
      <c r="E466" s="26" t="str">
        <f>IFERROR(IF($A466="",,IF($I466="",Translation!$A$2,IF($L466="",Translation!$A$3,IF($N466&lt;&gt;$B466,Translation!$A$4,IF(IFERROR($F466,)="",Translation!$A$5,IF($H466&gt;TIME(0,5,0),Translation!$A$6,IF($M466,Translation!$A$7,$K466))))))),Translation!$A$7)</f>
        <v/>
      </c>
      <c r="F466" s="27"/>
      <c r="G466" s="28"/>
      <c r="H466" s="29"/>
    </row>
    <row r="467">
      <c r="D467" s="14"/>
      <c r="E467" s="26" t="str">
        <f>IFERROR(IF($A467="",,IF($I467="",Translation!$A$2,IF($L467="",Translation!$A$3,IF($N467&lt;&gt;$B467,Translation!$A$4,IF(IFERROR($F467,)="",Translation!$A$5,IF($H467&gt;TIME(0,5,0),Translation!$A$6,IF($M467,Translation!$A$7,$K467))))))),Translation!$A$7)</f>
        <v/>
      </c>
      <c r="F467" s="27"/>
      <c r="G467" s="28"/>
      <c r="H467" s="29"/>
    </row>
    <row r="468">
      <c r="D468" s="14"/>
      <c r="E468" s="26" t="str">
        <f>IFERROR(IF($A468="",,IF($I468="",Translation!$A$2,IF($L468="",Translation!$A$3,IF($N468&lt;&gt;$B468,Translation!$A$4,IF(IFERROR($F468,)="",Translation!$A$5,IF($H468&gt;TIME(0,5,0),Translation!$A$6,IF($M468,Translation!$A$7,$K468))))))),Translation!$A$7)</f>
        <v/>
      </c>
      <c r="F468" s="27"/>
      <c r="G468" s="28"/>
      <c r="H468" s="29"/>
    </row>
    <row r="469">
      <c r="D469" s="14"/>
      <c r="E469" s="26" t="str">
        <f>IFERROR(IF($A469="",,IF($I469="",Translation!$A$2,IF($L469="",Translation!$A$3,IF($N469&lt;&gt;$B469,Translation!$A$4,IF(IFERROR($F469,)="",Translation!$A$5,IF($H469&gt;TIME(0,5,0),Translation!$A$6,IF($M469,Translation!$A$7,$K469))))))),Translation!$A$7)</f>
        <v/>
      </c>
      <c r="F469" s="27"/>
      <c r="G469" s="28"/>
      <c r="H469" s="29"/>
    </row>
    <row r="470">
      <c r="D470" s="14"/>
      <c r="E470" s="26" t="str">
        <f>IFERROR(IF($A470="",,IF($I470="",Translation!$A$2,IF($L470="",Translation!$A$3,IF($N470&lt;&gt;$B470,Translation!$A$4,IF(IFERROR($F470,)="",Translation!$A$5,IF($H470&gt;TIME(0,5,0),Translation!$A$6,IF($M470,Translation!$A$7,$K470))))))),Translation!$A$7)</f>
        <v/>
      </c>
      <c r="F470" s="27"/>
      <c r="G470" s="28"/>
      <c r="H470" s="29"/>
    </row>
    <row r="471">
      <c r="D471" s="14"/>
      <c r="E471" s="26" t="str">
        <f>IFERROR(IF($A471="",,IF($I471="",Translation!$A$2,IF($L471="",Translation!$A$3,IF($N471&lt;&gt;$B471,Translation!$A$4,IF(IFERROR($F471,)="",Translation!$A$5,IF($H471&gt;TIME(0,5,0),Translation!$A$6,IF($M471,Translation!$A$7,$K471))))))),Translation!$A$7)</f>
        <v/>
      </c>
      <c r="F471" s="27"/>
      <c r="G471" s="28"/>
      <c r="H471" s="29"/>
    </row>
    <row r="472">
      <c r="D472" s="14"/>
      <c r="E472" s="26" t="str">
        <f>IFERROR(IF($A472="",,IF($I472="",Translation!$A$2,IF($L472="",Translation!$A$3,IF($N472&lt;&gt;$B472,Translation!$A$4,IF(IFERROR($F472,)="",Translation!$A$5,IF($H472&gt;TIME(0,5,0),Translation!$A$6,IF($M472,Translation!$A$7,$K472))))))),Translation!$A$7)</f>
        <v/>
      </c>
      <c r="F472" s="27"/>
      <c r="G472" s="28"/>
      <c r="H472" s="29"/>
    </row>
    <row r="473">
      <c r="D473" s="14"/>
      <c r="E473" s="26" t="str">
        <f>IFERROR(IF($A473="",,IF($I473="",Translation!$A$2,IF($L473="",Translation!$A$3,IF($N473&lt;&gt;$B473,Translation!$A$4,IF(IFERROR($F473,)="",Translation!$A$5,IF($H473&gt;TIME(0,5,0),Translation!$A$6,IF($M473,Translation!$A$7,$K473))))))),Translation!$A$7)</f>
        <v/>
      </c>
      <c r="F473" s="27"/>
      <c r="G473" s="28"/>
      <c r="H473" s="29"/>
    </row>
    <row r="474">
      <c r="D474" s="14"/>
      <c r="E474" s="26" t="str">
        <f>IFERROR(IF($A474="",,IF($I474="",Translation!$A$2,IF($L474="",Translation!$A$3,IF($N474&lt;&gt;$B474,Translation!$A$4,IF(IFERROR($F474,)="",Translation!$A$5,IF($H474&gt;TIME(0,5,0),Translation!$A$6,IF($M474,Translation!$A$7,$K474))))))),Translation!$A$7)</f>
        <v/>
      </c>
      <c r="F474" s="27"/>
      <c r="G474" s="28"/>
      <c r="H474" s="29"/>
    </row>
    <row r="475">
      <c r="D475" s="14"/>
      <c r="E475" s="26" t="str">
        <f>IFERROR(IF($A475="",,IF($I475="",Translation!$A$2,IF($L475="",Translation!$A$3,IF($N475&lt;&gt;$B475,Translation!$A$4,IF(IFERROR($F475,)="",Translation!$A$5,IF($H475&gt;TIME(0,5,0),Translation!$A$6,IF($M475,Translation!$A$7,$K475))))))),Translation!$A$7)</f>
        <v/>
      </c>
      <c r="F475" s="27"/>
      <c r="G475" s="28"/>
      <c r="H475" s="29"/>
    </row>
    <row r="476">
      <c r="D476" s="14"/>
      <c r="E476" s="26" t="str">
        <f>IFERROR(IF($A476="",,IF($I476="",Translation!$A$2,IF($L476="",Translation!$A$3,IF($N476&lt;&gt;$B476,Translation!$A$4,IF(IFERROR($F476,)="",Translation!$A$5,IF($H476&gt;TIME(0,5,0),Translation!$A$6,IF($M476,Translation!$A$7,$K476))))))),Translation!$A$7)</f>
        <v/>
      </c>
      <c r="F476" s="27"/>
      <c r="G476" s="28"/>
      <c r="H476" s="29"/>
    </row>
    <row r="477">
      <c r="D477" s="14"/>
      <c r="E477" s="26" t="str">
        <f>IFERROR(IF($A477="",,IF($I477="",Translation!$A$2,IF($L477="",Translation!$A$3,IF($N477&lt;&gt;$B477,Translation!$A$4,IF(IFERROR($F477,)="",Translation!$A$5,IF($H477&gt;TIME(0,5,0),Translation!$A$6,IF($M477,Translation!$A$7,$K477))))))),Translation!$A$7)</f>
        <v/>
      </c>
      <c r="F477" s="27"/>
      <c r="G477" s="28"/>
      <c r="H477" s="29"/>
    </row>
    <row r="478">
      <c r="D478" s="14"/>
      <c r="E478" s="26" t="str">
        <f>IFERROR(IF($A478="",,IF($I478="",Translation!$A$2,IF($L478="",Translation!$A$3,IF($N478&lt;&gt;$B478,Translation!$A$4,IF(IFERROR($F478,)="",Translation!$A$5,IF($H478&gt;TIME(0,5,0),Translation!$A$6,IF($M478,Translation!$A$7,$K478))))))),Translation!$A$7)</f>
        <v/>
      </c>
      <c r="F478" s="27"/>
      <c r="G478" s="28"/>
      <c r="H478" s="29"/>
    </row>
    <row r="479">
      <c r="D479" s="14"/>
      <c r="E479" s="26" t="str">
        <f>IFERROR(IF($A479="",,IF($I479="",Translation!$A$2,IF($L479="",Translation!$A$3,IF($N479&lt;&gt;$B479,Translation!$A$4,IF(IFERROR($F479,)="",Translation!$A$5,IF($H479&gt;TIME(0,5,0),Translation!$A$6,IF($M479,Translation!$A$7,$K479))))))),Translation!$A$7)</f>
        <v/>
      </c>
      <c r="F479" s="27"/>
      <c r="G479" s="28"/>
      <c r="H479" s="29"/>
    </row>
    <row r="480">
      <c r="D480" s="14"/>
      <c r="E480" s="26" t="str">
        <f>IFERROR(IF($A480="",,IF($I480="",Translation!$A$2,IF($L480="",Translation!$A$3,IF($N480&lt;&gt;$B480,Translation!$A$4,IF(IFERROR($F480,)="",Translation!$A$5,IF($H480&gt;TIME(0,5,0),Translation!$A$6,IF($M480,Translation!$A$7,$K480))))))),Translation!$A$7)</f>
        <v/>
      </c>
      <c r="F480" s="27"/>
      <c r="G480" s="28"/>
      <c r="H480" s="29"/>
    </row>
    <row r="481">
      <c r="D481" s="14"/>
      <c r="E481" s="26" t="str">
        <f>IFERROR(IF($A481="",,IF($I481="",Translation!$A$2,IF($L481="",Translation!$A$3,IF($N481&lt;&gt;$B481,Translation!$A$4,IF(IFERROR($F481,)="",Translation!$A$5,IF($H481&gt;TIME(0,5,0),Translation!$A$6,IF($M481,Translation!$A$7,$K481))))))),Translation!$A$7)</f>
        <v/>
      </c>
      <c r="F481" s="27"/>
      <c r="G481" s="28"/>
      <c r="H481" s="29"/>
    </row>
    <row r="482">
      <c r="D482" s="14"/>
      <c r="E482" s="26" t="str">
        <f>IFERROR(IF($A482="",,IF($I482="",Translation!$A$2,IF($L482="",Translation!$A$3,IF($N482&lt;&gt;$B482,Translation!$A$4,IF(IFERROR($F482,)="",Translation!$A$5,IF($H482&gt;TIME(0,5,0),Translation!$A$6,IF($M482,Translation!$A$7,$K482))))))),Translation!$A$7)</f>
        <v/>
      </c>
      <c r="F482" s="27"/>
      <c r="G482" s="28"/>
      <c r="H482" s="29"/>
    </row>
    <row r="483">
      <c r="D483" s="14"/>
      <c r="E483" s="26" t="str">
        <f>IFERROR(IF($A483="",,IF($I483="",Translation!$A$2,IF($L483="",Translation!$A$3,IF($N483&lt;&gt;$B483,Translation!$A$4,IF(IFERROR($F483,)="",Translation!$A$5,IF($H483&gt;TIME(0,5,0),Translation!$A$6,IF($M483,Translation!$A$7,$K483))))))),Translation!$A$7)</f>
        <v/>
      </c>
      <c r="F483" s="27"/>
      <c r="G483" s="28"/>
      <c r="H483" s="29"/>
    </row>
    <row r="484">
      <c r="D484" s="14"/>
      <c r="E484" s="26" t="str">
        <f>IFERROR(IF($A484="",,IF($I484="",Translation!$A$2,IF($L484="",Translation!$A$3,IF($N484&lt;&gt;$B484,Translation!$A$4,IF(IFERROR($F484,)="",Translation!$A$5,IF($H484&gt;TIME(0,5,0),Translation!$A$6,IF($M484,Translation!$A$7,$K484))))))),Translation!$A$7)</f>
        <v/>
      </c>
      <c r="F484" s="27"/>
      <c r="G484" s="28"/>
      <c r="H484" s="29"/>
    </row>
    <row r="485">
      <c r="D485" s="14"/>
      <c r="E485" s="26" t="str">
        <f>IFERROR(IF($A485="",,IF($I485="",Translation!$A$2,IF($L485="",Translation!$A$3,IF($N485&lt;&gt;$B485,Translation!$A$4,IF(IFERROR($F485,)="",Translation!$A$5,IF($H485&gt;TIME(0,5,0),Translation!$A$6,IF($M485,Translation!$A$7,$K485))))))),Translation!$A$7)</f>
        <v/>
      </c>
      <c r="F485" s="27"/>
      <c r="G485" s="28"/>
      <c r="H485" s="29"/>
    </row>
    <row r="486">
      <c r="D486" s="14"/>
      <c r="E486" s="26" t="str">
        <f>IFERROR(IF($A486="",,IF($I486="",Translation!$A$2,IF($L486="",Translation!$A$3,IF($N486&lt;&gt;$B486,Translation!$A$4,IF(IFERROR($F486,)="",Translation!$A$5,IF($H486&gt;TIME(0,5,0),Translation!$A$6,IF($M486,Translation!$A$7,$K486))))))),Translation!$A$7)</f>
        <v/>
      </c>
      <c r="F486" s="27"/>
      <c r="G486" s="28"/>
      <c r="H486" s="29"/>
    </row>
    <row r="487">
      <c r="D487" s="14"/>
      <c r="E487" s="26" t="str">
        <f>IFERROR(IF($A487="",,IF($I487="",Translation!$A$2,IF($L487="",Translation!$A$3,IF($N487&lt;&gt;$B487,Translation!$A$4,IF(IFERROR($F487,)="",Translation!$A$5,IF($H487&gt;TIME(0,5,0),Translation!$A$6,IF($M487,Translation!$A$7,$K487))))))),Translation!$A$7)</f>
        <v/>
      </c>
      <c r="F487" s="27"/>
      <c r="G487" s="28"/>
      <c r="H487" s="29"/>
    </row>
    <row r="488">
      <c r="D488" s="14"/>
      <c r="E488" s="26" t="str">
        <f>IFERROR(IF($A488="",,IF($I488="",Translation!$A$2,IF($L488="",Translation!$A$3,IF($N488&lt;&gt;$B488,Translation!$A$4,IF(IFERROR($F488,)="",Translation!$A$5,IF($H488&gt;TIME(0,5,0),Translation!$A$6,IF($M488,Translation!$A$7,$K488))))))),Translation!$A$7)</f>
        <v/>
      </c>
      <c r="F488" s="27"/>
      <c r="G488" s="28"/>
      <c r="H488" s="29"/>
    </row>
    <row r="489">
      <c r="D489" s="14"/>
      <c r="E489" s="26" t="str">
        <f>IFERROR(IF($A489="",,IF($I489="",Translation!$A$2,IF($L489="",Translation!$A$3,IF($N489&lt;&gt;$B489,Translation!$A$4,IF(IFERROR($F489,)="",Translation!$A$5,IF($H489&gt;TIME(0,5,0),Translation!$A$6,IF($M489,Translation!$A$7,$K489))))))),Translation!$A$7)</f>
        <v/>
      </c>
      <c r="F489" s="27"/>
      <c r="G489" s="28"/>
      <c r="H489" s="29"/>
    </row>
    <row r="490">
      <c r="D490" s="14"/>
      <c r="E490" s="26" t="str">
        <f>IFERROR(IF($A490="",,IF($I490="",Translation!$A$2,IF($L490="",Translation!$A$3,IF($N490&lt;&gt;$B490,Translation!$A$4,IF(IFERROR($F490,)="",Translation!$A$5,IF($H490&gt;TIME(0,5,0),Translation!$A$6,IF($M490,Translation!$A$7,$K490))))))),Translation!$A$7)</f>
        <v/>
      </c>
      <c r="F490" s="27"/>
      <c r="G490" s="28"/>
      <c r="H490" s="29"/>
    </row>
    <row r="491">
      <c r="D491" s="14"/>
      <c r="E491" s="26" t="str">
        <f>IFERROR(IF($A491="",,IF($I491="",Translation!$A$2,IF($L491="",Translation!$A$3,IF($N491&lt;&gt;$B491,Translation!$A$4,IF(IFERROR($F491,)="",Translation!$A$5,IF($H491&gt;TIME(0,5,0),Translation!$A$6,IF($M491,Translation!$A$7,$K491))))))),Translation!$A$7)</f>
        <v/>
      </c>
      <c r="F491" s="27"/>
      <c r="G491" s="28"/>
      <c r="H491" s="29"/>
    </row>
    <row r="492">
      <c r="D492" s="14"/>
      <c r="E492" s="26" t="str">
        <f>IFERROR(IF($A492="",,IF($I492="",Translation!$A$2,IF($L492="",Translation!$A$3,IF($N492&lt;&gt;$B492,Translation!$A$4,IF(IFERROR($F492,)="",Translation!$A$5,IF($H492&gt;TIME(0,5,0),Translation!$A$6,IF($M492,Translation!$A$7,$K492))))))),Translation!$A$7)</f>
        <v/>
      </c>
      <c r="F492" s="27"/>
      <c r="G492" s="28"/>
      <c r="H492" s="29"/>
    </row>
    <row r="493">
      <c r="D493" s="14"/>
      <c r="E493" s="26" t="str">
        <f>IFERROR(IF($A493="",,IF($I493="",Translation!$A$2,IF($L493="",Translation!$A$3,IF($N493&lt;&gt;$B493,Translation!$A$4,IF(IFERROR($F493,)="",Translation!$A$5,IF($H493&gt;TIME(0,5,0),Translation!$A$6,IF($M493,Translation!$A$7,$K493))))))),Translation!$A$7)</f>
        <v/>
      </c>
      <c r="F493" s="27"/>
      <c r="G493" s="28"/>
      <c r="H493" s="29"/>
    </row>
    <row r="494">
      <c r="D494" s="14"/>
      <c r="E494" s="26" t="str">
        <f>IFERROR(IF($A494="",,IF($I494="",Translation!$A$2,IF($L494="",Translation!$A$3,IF($N494&lt;&gt;$B494,Translation!$A$4,IF(IFERROR($F494,)="",Translation!$A$5,IF($H494&gt;TIME(0,5,0),Translation!$A$6,IF($M494,Translation!$A$7,$K494))))))),Translation!$A$7)</f>
        <v/>
      </c>
      <c r="F494" s="27"/>
      <c r="G494" s="28"/>
      <c r="H494" s="29"/>
    </row>
    <row r="495">
      <c r="D495" s="14"/>
      <c r="E495" s="26" t="str">
        <f>IFERROR(IF($A495="",,IF($I495="",Translation!$A$2,IF($L495="",Translation!$A$3,IF($N495&lt;&gt;$B495,Translation!$A$4,IF(IFERROR($F495,)="",Translation!$A$5,IF($H495&gt;TIME(0,5,0),Translation!$A$6,IF($M495,Translation!$A$7,$K495))))))),Translation!$A$7)</f>
        <v/>
      </c>
      <c r="F495" s="27"/>
      <c r="G495" s="28"/>
      <c r="H495" s="29"/>
    </row>
    <row r="496">
      <c r="D496" s="14"/>
      <c r="E496" s="26" t="str">
        <f>IFERROR(IF($A496="",,IF($I496="",Translation!$A$2,IF($L496="",Translation!$A$3,IF($N496&lt;&gt;$B496,Translation!$A$4,IF(IFERROR($F496,)="",Translation!$A$5,IF($H496&gt;TIME(0,5,0),Translation!$A$6,IF($M496,Translation!$A$7,$K496))))))),Translation!$A$7)</f>
        <v/>
      </c>
      <c r="F496" s="27"/>
      <c r="G496" s="28"/>
      <c r="H496" s="29"/>
    </row>
    <row r="497">
      <c r="D497" s="14"/>
      <c r="E497" s="26" t="str">
        <f>IFERROR(IF($A497="",,IF($I497="",Translation!$A$2,IF($L497="",Translation!$A$3,IF($N497&lt;&gt;$B497,Translation!$A$4,IF(IFERROR($F497,)="",Translation!$A$5,IF($H497&gt;TIME(0,5,0),Translation!$A$6,IF($M497,Translation!$A$7,$K497))))))),Translation!$A$7)</f>
        <v/>
      </c>
      <c r="F497" s="27"/>
      <c r="G497" s="28"/>
      <c r="H497" s="29"/>
    </row>
    <row r="498">
      <c r="D498" s="14"/>
      <c r="E498" s="26" t="str">
        <f>IFERROR(IF($A498="",,IF($I498="",Translation!$A$2,IF($L498="",Translation!$A$3,IF($N498&lt;&gt;$B498,Translation!$A$4,IF(IFERROR($F498,)="",Translation!$A$5,IF($H498&gt;TIME(0,5,0),Translation!$A$6,IF($M498,Translation!$A$7,$K498))))))),Translation!$A$7)</f>
        <v/>
      </c>
      <c r="F498" s="27"/>
      <c r="G498" s="28"/>
      <c r="H498" s="29"/>
    </row>
    <row r="499">
      <c r="D499" s="14"/>
      <c r="E499" s="26" t="str">
        <f>IFERROR(IF($A499="",,IF($I499="",Translation!$A$2,IF($L499="",Translation!$A$3,IF($N499&lt;&gt;$B499,Translation!$A$4,IF(IFERROR($F499,)="",Translation!$A$5,IF($H499&gt;TIME(0,5,0),Translation!$A$6,IF($M499,Translation!$A$7,$K499))))))),Translation!$A$7)</f>
        <v/>
      </c>
      <c r="F499" s="27"/>
      <c r="G499" s="28"/>
      <c r="H499" s="29"/>
    </row>
    <row r="500">
      <c r="D500" s="14"/>
      <c r="E500" s="26" t="str">
        <f>IFERROR(IF($A500="",,IF($I500="",Translation!$A$2,IF($L500="",Translation!$A$3,IF($N500&lt;&gt;$B500,Translation!$A$4,IF(IFERROR($F500,)="",Translation!$A$5,IF($H500&gt;TIME(0,5,0),Translation!$A$6,IF($M500,Translation!$A$7,$K500))))))),Translation!$A$7)</f>
        <v/>
      </c>
      <c r="F500" s="27"/>
      <c r="G500" s="28"/>
      <c r="H500" s="29"/>
    </row>
    <row r="501">
      <c r="D501" s="14"/>
      <c r="E501" s="26" t="str">
        <f>IFERROR(IF($A501="",,IF($I501="",Translation!$A$2,IF($L501="",Translation!$A$3,IF($N501&lt;&gt;$B501,Translation!$A$4,IF(IFERROR($F501,)="",Translation!$A$5,IF($H501&gt;TIME(0,5,0),Translation!$A$6,IF($M501,Translation!$A$7,$K501))))))),Translation!$A$7)</f>
        <v/>
      </c>
      <c r="F501" s="27"/>
      <c r="G501" s="28"/>
      <c r="H501" s="29"/>
    </row>
    <row r="502">
      <c r="D502" s="14"/>
      <c r="E502" s="26" t="str">
        <f>IFERROR(IF($A502="",,IF($I502="",Translation!$A$2,IF($L502="",Translation!$A$3,IF($N502&lt;&gt;$B502,Translation!$A$4,IF(IFERROR($F502,)="",Translation!$A$5,IF($H502&gt;TIME(0,5,0),Translation!$A$6,IF($M502,Translation!$A$7,$K502))))))),Translation!$A$7)</f>
        <v/>
      </c>
      <c r="F502" s="27"/>
      <c r="G502" s="28"/>
      <c r="H502" s="29"/>
    </row>
    <row r="503">
      <c r="D503" s="14"/>
      <c r="E503" s="26" t="str">
        <f>IFERROR(IF($A503="",,IF($I503="",Translation!$A$2,IF($L503="",Translation!$A$3,IF($N503&lt;&gt;$B503,Translation!$A$4,IF(IFERROR($F503,)="",Translation!$A$5,IF($H503&gt;TIME(0,5,0),Translation!$A$6,IF($M503,Translation!$A$7,$K503))))))),Translation!$A$7)</f>
        <v/>
      </c>
      <c r="F503" s="27"/>
      <c r="G503" s="28"/>
      <c r="H503" s="29"/>
    </row>
    <row r="504">
      <c r="D504" s="14"/>
      <c r="E504" s="26" t="str">
        <f>IFERROR(IF($A504="",,IF($I504="",Translation!$A$2,IF($L504="",Translation!$A$3,IF($N504&lt;&gt;$B504,Translation!$A$4,IF(IFERROR($F504,)="",Translation!$A$5,IF($H504&gt;TIME(0,5,0),Translation!$A$6,IF($M504,Translation!$A$7,$K504))))))),Translation!$A$7)</f>
        <v/>
      </c>
      <c r="F504" s="27"/>
      <c r="G504" s="28"/>
      <c r="H504" s="29"/>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3" width="38.75"/>
  </cols>
  <sheetData>
    <row r="1">
      <c r="A1" s="30" t="s">
        <v>36</v>
      </c>
      <c r="B1" s="31" t="s">
        <v>37</v>
      </c>
      <c r="C1" s="31" t="s">
        <v>38</v>
      </c>
    </row>
    <row r="2">
      <c r="A2" s="32" t="s">
        <v>39</v>
      </c>
      <c r="B2" s="32" t="s">
        <v>40</v>
      </c>
      <c r="C2" s="32" t="s">
        <v>41</v>
      </c>
    </row>
    <row r="3">
      <c r="A3" s="32" t="s">
        <v>42</v>
      </c>
      <c r="B3" s="32" t="s">
        <v>43</v>
      </c>
      <c r="C3" s="32" t="s">
        <v>44</v>
      </c>
    </row>
    <row r="4">
      <c r="A4" s="32" t="s">
        <v>45</v>
      </c>
      <c r="B4" s="32" t="s">
        <v>46</v>
      </c>
      <c r="C4" s="32" t="s">
        <v>47</v>
      </c>
    </row>
    <row r="5">
      <c r="A5" s="32" t="s">
        <v>48</v>
      </c>
      <c r="B5" s="32" t="s">
        <v>49</v>
      </c>
      <c r="C5" s="32" t="s">
        <v>50</v>
      </c>
    </row>
    <row r="6">
      <c r="A6" s="32" t="s">
        <v>51</v>
      </c>
      <c r="B6" s="32" t="s">
        <v>52</v>
      </c>
      <c r="C6" s="32" t="s">
        <v>53</v>
      </c>
    </row>
    <row r="7">
      <c r="A7" s="33" t="s">
        <v>54</v>
      </c>
      <c r="B7" s="33" t="s">
        <v>55</v>
      </c>
      <c r="C7" s="33" t="s">
        <v>56</v>
      </c>
    </row>
    <row r="8">
      <c r="A8" s="34" t="s">
        <v>57</v>
      </c>
      <c r="B8" s="34" t="s">
        <v>58</v>
      </c>
      <c r="C8" s="34" t="s">
        <v>59</v>
      </c>
    </row>
    <row r="9">
      <c r="A9" s="32" t="s">
        <v>60</v>
      </c>
      <c r="B9" s="32" t="s">
        <v>61</v>
      </c>
      <c r="C9" s="32" t="s">
        <v>62</v>
      </c>
    </row>
    <row r="10">
      <c r="A10" s="32" t="s">
        <v>63</v>
      </c>
      <c r="B10" s="32" t="s">
        <v>64</v>
      </c>
      <c r="C10" s="32" t="s">
        <v>65</v>
      </c>
    </row>
    <row r="11">
      <c r="A11" s="32" t="s">
        <v>66</v>
      </c>
      <c r="B11" s="32" t="s">
        <v>67</v>
      </c>
      <c r="C11" s="32" t="s">
        <v>68</v>
      </c>
    </row>
    <row r="12">
      <c r="A12" s="32" t="s">
        <v>69</v>
      </c>
      <c r="B12" s="32" t="s">
        <v>70</v>
      </c>
      <c r="C12" s="32" t="s">
        <v>71</v>
      </c>
    </row>
    <row r="13">
      <c r="A13" s="32" t="s">
        <v>72</v>
      </c>
      <c r="B13" s="32" t="s">
        <v>73</v>
      </c>
      <c r="C13" s="32" t="s">
        <v>74</v>
      </c>
    </row>
    <row r="14">
      <c r="A14" s="32" t="s">
        <v>75</v>
      </c>
      <c r="B14" s="32" t="s">
        <v>76</v>
      </c>
      <c r="C14" s="32" t="s">
        <v>77</v>
      </c>
    </row>
    <row r="15">
      <c r="A15" s="32" t="s">
        <v>78</v>
      </c>
      <c r="B15" s="14" t="s">
        <v>79</v>
      </c>
      <c r="C15" s="14" t="s">
        <v>80</v>
      </c>
    </row>
    <row r="16">
      <c r="A16" s="32" t="s">
        <v>81</v>
      </c>
      <c r="B16" s="32" t="s">
        <v>82</v>
      </c>
      <c r="C16" s="32" t="s">
        <v>83</v>
      </c>
    </row>
    <row r="17">
      <c r="A17" s="34" t="s">
        <v>84</v>
      </c>
      <c r="B17" s="34" t="s">
        <v>85</v>
      </c>
      <c r="C17" s="34" t="s">
        <v>86</v>
      </c>
    </row>
    <row r="18">
      <c r="A18" s="32" t="s">
        <v>87</v>
      </c>
      <c r="B18" s="32" t="s">
        <v>88</v>
      </c>
      <c r="C18" s="32" t="s">
        <v>89</v>
      </c>
    </row>
    <row r="19">
      <c r="A19" s="14" t="s">
        <v>90</v>
      </c>
      <c r="B19" s="14" t="s">
        <v>91</v>
      </c>
      <c r="C19" s="14" t="s">
        <v>92</v>
      </c>
    </row>
    <row r="20">
      <c r="A20" s="14" t="s">
        <v>93</v>
      </c>
      <c r="B20" s="14" t="s">
        <v>94</v>
      </c>
      <c r="C20" s="14" t="s">
        <v>95</v>
      </c>
    </row>
    <row r="21">
      <c r="A21" s="14" t="s">
        <v>96</v>
      </c>
      <c r="B21" s="14" t="s">
        <v>97</v>
      </c>
      <c r="C21" s="14" t="s">
        <v>98</v>
      </c>
    </row>
    <row r="22">
      <c r="A22" s="32" t="s">
        <v>99</v>
      </c>
      <c r="B22" s="14" t="s">
        <v>100</v>
      </c>
      <c r="C22" s="14" t="s">
        <v>101</v>
      </c>
    </row>
    <row r="23">
      <c r="A23" s="35" t="s">
        <v>102</v>
      </c>
      <c r="B23" s="35" t="s">
        <v>103</v>
      </c>
      <c r="C23" s="36" t="s">
        <v>104</v>
      </c>
    </row>
    <row r="24">
      <c r="A24" s="35" t="s">
        <v>104</v>
      </c>
      <c r="B24" s="35" t="s">
        <v>102</v>
      </c>
      <c r="C24" s="36" t="s">
        <v>102</v>
      </c>
    </row>
  </sheetData>
  <drawing r:id="rId2"/>
  <legacy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3" width="11.13"/>
  </cols>
  <sheetData>
    <row r="1">
      <c r="A1" s="37" t="str">
        <f>IFERROR(__xludf.DUMMYFUNCTION("IMPORTRANGE(""https://docs.google.com/spreadsheets/d/1enXnuwZExO92B5FxPB8s2Rhqlxl1p9nUY9tRaHtV1kI"",""Token!$A1:$C4"")"),"Token")</f>
        <v>Token</v>
      </c>
      <c r="B1" s="1" t="str">
        <f>IFERROR(__xludf.DUMMYFUNCTION("""COMPUTED_VALUE"""),"Name")</f>
        <v>Name</v>
      </c>
      <c r="C1" s="37" t="str">
        <f>IFERROR(__xludf.DUMMYFUNCTION("""COMPUTED_VALUE"""),"Value")</f>
        <v>Value</v>
      </c>
    </row>
    <row r="2">
      <c r="A2" s="6" t="str">
        <f>IFERROR(__xludf.DUMMYFUNCTION("""COMPUTED_VALUE"""),"€")</f>
        <v>€</v>
      </c>
      <c r="B2" s="6" t="str">
        <f>IFERROR(__xludf.DUMMYFUNCTION("""COMPUTED_VALUE"""),"Euro")</f>
        <v>Euro</v>
      </c>
      <c r="C2" s="27">
        <f>IFERROR(__xludf.DUMMYFUNCTION("""COMPUTED_VALUE"""),1.0)</f>
        <v>1</v>
      </c>
    </row>
    <row r="3">
      <c r="A3" s="6" t="str">
        <f>IFERROR(__xludf.DUMMYFUNCTION("""COMPUTED_VALUE"""),"USDC")</f>
        <v>USDC</v>
      </c>
      <c r="B3" s="6" t="str">
        <f>IFERROR(__xludf.DUMMYFUNCTION("""COMPUTED_VALUE"""),"Dollar (Circle)")</f>
        <v>Dollar (Circle)</v>
      </c>
      <c r="C3" s="38">
        <f>IFERROR(__xludf.DUMMYFUNCTION("""COMPUTED_VALUE"""),0.93)</f>
        <v>0.93</v>
      </c>
    </row>
    <row r="4">
      <c r="A4" s="6" t="str">
        <f>IFERROR(__xludf.DUMMYFUNCTION("""COMPUTED_VALUE"""),"USDT")</f>
        <v>USDT</v>
      </c>
      <c r="B4" s="6" t="str">
        <f>IFERROR(__xludf.DUMMYFUNCTION("""COMPUTED_VALUE"""),"Dollar (Tether)")</f>
        <v>Dollar (Tether)</v>
      </c>
      <c r="C4" s="38">
        <f>IFERROR(__xludf.DUMMYFUNCTION("""COMPUTED_VALUE"""),0.93)</f>
        <v>0.93</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75"/>
    <col customWidth="1" min="7" max="7" width="12.63"/>
  </cols>
  <sheetData>
    <row r="1">
      <c r="A1" s="1" t="s">
        <v>4</v>
      </c>
      <c r="B1" s="1" t="s">
        <v>5</v>
      </c>
      <c r="C1" s="1" t="s">
        <v>6</v>
      </c>
      <c r="D1" s="1" t="s">
        <v>7</v>
      </c>
      <c r="E1" s="1" t="s">
        <v>8</v>
      </c>
      <c r="F1" s="11" t="s">
        <v>9</v>
      </c>
      <c r="G1" s="14">
        <v>1.0</v>
      </c>
      <c r="H1" s="14" t="s">
        <v>105</v>
      </c>
      <c r="I1" s="6" t="s">
        <v>106</v>
      </c>
      <c r="J1" s="6" t="s">
        <v>107</v>
      </c>
      <c r="K1" s="6" t="s">
        <v>108</v>
      </c>
      <c r="L1" s="6" t="s">
        <v>109</v>
      </c>
    </row>
    <row r="2">
      <c r="A2" s="39" t="str">
        <f>IF(AND($L2*1&gt;=$G$3,$L2*1&lt;=$G$4,$I2*$J2&gt;0,OR($I2&lt;&gt;$I3,$L2-$L3&gt;25),$I2/POW(10,$J2)*MAXIFS(Token!$B:$B,Token!$A:$A,$K2)&gt;0.01),$L2/86400+DATE(1970,1,1)+$G$6,)</f>
        <v/>
      </c>
      <c r="B2" s="27" t="str">
        <f t="shared" ref="B2:B1000" si="1">IF($A2&lt;&gt;"",$E2*$F2,)</f>
        <v/>
      </c>
      <c r="C2" s="14" t="str">
        <f>IF($A2&lt;&gt;"",MINIFS(Merchant!$A:$A,Merchant!$B:$B,$G$2),)</f>
        <v/>
      </c>
      <c r="D2" s="14" t="str">
        <f t="shared" ref="D2:D1000" si="2">IF($A2&lt;&gt;"",$K2,)</f>
        <v/>
      </c>
      <c r="E2" s="14" t="str">
        <f t="shared" ref="E2:E1000" si="3">IF($A2&lt;&gt;"",$I2/POW(10,$J2),)</f>
        <v/>
      </c>
      <c r="F2" s="7" t="str">
        <f>IF($A2&lt;&gt;"",MAXIFS(Token!$B:$B,Token!$A:$A,$D2),)</f>
        <v/>
      </c>
      <c r="G2" s="14" t="str">
        <f>VLOOKUP($G1,Merchant!$A:$B,2)</f>
        <v>#N/A</v>
      </c>
      <c r="H2" s="6" t="str">
        <f>IFERROR(__xludf.DUMMYFUNCTION("IF(AND($G$11,$G$1&gt;1,INDEX(I:I,ROW()-1)&lt;&gt;""""),ImportJSON(""https://public-api.solscan.io/account/splTransfers?account=""&amp;$G$2&amp;IF($G$5,""&amp;fromTime=""&amp;TO_TEXT($G$3)&amp;""&amp;toTime=""&amp;TO_TEXT($G$4),)&amp;""&amp;offset=""&amp;ROW()-2&amp;""&amp;limit=50""&amp;$G$7,TEXTJOIN("","",1,$H$1:$"&amp;"L$1),""noHeaders""),)"),"")</f>
        <v/>
      </c>
    </row>
    <row r="3">
      <c r="A3" s="39" t="str">
        <f>IF(AND($L3*1&gt;=$G$3,$L3*1&lt;=$G$4,$I3*$J3&gt;0,OR($I3&lt;&gt;$I4,$L3-$L4&gt;25),$I3/POW(10,$J3)*MAXIFS(Token!$B:$B,Token!$A:$A,$K3)&gt;0.01),$L3/86400+DATE(1970,1,1)+$G$6,)</f>
        <v/>
      </c>
      <c r="B3" s="27" t="str">
        <f t="shared" si="1"/>
        <v/>
      </c>
      <c r="C3" s="14" t="str">
        <f>IF($A3&lt;&gt;"",MINIFS(Merchant!$A:$A,Merchant!$B:$B,$G$2),)</f>
        <v/>
      </c>
      <c r="D3" s="14" t="str">
        <f t="shared" si="2"/>
        <v/>
      </c>
      <c r="E3" s="14" t="str">
        <f t="shared" si="3"/>
        <v/>
      </c>
      <c r="F3" s="7" t="str">
        <f>IF($A3&lt;&gt;"",MAXIFS(Token!$B:$B,Token!$A:$A,$D3),)</f>
        <v/>
      </c>
      <c r="G3" s="6">
        <f>IFERROR((VLOOKUP($G$1,Merchant!$A:$M,10)-DATE(1970,1,1)-IF($G$6&lt;&gt;"",$G$6,0))*86400,0)</f>
        <v>0</v>
      </c>
    </row>
    <row r="4">
      <c r="A4" s="39" t="str">
        <f>IF(AND($L4*1&gt;=$G$3,$L4*1&lt;=$G$4,$I4*$J4&gt;0,OR($I4&lt;&gt;$I5,$L4-$L5&gt;25),$I4/POW(10,$J4)*MAXIFS(Token!$B:$B,Token!$A:$A,$K4)&gt;0.01),$L4/86400+DATE(1970,1,1)+$G$6,)</f>
        <v/>
      </c>
      <c r="B4" s="27" t="str">
        <f t="shared" si="1"/>
        <v/>
      </c>
      <c r="C4" s="14" t="str">
        <f>IF($A4&lt;&gt;"",MINIFS(Merchant!$A:$A,Merchant!$B:$B,$G$2),)</f>
        <v/>
      </c>
      <c r="D4" s="14" t="str">
        <f t="shared" si="2"/>
        <v/>
      </c>
      <c r="E4" s="14" t="str">
        <f t="shared" si="3"/>
        <v/>
      </c>
      <c r="F4" s="7" t="str">
        <f>IF($A4&lt;&gt;"",MAXIFS(Token!$B:$B,Token!$A:$A,$D4),)</f>
        <v/>
      </c>
      <c r="G4" s="6">
        <f>IFERROR((MAX(VLOOKUP($G$1,Merchant!$A:$M,10),VLOOKUP($G$1,Merchant!$A:$M,11))-DATE(1970,1,1)-IF($G$6&lt;&gt;"",$G$6,0))*86400,0)</f>
        <v>0</v>
      </c>
    </row>
    <row r="5">
      <c r="A5" s="39" t="str">
        <f>IF(AND($L5*1&gt;=$G$3,$L5*1&lt;=$G$4,$I5*$J5&gt;0,OR($I5&lt;&gt;$I6,$L5-$L6&gt;25),$I5/POW(10,$J5)*MAXIFS(Token!$B:$B,Token!$A:$A,$K5)&gt;0.01),$L5/86400+DATE(1970,1,1)+$G$6,)</f>
        <v/>
      </c>
      <c r="B5" s="27" t="str">
        <f t="shared" si="1"/>
        <v/>
      </c>
      <c r="C5" s="14" t="str">
        <f>IF($A5&lt;&gt;"",MINIFS(Merchant!$A:$A,Merchant!$B:$B,$G$2),)</f>
        <v/>
      </c>
      <c r="D5" s="14" t="str">
        <f t="shared" si="2"/>
        <v/>
      </c>
      <c r="E5" s="14" t="str">
        <f t="shared" si="3"/>
        <v/>
      </c>
      <c r="F5" s="7" t="str">
        <f>IF($A5&lt;&gt;"",MAXIFS(Token!$B:$B,Token!$A:$A,$D5),)</f>
        <v/>
      </c>
      <c r="G5" s="40" t="b">
        <f>FALSE</f>
        <v>0</v>
      </c>
    </row>
    <row r="6">
      <c r="A6" s="39" t="str">
        <f>IF(AND($L6*1&gt;=$G$3,$L6*1&lt;=$G$4,$I6*$J6&gt;0,OR($I6&lt;&gt;$I7,$L6-$L7&gt;25),$I6/POW(10,$J6)*MAXIFS(Token!$B:$B,Token!$A:$A,$K6)&gt;0.01),$L6/86400+DATE(1970,1,1)+$G$6,)</f>
        <v/>
      </c>
      <c r="B6" s="27" t="str">
        <f t="shared" si="1"/>
        <v/>
      </c>
      <c r="C6" s="14" t="str">
        <f>IF($A6&lt;&gt;"",MINIFS(Merchant!$A:$A,Merchant!$B:$B,$G$2),)</f>
        <v/>
      </c>
      <c r="D6" s="14" t="str">
        <f t="shared" si="2"/>
        <v/>
      </c>
      <c r="E6" s="14" t="str">
        <f t="shared" si="3"/>
        <v/>
      </c>
      <c r="F6" s="7" t="str">
        <f>IF($A6&lt;&gt;"",MAXIFS(Token!$B:$B,Token!$A:$A,$D6),)</f>
        <v/>
      </c>
      <c r="G6" s="41">
        <f>TIME(2,0,0)</f>
        <v>0.08333333333</v>
      </c>
    </row>
    <row r="7">
      <c r="A7" s="39" t="str">
        <f>IF(AND($L7*1&gt;=$G$3,$L7*1&lt;=$G$4,$I7*$J7&gt;0,OR($I7&lt;&gt;$I8,$L7-$L8&gt;25),$I7/POW(10,$J7)*MAXIFS(Token!$B:$B,Token!$A:$A,$K7)&gt;0.01),$L7/86400+DATE(1970,1,1)+$G$6,)</f>
        <v/>
      </c>
      <c r="B7" s="27" t="str">
        <f t="shared" si="1"/>
        <v/>
      </c>
      <c r="C7" s="14" t="str">
        <f>IF($A7&lt;&gt;"",MINIFS(Merchant!$A:$A,Merchant!$B:$B,$G$2),)</f>
        <v/>
      </c>
      <c r="D7" s="14" t="str">
        <f t="shared" si="2"/>
        <v/>
      </c>
      <c r="E7" s="14" t="str">
        <f t="shared" si="3"/>
        <v/>
      </c>
      <c r="F7" s="7" t="str">
        <f>IF($A7&lt;&gt;"",MAXIFS(Token!$B:$B,Token!$A:$A,$D7),)</f>
        <v/>
      </c>
      <c r="G7" s="14" t="s">
        <v>103</v>
      </c>
    </row>
    <row r="8">
      <c r="A8" s="39" t="str">
        <f>IF(AND($L8*1&gt;=$G$3,$L8*1&lt;=$G$4,$I8*$J8&gt;0,OR($I8&lt;&gt;$I9,$L8-$L9&gt;25),$I8/POW(10,$J8)*MAXIFS(Token!$B:$B,Token!$A:$A,$K8)&gt;0.01),$L8/86400+DATE(1970,1,1)+$G$6,)</f>
        <v/>
      </c>
      <c r="B8" s="27" t="str">
        <f t="shared" si="1"/>
        <v/>
      </c>
      <c r="C8" s="14" t="str">
        <f>IF($A8&lt;&gt;"",MINIFS(Merchant!$A:$A,Merchant!$B:$B,$G$2),)</f>
        <v/>
      </c>
      <c r="D8" s="14" t="str">
        <f t="shared" si="2"/>
        <v/>
      </c>
      <c r="E8" s="14" t="str">
        <f t="shared" si="3"/>
        <v/>
      </c>
      <c r="F8" s="7" t="str">
        <f>IF($A8&lt;&gt;"",MAXIFS(Token!$B:$B,Token!$A:$A,$D8),)</f>
        <v/>
      </c>
      <c r="G8" s="6" t="b">
        <f>COUNTIF(OFFSET($A:$A,1,0),"&lt;&gt;")&lt;&gt;COUNTIF(Transactions!$C:$C,$G$1)</f>
        <v>0</v>
      </c>
    </row>
    <row r="9">
      <c r="A9" s="39" t="str">
        <f>IF(AND($L9*1&gt;=$G$3,$L9*1&lt;=$G$4,$I9*$J9&gt;0,OR($I9&lt;&gt;$I10,$L9-$L10&gt;25),$I9/POW(10,$J9)*MAXIFS(Token!$B:$B,Token!$A:$A,$K9)&gt;0.01),$L9/86400+DATE(1970,1,1)+$G$6,)</f>
        <v/>
      </c>
      <c r="B9" s="27" t="str">
        <f t="shared" si="1"/>
        <v/>
      </c>
      <c r="C9" s="14" t="str">
        <f>IF($A9&lt;&gt;"",MINIFS(Merchant!$A:$A,Merchant!$B:$B,$G$2),)</f>
        <v/>
      </c>
      <c r="D9" s="14" t="str">
        <f t="shared" si="2"/>
        <v/>
      </c>
      <c r="E9" s="14" t="str">
        <f t="shared" si="3"/>
        <v/>
      </c>
      <c r="F9" s="7" t="str">
        <f>IF($A9&lt;&gt;"",MAXIFS(Token!$B:$B,Token!$A:$A,$D9),)</f>
        <v/>
      </c>
      <c r="G9" s="42">
        <f>TODAY()+TIME(7,0,0)</f>
        <v>44933.29167</v>
      </c>
    </row>
    <row r="10">
      <c r="A10" s="39" t="str">
        <f>IF(AND($L10*1&gt;=$G$3,$L10*1&lt;=$G$4,$I10*$J10&gt;0,OR($I10&lt;&gt;$I11,$L10-$L11&gt;25),$I10/POW(10,$J10)*MAXIFS(Token!$B:$B,Token!$A:$A,$K10)&gt;0.01),$L10/86400+DATE(1970,1,1)+$G$6,)</f>
        <v/>
      </c>
      <c r="B10" s="27" t="str">
        <f t="shared" si="1"/>
        <v/>
      </c>
      <c r="C10" s="14" t="str">
        <f>IF($A10&lt;&gt;"",MINIFS(Merchant!$A:$A,Merchant!$B:$B,$G$2),)</f>
        <v/>
      </c>
      <c r="D10" s="14" t="str">
        <f t="shared" si="2"/>
        <v/>
      </c>
      <c r="E10" s="14" t="str">
        <f t="shared" si="3"/>
        <v/>
      </c>
      <c r="F10" s="7" t="str">
        <f>IF($A10&lt;&gt;"",MAXIFS(Token!$B:$B,Token!$A:$A,$D10),)</f>
        <v/>
      </c>
      <c r="G10" s="42">
        <f>TODAY()+TIME(22,0,0)</f>
        <v>44933.91667</v>
      </c>
    </row>
    <row r="11">
      <c r="A11" s="39" t="str">
        <f>IF(AND($L11*1&gt;=$G$3,$L11*1&lt;=$G$4,$I11*$J11&gt;0,OR($I11&lt;&gt;$I12,$L11-$L12&gt;25),$I11/POW(10,$J11)*MAXIFS(Token!$B:$B,Token!$A:$A,$K11)&gt;0.01),$L11/86400+DATE(1970,1,1)+$G$6,)</f>
        <v/>
      </c>
      <c r="B11" s="27" t="str">
        <f t="shared" si="1"/>
        <v/>
      </c>
      <c r="C11" s="14" t="str">
        <f>IF($A11&lt;&gt;"",MINIFS(Merchant!$A:$A,Merchant!$B:$B,$G$2),)</f>
        <v/>
      </c>
      <c r="D11" s="14" t="str">
        <f t="shared" si="2"/>
        <v/>
      </c>
      <c r="E11" s="14" t="str">
        <f t="shared" si="3"/>
        <v/>
      </c>
      <c r="F11" s="7" t="str">
        <f>IF($A11&lt;&gt;"",MAXIFS(Token!$B:$B,Token!$A:$A,$D11),)</f>
        <v/>
      </c>
      <c r="G11" s="6" t="b">
        <f>OR(TRUE,AND(NOW()&gt;$G$9,NOW()&lt;=$G$10))</f>
        <v>1</v>
      </c>
    </row>
    <row r="12">
      <c r="A12" s="39" t="str">
        <f>IF(AND($L12*1&gt;=$G$3,$L12*1&lt;=$G$4,$I12*$J12&gt;0,OR($I12&lt;&gt;$I13,$L12-$L13&gt;25),$I12/POW(10,$J12)*MAXIFS(Token!$B:$B,Token!$A:$A,$K12)&gt;0.01),$L12/86400+DATE(1970,1,1)+$G$6,)</f>
        <v/>
      </c>
      <c r="B12" s="27" t="str">
        <f t="shared" si="1"/>
        <v/>
      </c>
      <c r="C12" s="14" t="str">
        <f>IF($A12&lt;&gt;"",MINIFS(Merchant!$A:$A,Merchant!$B:$B,$G$2),)</f>
        <v/>
      </c>
      <c r="D12" s="14" t="str">
        <f t="shared" si="2"/>
        <v/>
      </c>
      <c r="E12" s="14" t="str">
        <f t="shared" si="3"/>
        <v/>
      </c>
      <c r="F12" s="7" t="str">
        <f>IF($A12&lt;&gt;"",MAXIFS(Token!$B:$B,Token!$A:$A,$D12),)</f>
        <v/>
      </c>
    </row>
    <row r="13">
      <c r="A13" s="39" t="str">
        <f>IF(AND($L13*1&gt;=$G$3,$L13*1&lt;=$G$4,$I13*$J13&gt;0,OR($I13&lt;&gt;$I14,$L13-$L14&gt;25),$I13/POW(10,$J13)*MAXIFS(Token!$B:$B,Token!$A:$A,$K13)&gt;0.01),$L13/86400+DATE(1970,1,1)+$G$6,)</f>
        <v/>
      </c>
      <c r="B13" s="27" t="str">
        <f t="shared" si="1"/>
        <v/>
      </c>
      <c r="C13" s="14" t="str">
        <f>IF($A13&lt;&gt;"",MINIFS(Merchant!$A:$A,Merchant!$B:$B,$G$2),)</f>
        <v/>
      </c>
      <c r="D13" s="14" t="str">
        <f t="shared" si="2"/>
        <v/>
      </c>
      <c r="E13" s="14" t="str">
        <f t="shared" si="3"/>
        <v/>
      </c>
      <c r="F13" s="7" t="str">
        <f>IF($A13&lt;&gt;"",MAXIFS(Token!$B:$B,Token!$A:$A,$D13),)</f>
        <v/>
      </c>
    </row>
    <row r="14">
      <c r="A14" s="39" t="str">
        <f>IF(AND($L14*1&gt;=$G$3,$L14*1&lt;=$G$4,$I14*$J14&gt;0,OR($I14&lt;&gt;$I15,$L14-$L15&gt;25),$I14/POW(10,$J14)*MAXIFS(Token!$B:$B,Token!$A:$A,$K14)&gt;0.01),$L14/86400+DATE(1970,1,1)+$G$6,)</f>
        <v/>
      </c>
      <c r="B14" s="27" t="str">
        <f t="shared" si="1"/>
        <v/>
      </c>
      <c r="C14" s="14" t="str">
        <f>IF($A14&lt;&gt;"",MINIFS(Merchant!$A:$A,Merchant!$B:$B,$G$2),)</f>
        <v/>
      </c>
      <c r="D14" s="14" t="str">
        <f t="shared" si="2"/>
        <v/>
      </c>
      <c r="E14" s="14" t="str">
        <f t="shared" si="3"/>
        <v/>
      </c>
      <c r="F14" s="7" t="str">
        <f>IF($A14&lt;&gt;"",MAXIFS(Token!$B:$B,Token!$A:$A,$D14),)</f>
        <v/>
      </c>
    </row>
    <row r="15">
      <c r="A15" s="39" t="str">
        <f>IF(AND($L15*1&gt;=$G$3,$L15*1&lt;=$G$4,$I15*$J15&gt;0,OR($I15&lt;&gt;$I16,$L15-$L16&gt;25),$I15/POW(10,$J15)*MAXIFS(Token!$B:$B,Token!$A:$A,$K15)&gt;0.01),$L15/86400+DATE(1970,1,1)+$G$6,)</f>
        <v/>
      </c>
      <c r="B15" s="27" t="str">
        <f t="shared" si="1"/>
        <v/>
      </c>
      <c r="C15" s="14" t="str">
        <f>IF($A15&lt;&gt;"",MINIFS(Merchant!$A:$A,Merchant!$B:$B,$G$2),)</f>
        <v/>
      </c>
      <c r="D15" s="14" t="str">
        <f t="shared" si="2"/>
        <v/>
      </c>
      <c r="E15" s="14" t="str">
        <f t="shared" si="3"/>
        <v/>
      </c>
      <c r="F15" s="7" t="str">
        <f>IF($A15&lt;&gt;"",MAXIFS(Token!$B:$B,Token!$A:$A,$D15),)</f>
        <v/>
      </c>
      <c r="G15" s="39"/>
    </row>
    <row r="16">
      <c r="A16" s="39" t="str">
        <f>IF(AND($L16*1&gt;=$G$3,$L16*1&lt;=$G$4,$I16*$J16&gt;0,OR($I16&lt;&gt;$I17,$L16-$L17&gt;25),$I16/POW(10,$J16)*MAXIFS(Token!$B:$B,Token!$A:$A,$K16)&gt;0.01),$L16/86400+DATE(1970,1,1)+$G$6,)</f>
        <v/>
      </c>
      <c r="B16" s="27" t="str">
        <f t="shared" si="1"/>
        <v/>
      </c>
      <c r="C16" s="14" t="str">
        <f>IF($A16&lt;&gt;"",MINIFS(Merchant!$A:$A,Merchant!$B:$B,$G$2),)</f>
        <v/>
      </c>
      <c r="D16" s="14" t="str">
        <f t="shared" si="2"/>
        <v/>
      </c>
      <c r="E16" s="14" t="str">
        <f t="shared" si="3"/>
        <v/>
      </c>
      <c r="F16" s="7" t="str">
        <f>IF($A16&lt;&gt;"",MAXIFS(Token!$B:$B,Token!$A:$A,$D16),)</f>
        <v/>
      </c>
    </row>
    <row r="17">
      <c r="A17" s="39" t="str">
        <f>IF(AND($L17*1&gt;=$G$3,$L17*1&lt;=$G$4,$I17*$J17&gt;0,OR($I17&lt;&gt;$I18,$L17-$L18&gt;25),$I17/POW(10,$J17)*MAXIFS(Token!$B:$B,Token!$A:$A,$K17)&gt;0.01),$L17/86400+DATE(1970,1,1)+$G$6,)</f>
        <v/>
      </c>
      <c r="B17" s="27" t="str">
        <f t="shared" si="1"/>
        <v/>
      </c>
      <c r="C17" s="14" t="str">
        <f>IF($A17&lt;&gt;"",MINIFS(Merchant!$A:$A,Merchant!$B:$B,$G$2),)</f>
        <v/>
      </c>
      <c r="D17" s="14" t="str">
        <f t="shared" si="2"/>
        <v/>
      </c>
      <c r="E17" s="14" t="str">
        <f t="shared" si="3"/>
        <v/>
      </c>
      <c r="F17" s="7" t="str">
        <f>IF($A17&lt;&gt;"",MAXIFS(Token!$B:$B,Token!$A:$A,$D17),)</f>
        <v/>
      </c>
    </row>
    <row r="18">
      <c r="A18" s="39" t="str">
        <f>IF(AND($L18*1&gt;=$G$3,$L18*1&lt;=$G$4,$I18*$J18&gt;0,OR($I18&lt;&gt;$I19,$L18-$L19&gt;25),$I18/POW(10,$J18)*MAXIFS(Token!$B:$B,Token!$A:$A,$K18)&gt;0.01),$L18/86400+DATE(1970,1,1)+$G$6,)</f>
        <v/>
      </c>
      <c r="B18" s="27" t="str">
        <f t="shared" si="1"/>
        <v/>
      </c>
      <c r="C18" s="14" t="str">
        <f>IF($A18&lt;&gt;"",MINIFS(Merchant!$A:$A,Merchant!$B:$B,$G$2),)</f>
        <v/>
      </c>
      <c r="D18" s="14" t="str">
        <f t="shared" si="2"/>
        <v/>
      </c>
      <c r="E18" s="14" t="str">
        <f t="shared" si="3"/>
        <v/>
      </c>
      <c r="F18" s="7" t="str">
        <f>IF($A18&lt;&gt;"",MAXIFS(Token!$B:$B,Token!$A:$A,$D18),)</f>
        <v/>
      </c>
    </row>
    <row r="19">
      <c r="A19" s="39" t="str">
        <f>IF(AND($L19*1&gt;=$G$3,$L19*1&lt;=$G$4,$I19*$J19&gt;0,OR($I19&lt;&gt;$I20,$L19-$L20&gt;25),$I19/POW(10,$J19)*MAXIFS(Token!$B:$B,Token!$A:$A,$K19)&gt;0.01),$L19/86400+DATE(1970,1,1)+$G$6,)</f>
        <v/>
      </c>
      <c r="B19" s="27" t="str">
        <f t="shared" si="1"/>
        <v/>
      </c>
      <c r="C19" s="14" t="str">
        <f>IF($A19&lt;&gt;"",MINIFS(Merchant!$A:$A,Merchant!$B:$B,$G$2),)</f>
        <v/>
      </c>
      <c r="D19" s="14" t="str">
        <f t="shared" si="2"/>
        <v/>
      </c>
      <c r="E19" s="14" t="str">
        <f t="shared" si="3"/>
        <v/>
      </c>
      <c r="F19" s="7" t="str">
        <f>IF($A19&lt;&gt;"",MAXIFS(Token!$B:$B,Token!$A:$A,$D19),)</f>
        <v/>
      </c>
    </row>
    <row r="20">
      <c r="A20" s="39" t="str">
        <f>IF(AND($L20*1&gt;=$G$3,$L20*1&lt;=$G$4,$I20*$J20&gt;0,OR($I20&lt;&gt;$I21,$L20-$L21&gt;25),$I20/POW(10,$J20)*MAXIFS(Token!$B:$B,Token!$A:$A,$K20)&gt;0.01),$L20/86400+DATE(1970,1,1)+$G$6,)</f>
        <v/>
      </c>
      <c r="B20" s="27" t="str">
        <f t="shared" si="1"/>
        <v/>
      </c>
      <c r="C20" s="14" t="str">
        <f>IF($A20&lt;&gt;"",MINIFS(Merchant!$A:$A,Merchant!$B:$B,$G$2),)</f>
        <v/>
      </c>
      <c r="D20" s="14" t="str">
        <f t="shared" si="2"/>
        <v/>
      </c>
      <c r="E20" s="14" t="str">
        <f t="shared" si="3"/>
        <v/>
      </c>
      <c r="F20" s="7" t="str">
        <f>IF($A20&lt;&gt;"",MAXIFS(Token!$B:$B,Token!$A:$A,$D20),)</f>
        <v/>
      </c>
    </row>
    <row r="21">
      <c r="A21" s="39" t="str">
        <f>IF(AND($L21*1&gt;=$G$3,$L21*1&lt;=$G$4,$I21*$J21&gt;0,OR($I21&lt;&gt;$I22,$L21-$L22&gt;25),$I21/POW(10,$J21)*MAXIFS(Token!$B:$B,Token!$A:$A,$K21)&gt;0.01),$L21/86400+DATE(1970,1,1)+$G$6,)</f>
        <v/>
      </c>
      <c r="B21" s="27" t="str">
        <f t="shared" si="1"/>
        <v/>
      </c>
      <c r="C21" s="14" t="str">
        <f>IF($A21&lt;&gt;"",MINIFS(Merchant!$A:$A,Merchant!$B:$B,$G$2),)</f>
        <v/>
      </c>
      <c r="D21" s="14" t="str">
        <f t="shared" si="2"/>
        <v/>
      </c>
      <c r="E21" s="14" t="str">
        <f t="shared" si="3"/>
        <v/>
      </c>
      <c r="F21" s="7" t="str">
        <f>IF($A21&lt;&gt;"",MAXIFS(Token!$B:$B,Token!$A:$A,$D21),)</f>
        <v/>
      </c>
    </row>
    <row r="22">
      <c r="A22" s="39" t="str">
        <f>IF(AND($L22*1&gt;=$G$3,$L22*1&lt;=$G$4,$I22*$J22&gt;0,OR($I22&lt;&gt;$I23,$L22-$L23&gt;25),$I22/POW(10,$J22)*MAXIFS(Token!$B:$B,Token!$A:$A,$K22)&gt;0.01),$L22/86400+DATE(1970,1,1)+$G$6,)</f>
        <v/>
      </c>
      <c r="B22" s="27" t="str">
        <f t="shared" si="1"/>
        <v/>
      </c>
      <c r="C22" s="14" t="str">
        <f>IF($A22&lt;&gt;"",MINIFS(Merchant!$A:$A,Merchant!$B:$B,$G$2),)</f>
        <v/>
      </c>
      <c r="D22" s="14" t="str">
        <f t="shared" si="2"/>
        <v/>
      </c>
      <c r="E22" s="14" t="str">
        <f t="shared" si="3"/>
        <v/>
      </c>
      <c r="F22" s="7" t="str">
        <f>IF($A22&lt;&gt;"",MAXIFS(Token!$B:$B,Token!$A:$A,$D22),)</f>
        <v/>
      </c>
    </row>
    <row r="23">
      <c r="A23" s="39" t="str">
        <f>IF(AND($L23*1&gt;=$G$3,$L23*1&lt;=$G$4,$I23*$J23&gt;0,OR($I23&lt;&gt;$I24,$L23-$L24&gt;25),$I23/POW(10,$J23)*MAXIFS(Token!$B:$B,Token!$A:$A,$K23)&gt;0.01),$L23/86400+DATE(1970,1,1)+$G$6,)</f>
        <v/>
      </c>
      <c r="B23" s="27" t="str">
        <f t="shared" si="1"/>
        <v/>
      </c>
      <c r="C23" s="14" t="str">
        <f>IF($A23&lt;&gt;"",MINIFS(Merchant!$A:$A,Merchant!$B:$B,$G$2),)</f>
        <v/>
      </c>
      <c r="D23" s="14" t="str">
        <f t="shared" si="2"/>
        <v/>
      </c>
      <c r="E23" s="14" t="str">
        <f t="shared" si="3"/>
        <v/>
      </c>
      <c r="F23" s="7" t="str">
        <f>IF($A23&lt;&gt;"",MAXIFS(Token!$B:$B,Token!$A:$A,$D23),)</f>
        <v/>
      </c>
    </row>
    <row r="24">
      <c r="A24" s="39" t="str">
        <f>IF(AND($L24*1&gt;=$G$3,$L24*1&lt;=$G$4,$I24*$J24&gt;0,OR($I24&lt;&gt;$I25,$L24-$L25&gt;25),$I24/POW(10,$J24)*MAXIFS(Token!$B:$B,Token!$A:$A,$K24)&gt;0.01),$L24/86400+DATE(1970,1,1)+$G$6,)</f>
        <v/>
      </c>
      <c r="B24" s="27" t="str">
        <f t="shared" si="1"/>
        <v/>
      </c>
      <c r="C24" s="14" t="str">
        <f>IF($A24&lt;&gt;"",MINIFS(Merchant!$A:$A,Merchant!$B:$B,$G$2),)</f>
        <v/>
      </c>
      <c r="D24" s="14" t="str">
        <f t="shared" si="2"/>
        <v/>
      </c>
      <c r="E24" s="14" t="str">
        <f t="shared" si="3"/>
        <v/>
      </c>
      <c r="F24" s="7" t="str">
        <f>IF($A24&lt;&gt;"",MAXIFS(Token!$B:$B,Token!$A:$A,$D24),)</f>
        <v/>
      </c>
    </row>
    <row r="25">
      <c r="A25" s="39" t="str">
        <f>IF(AND($L25*1&gt;=$G$3,$L25*1&lt;=$G$4,$I25*$J25&gt;0,OR($I25&lt;&gt;$I26,$L25-$L26&gt;25),$I25/POW(10,$J25)*MAXIFS(Token!$B:$B,Token!$A:$A,$K25)&gt;0.01),$L25/86400+DATE(1970,1,1)+$G$6,)</f>
        <v/>
      </c>
      <c r="B25" s="27" t="str">
        <f t="shared" si="1"/>
        <v/>
      </c>
      <c r="C25" s="14" t="str">
        <f>IF($A25&lt;&gt;"",MINIFS(Merchant!$A:$A,Merchant!$B:$B,$G$2),)</f>
        <v/>
      </c>
      <c r="D25" s="14" t="str">
        <f t="shared" si="2"/>
        <v/>
      </c>
      <c r="E25" s="14" t="str">
        <f t="shared" si="3"/>
        <v/>
      </c>
      <c r="F25" s="7" t="str">
        <f>IF($A25&lt;&gt;"",MAXIFS(Token!$B:$B,Token!$A:$A,$D25),)</f>
        <v/>
      </c>
    </row>
    <row r="26">
      <c r="A26" s="39" t="str">
        <f>IF(AND($L26*1&gt;=$G$3,$L26*1&lt;=$G$4,$I26*$J26&gt;0,OR($I26&lt;&gt;$I27,$L26-$L27&gt;25),$I26/POW(10,$J26)*MAXIFS(Token!$B:$B,Token!$A:$A,$K26)&gt;0.01),$L26/86400+DATE(1970,1,1)+$G$6,)</f>
        <v/>
      </c>
      <c r="B26" s="27" t="str">
        <f t="shared" si="1"/>
        <v/>
      </c>
      <c r="C26" s="14" t="str">
        <f>IF($A26&lt;&gt;"",MINIFS(Merchant!$A:$A,Merchant!$B:$B,$G$2),)</f>
        <v/>
      </c>
      <c r="D26" s="14" t="str">
        <f t="shared" si="2"/>
        <v/>
      </c>
      <c r="E26" s="14" t="str">
        <f t="shared" si="3"/>
        <v/>
      </c>
      <c r="F26" s="7" t="str">
        <f>IF($A26&lt;&gt;"",MAXIFS(Token!$B:$B,Token!$A:$A,$D26),)</f>
        <v/>
      </c>
    </row>
    <row r="27">
      <c r="A27" s="39" t="str">
        <f>IF(AND($L27*1&gt;=$G$3,$L27*1&lt;=$G$4,$I27*$J27&gt;0,OR($I27&lt;&gt;$I28,$L27-$L28&gt;25),$I27/POW(10,$J27)*MAXIFS(Token!$B:$B,Token!$A:$A,$K27)&gt;0.01),$L27/86400+DATE(1970,1,1)+$G$6,)</f>
        <v/>
      </c>
      <c r="B27" s="27" t="str">
        <f t="shared" si="1"/>
        <v/>
      </c>
      <c r="C27" s="14" t="str">
        <f>IF($A27&lt;&gt;"",MINIFS(Merchant!$A:$A,Merchant!$B:$B,$G$2),)</f>
        <v/>
      </c>
      <c r="D27" s="14" t="str">
        <f t="shared" si="2"/>
        <v/>
      </c>
      <c r="E27" s="14" t="str">
        <f t="shared" si="3"/>
        <v/>
      </c>
      <c r="F27" s="7" t="str">
        <f>IF($A27&lt;&gt;"",MAXIFS(Token!$B:$B,Token!$A:$A,$D27),)</f>
        <v/>
      </c>
    </row>
    <row r="28">
      <c r="A28" s="39" t="str">
        <f>IF(AND($L28*1&gt;=$G$3,$L28*1&lt;=$G$4,$I28*$J28&gt;0,OR($I28&lt;&gt;$I29,$L28-$L29&gt;25),$I28/POW(10,$J28)*MAXIFS(Token!$B:$B,Token!$A:$A,$K28)&gt;0.01),$L28/86400+DATE(1970,1,1)+$G$6,)</f>
        <v/>
      </c>
      <c r="B28" s="27" t="str">
        <f t="shared" si="1"/>
        <v/>
      </c>
      <c r="C28" s="14" t="str">
        <f>IF($A28&lt;&gt;"",MINIFS(Merchant!$A:$A,Merchant!$B:$B,$G$2),)</f>
        <v/>
      </c>
      <c r="D28" s="14" t="str">
        <f t="shared" si="2"/>
        <v/>
      </c>
      <c r="E28" s="14" t="str">
        <f t="shared" si="3"/>
        <v/>
      </c>
      <c r="F28" s="7" t="str">
        <f>IF($A28&lt;&gt;"",MAXIFS(Token!$B:$B,Token!$A:$A,$D28),)</f>
        <v/>
      </c>
    </row>
    <row r="29">
      <c r="A29" s="39" t="str">
        <f>IF(AND($L29*1&gt;=$G$3,$L29*1&lt;=$G$4,$I29*$J29&gt;0,OR($I29&lt;&gt;$I30,$L29-$L30&gt;25),$I29/POW(10,$J29)*MAXIFS(Token!$B:$B,Token!$A:$A,$K29)&gt;0.01),$L29/86400+DATE(1970,1,1)+$G$6,)</f>
        <v/>
      </c>
      <c r="B29" s="27" t="str">
        <f t="shared" si="1"/>
        <v/>
      </c>
      <c r="C29" s="14" t="str">
        <f>IF($A29&lt;&gt;"",MINIFS(Merchant!$A:$A,Merchant!$B:$B,$G$2),)</f>
        <v/>
      </c>
      <c r="D29" s="14" t="str">
        <f t="shared" si="2"/>
        <v/>
      </c>
      <c r="E29" s="14" t="str">
        <f t="shared" si="3"/>
        <v/>
      </c>
      <c r="F29" s="7" t="str">
        <f>IF($A29&lt;&gt;"",MAXIFS(Token!$B:$B,Token!$A:$A,$D29),)</f>
        <v/>
      </c>
    </row>
    <row r="30">
      <c r="A30" s="39" t="str">
        <f>IF(AND($L30*1&gt;=$G$3,$L30*1&lt;=$G$4,$I30*$J30&gt;0,OR($I30&lt;&gt;$I31,$L30-$L31&gt;25),$I30/POW(10,$J30)*MAXIFS(Token!$B:$B,Token!$A:$A,$K30)&gt;0.01),$L30/86400+DATE(1970,1,1)+$G$6,)</f>
        <v/>
      </c>
      <c r="B30" s="27" t="str">
        <f t="shared" si="1"/>
        <v/>
      </c>
      <c r="C30" s="14" t="str">
        <f>IF($A30&lt;&gt;"",MINIFS(Merchant!$A:$A,Merchant!$B:$B,$G$2),)</f>
        <v/>
      </c>
      <c r="D30" s="14" t="str">
        <f t="shared" si="2"/>
        <v/>
      </c>
      <c r="E30" s="14" t="str">
        <f t="shared" si="3"/>
        <v/>
      </c>
      <c r="F30" s="7" t="str">
        <f>IF($A30&lt;&gt;"",MAXIFS(Token!$B:$B,Token!$A:$A,$D30),)</f>
        <v/>
      </c>
    </row>
    <row r="31">
      <c r="A31" s="39" t="str">
        <f>IF(AND($L31*1&gt;=$G$3,$L31*1&lt;=$G$4,$I31*$J31&gt;0,OR($I31&lt;&gt;$I32,$L31-$L32&gt;25),$I31/POW(10,$J31)*MAXIFS(Token!$B:$B,Token!$A:$A,$K31)&gt;0.01),$L31/86400+DATE(1970,1,1)+$G$6,)</f>
        <v/>
      </c>
      <c r="B31" s="27" t="str">
        <f t="shared" si="1"/>
        <v/>
      </c>
      <c r="C31" s="14" t="str">
        <f>IF($A31&lt;&gt;"",MINIFS(Merchant!$A:$A,Merchant!$B:$B,$G$2),)</f>
        <v/>
      </c>
      <c r="D31" s="14" t="str">
        <f t="shared" si="2"/>
        <v/>
      </c>
      <c r="E31" s="14" t="str">
        <f t="shared" si="3"/>
        <v/>
      </c>
      <c r="F31" s="7" t="str">
        <f>IF($A31&lt;&gt;"",MAXIFS(Token!$B:$B,Token!$A:$A,$D31),)</f>
        <v/>
      </c>
    </row>
    <row r="32">
      <c r="A32" s="39" t="str">
        <f>IF(AND($L32*1&gt;=$G$3,$L32*1&lt;=$G$4,$I32*$J32&gt;0,OR($I32&lt;&gt;$I33,$L32-$L33&gt;25),$I32/POW(10,$J32)*MAXIFS(Token!$B:$B,Token!$A:$A,$K32)&gt;0.01),$L32/86400+DATE(1970,1,1)+$G$6,)</f>
        <v/>
      </c>
      <c r="B32" s="27" t="str">
        <f t="shared" si="1"/>
        <v/>
      </c>
      <c r="C32" s="14" t="str">
        <f>IF($A32&lt;&gt;"",MINIFS(Merchant!$A:$A,Merchant!$B:$B,$G$2),)</f>
        <v/>
      </c>
      <c r="D32" s="14" t="str">
        <f t="shared" si="2"/>
        <v/>
      </c>
      <c r="E32" s="14" t="str">
        <f t="shared" si="3"/>
        <v/>
      </c>
      <c r="F32" s="7" t="str">
        <f>IF($A32&lt;&gt;"",MAXIFS(Token!$B:$B,Token!$A:$A,$D32),)</f>
        <v/>
      </c>
    </row>
    <row r="33">
      <c r="A33" s="39" t="str">
        <f>IF(AND($L33*1&gt;=$G$3,$L33*1&lt;=$G$4,$I33*$J33&gt;0,OR($I33&lt;&gt;$I34,$L33-$L34&gt;25),$I33/POW(10,$J33)*MAXIFS(Token!$B:$B,Token!$A:$A,$K33)&gt;0.01),$L33/86400+DATE(1970,1,1)+$G$6,)</f>
        <v/>
      </c>
      <c r="B33" s="27" t="str">
        <f t="shared" si="1"/>
        <v/>
      </c>
      <c r="C33" s="14" t="str">
        <f>IF($A33&lt;&gt;"",MINIFS(Merchant!$A:$A,Merchant!$B:$B,$G$2),)</f>
        <v/>
      </c>
      <c r="D33" s="14" t="str">
        <f t="shared" si="2"/>
        <v/>
      </c>
      <c r="E33" s="14" t="str">
        <f t="shared" si="3"/>
        <v/>
      </c>
      <c r="F33" s="7" t="str">
        <f>IF($A33&lt;&gt;"",MAXIFS(Token!$B:$B,Token!$A:$A,$D33),)</f>
        <v/>
      </c>
    </row>
    <row r="34">
      <c r="A34" s="39" t="str">
        <f>IF(AND($L34*1&gt;=$G$3,$L34*1&lt;=$G$4,$I34*$J34&gt;0,OR($I34&lt;&gt;$I35,$L34-$L35&gt;25),$I34/POW(10,$J34)*MAXIFS(Token!$B:$B,Token!$A:$A,$K34)&gt;0.01),$L34/86400+DATE(1970,1,1)+$G$6,)</f>
        <v/>
      </c>
      <c r="B34" s="27" t="str">
        <f t="shared" si="1"/>
        <v/>
      </c>
      <c r="C34" s="14" t="str">
        <f>IF($A34&lt;&gt;"",MINIFS(Merchant!$A:$A,Merchant!$B:$B,$G$2),)</f>
        <v/>
      </c>
      <c r="D34" s="14" t="str">
        <f t="shared" si="2"/>
        <v/>
      </c>
      <c r="E34" s="14" t="str">
        <f t="shared" si="3"/>
        <v/>
      </c>
      <c r="F34" s="7" t="str">
        <f>IF($A34&lt;&gt;"",MAXIFS(Token!$B:$B,Token!$A:$A,$D34),)</f>
        <v/>
      </c>
    </row>
    <row r="35">
      <c r="A35" s="39" t="str">
        <f>IF(AND($L35*1&gt;=$G$3,$L35*1&lt;=$G$4,$I35*$J35&gt;0,OR($I35&lt;&gt;$I36,$L35-$L36&gt;25),$I35/POW(10,$J35)*MAXIFS(Token!$B:$B,Token!$A:$A,$K35)&gt;0.01),$L35/86400+DATE(1970,1,1)+$G$6,)</f>
        <v/>
      </c>
      <c r="B35" s="27" t="str">
        <f t="shared" si="1"/>
        <v/>
      </c>
      <c r="C35" s="14" t="str">
        <f>IF($A35&lt;&gt;"",MINIFS(Merchant!$A:$A,Merchant!$B:$B,$G$2),)</f>
        <v/>
      </c>
      <c r="D35" s="14" t="str">
        <f t="shared" si="2"/>
        <v/>
      </c>
      <c r="E35" s="14" t="str">
        <f t="shared" si="3"/>
        <v/>
      </c>
      <c r="F35" s="7" t="str">
        <f>IF($A35&lt;&gt;"",MAXIFS(Token!$B:$B,Token!$A:$A,$D35),)</f>
        <v/>
      </c>
    </row>
    <row r="36">
      <c r="A36" s="39" t="str">
        <f>IF(AND($L36*1&gt;=$G$3,$L36*1&lt;=$G$4,$I36*$J36&gt;0,OR($I36&lt;&gt;$I37,$L36-$L37&gt;25),$I36/POW(10,$J36)*MAXIFS(Token!$B:$B,Token!$A:$A,$K36)&gt;0.01),$L36/86400+DATE(1970,1,1)+$G$6,)</f>
        <v/>
      </c>
      <c r="B36" s="27" t="str">
        <f t="shared" si="1"/>
        <v/>
      </c>
      <c r="C36" s="14" t="str">
        <f>IF($A36&lt;&gt;"",MINIFS(Merchant!$A:$A,Merchant!$B:$B,$G$2),)</f>
        <v/>
      </c>
      <c r="D36" s="14" t="str">
        <f t="shared" si="2"/>
        <v/>
      </c>
      <c r="E36" s="14" t="str">
        <f t="shared" si="3"/>
        <v/>
      </c>
      <c r="F36" s="7" t="str">
        <f>IF($A36&lt;&gt;"",MAXIFS(Token!$B:$B,Token!$A:$A,$D36),)</f>
        <v/>
      </c>
    </row>
    <row r="37">
      <c r="A37" s="39" t="str">
        <f>IF(AND($L37*1&gt;=$G$3,$L37*1&lt;=$G$4,$I37*$J37&gt;0,OR($I37&lt;&gt;$I38,$L37-$L38&gt;25),$I37/POW(10,$J37)*MAXIFS(Token!$B:$B,Token!$A:$A,$K37)&gt;0.01),$L37/86400+DATE(1970,1,1)+$G$6,)</f>
        <v/>
      </c>
      <c r="B37" s="27" t="str">
        <f t="shared" si="1"/>
        <v/>
      </c>
      <c r="C37" s="14" t="str">
        <f>IF($A37&lt;&gt;"",MINIFS(Merchant!$A:$A,Merchant!$B:$B,$G$2),)</f>
        <v/>
      </c>
      <c r="D37" s="14" t="str">
        <f t="shared" si="2"/>
        <v/>
      </c>
      <c r="E37" s="14" t="str">
        <f t="shared" si="3"/>
        <v/>
      </c>
      <c r="F37" s="7" t="str">
        <f>IF($A37&lt;&gt;"",MAXIFS(Token!$B:$B,Token!$A:$A,$D37),)</f>
        <v/>
      </c>
    </row>
    <row r="38">
      <c r="A38" s="39" t="str">
        <f>IF(AND($L38*1&gt;=$G$3,$L38*1&lt;=$G$4,$I38*$J38&gt;0,OR($I38&lt;&gt;$I39,$L38-$L39&gt;25),$I38/POW(10,$J38)*MAXIFS(Token!$B:$B,Token!$A:$A,$K38)&gt;0.01),$L38/86400+DATE(1970,1,1)+$G$6,)</f>
        <v/>
      </c>
      <c r="B38" s="27" t="str">
        <f t="shared" si="1"/>
        <v/>
      </c>
      <c r="C38" s="14" t="str">
        <f>IF($A38&lt;&gt;"",MINIFS(Merchant!$A:$A,Merchant!$B:$B,$G$2),)</f>
        <v/>
      </c>
      <c r="D38" s="14" t="str">
        <f t="shared" si="2"/>
        <v/>
      </c>
      <c r="E38" s="14" t="str">
        <f t="shared" si="3"/>
        <v/>
      </c>
      <c r="F38" s="7" t="str">
        <f>IF($A38&lt;&gt;"",MAXIFS(Token!$B:$B,Token!$A:$A,$D38),)</f>
        <v/>
      </c>
    </row>
    <row r="39">
      <c r="A39" s="39" t="str">
        <f>IF(AND($L39*1&gt;=$G$3,$L39*1&lt;=$G$4,$I39*$J39&gt;0,OR($I39&lt;&gt;$I40,$L39-$L40&gt;25),$I39/POW(10,$J39)*MAXIFS(Token!$B:$B,Token!$A:$A,$K39)&gt;0.01),$L39/86400+DATE(1970,1,1)+$G$6,)</f>
        <v/>
      </c>
      <c r="B39" s="27" t="str">
        <f t="shared" si="1"/>
        <v/>
      </c>
      <c r="C39" s="14" t="str">
        <f>IF($A39&lt;&gt;"",MINIFS(Merchant!$A:$A,Merchant!$B:$B,$G$2),)</f>
        <v/>
      </c>
      <c r="D39" s="14" t="str">
        <f t="shared" si="2"/>
        <v/>
      </c>
      <c r="E39" s="14" t="str">
        <f t="shared" si="3"/>
        <v/>
      </c>
      <c r="F39" s="7" t="str">
        <f>IF($A39&lt;&gt;"",MAXIFS(Token!$B:$B,Token!$A:$A,$D39),)</f>
        <v/>
      </c>
    </row>
    <row r="40">
      <c r="A40" s="39" t="str">
        <f>IF(AND($L40*1&gt;=$G$3,$L40*1&lt;=$G$4,$I40*$J40&gt;0,OR($I40&lt;&gt;$I41,$L40-$L41&gt;25),$I40/POW(10,$J40)*MAXIFS(Token!$B:$B,Token!$A:$A,$K40)&gt;0.01),$L40/86400+DATE(1970,1,1)+$G$6,)</f>
        <v/>
      </c>
      <c r="B40" s="27" t="str">
        <f t="shared" si="1"/>
        <v/>
      </c>
      <c r="C40" s="14" t="str">
        <f>IF($A40&lt;&gt;"",MINIFS(Merchant!$A:$A,Merchant!$B:$B,$G$2),)</f>
        <v/>
      </c>
      <c r="D40" s="14" t="str">
        <f t="shared" si="2"/>
        <v/>
      </c>
      <c r="E40" s="14" t="str">
        <f t="shared" si="3"/>
        <v/>
      </c>
      <c r="F40" s="7" t="str">
        <f>IF($A40&lt;&gt;"",MAXIFS(Token!$B:$B,Token!$A:$A,$D40),)</f>
        <v/>
      </c>
    </row>
    <row r="41">
      <c r="A41" s="39" t="str">
        <f>IF(AND($L41*1&gt;=$G$3,$L41*1&lt;=$G$4,$I41*$J41&gt;0,OR($I41&lt;&gt;$I42,$L41-$L42&gt;25),$I41/POW(10,$J41)*MAXIFS(Token!$B:$B,Token!$A:$A,$K41)&gt;0.01),$L41/86400+DATE(1970,1,1)+$G$6,)</f>
        <v/>
      </c>
      <c r="B41" s="27" t="str">
        <f t="shared" si="1"/>
        <v/>
      </c>
      <c r="C41" s="14" t="str">
        <f>IF($A41&lt;&gt;"",MINIFS(Merchant!$A:$A,Merchant!$B:$B,$G$2),)</f>
        <v/>
      </c>
      <c r="D41" s="14" t="str">
        <f t="shared" si="2"/>
        <v/>
      </c>
      <c r="E41" s="14" t="str">
        <f t="shared" si="3"/>
        <v/>
      </c>
      <c r="F41" s="7" t="str">
        <f>IF($A41&lt;&gt;"",MAXIFS(Token!$B:$B,Token!$A:$A,$D41),)</f>
        <v/>
      </c>
    </row>
    <row r="42">
      <c r="A42" s="39" t="str">
        <f>IF(AND($L42*1&gt;=$G$3,$L42*1&lt;=$G$4,$I42*$J42&gt;0,OR($I42&lt;&gt;$I43,$L42-$L43&gt;25),$I42/POW(10,$J42)*MAXIFS(Token!$B:$B,Token!$A:$A,$K42)&gt;0.01),$L42/86400+DATE(1970,1,1)+$G$6,)</f>
        <v/>
      </c>
      <c r="B42" s="27" t="str">
        <f t="shared" si="1"/>
        <v/>
      </c>
      <c r="C42" s="14" t="str">
        <f>IF($A42&lt;&gt;"",MINIFS(Merchant!$A:$A,Merchant!$B:$B,$G$2),)</f>
        <v/>
      </c>
      <c r="D42" s="14" t="str">
        <f t="shared" si="2"/>
        <v/>
      </c>
      <c r="E42" s="14" t="str">
        <f t="shared" si="3"/>
        <v/>
      </c>
      <c r="F42" s="7" t="str">
        <f>IF($A42&lt;&gt;"",MAXIFS(Token!$B:$B,Token!$A:$A,$D42),)</f>
        <v/>
      </c>
    </row>
    <row r="43">
      <c r="A43" s="39" t="str">
        <f>IF(AND($L43*1&gt;=$G$3,$L43*1&lt;=$G$4,$I43*$J43&gt;0,OR($I43&lt;&gt;$I44,$L43-$L44&gt;25),$I43/POW(10,$J43)*MAXIFS(Token!$B:$B,Token!$A:$A,$K43)&gt;0.01),$L43/86400+DATE(1970,1,1)+$G$6,)</f>
        <v/>
      </c>
      <c r="B43" s="27" t="str">
        <f t="shared" si="1"/>
        <v/>
      </c>
      <c r="C43" s="14" t="str">
        <f>IF($A43&lt;&gt;"",MINIFS(Merchant!$A:$A,Merchant!$B:$B,$G$2),)</f>
        <v/>
      </c>
      <c r="D43" s="14" t="str">
        <f t="shared" si="2"/>
        <v/>
      </c>
      <c r="E43" s="14" t="str">
        <f t="shared" si="3"/>
        <v/>
      </c>
      <c r="F43" s="7" t="str">
        <f>IF($A43&lt;&gt;"",MAXIFS(Token!$B:$B,Token!$A:$A,$D43),)</f>
        <v/>
      </c>
    </row>
    <row r="44">
      <c r="A44" s="39" t="str">
        <f>IF(AND($L44*1&gt;=$G$3,$L44*1&lt;=$G$4,$I44*$J44&gt;0,OR($I44&lt;&gt;$I45,$L44-$L45&gt;25),$I44/POW(10,$J44)*MAXIFS(Token!$B:$B,Token!$A:$A,$K44)&gt;0.01),$L44/86400+DATE(1970,1,1)+$G$6,)</f>
        <v/>
      </c>
      <c r="B44" s="27" t="str">
        <f t="shared" si="1"/>
        <v/>
      </c>
      <c r="C44" s="14" t="str">
        <f>IF($A44&lt;&gt;"",MINIFS(Merchant!$A:$A,Merchant!$B:$B,$G$2),)</f>
        <v/>
      </c>
      <c r="D44" s="14" t="str">
        <f t="shared" si="2"/>
        <v/>
      </c>
      <c r="E44" s="14" t="str">
        <f t="shared" si="3"/>
        <v/>
      </c>
      <c r="F44" s="7" t="str">
        <f>IF($A44&lt;&gt;"",MAXIFS(Token!$B:$B,Token!$A:$A,$D44),)</f>
        <v/>
      </c>
    </row>
    <row r="45">
      <c r="A45" s="39" t="str">
        <f>IF(AND($L45*1&gt;=$G$3,$L45*1&lt;=$G$4,$I45*$J45&gt;0,OR($I45&lt;&gt;$I46,$L45-$L46&gt;25),$I45/POW(10,$J45)*MAXIFS(Token!$B:$B,Token!$A:$A,$K45)&gt;0.01),$L45/86400+DATE(1970,1,1)+$G$6,)</f>
        <v/>
      </c>
      <c r="B45" s="27" t="str">
        <f t="shared" si="1"/>
        <v/>
      </c>
      <c r="C45" s="14" t="str">
        <f>IF($A45&lt;&gt;"",MINIFS(Merchant!$A:$A,Merchant!$B:$B,$G$2),)</f>
        <v/>
      </c>
      <c r="D45" s="14" t="str">
        <f t="shared" si="2"/>
        <v/>
      </c>
      <c r="E45" s="14" t="str">
        <f t="shared" si="3"/>
        <v/>
      </c>
      <c r="F45" s="7" t="str">
        <f>IF($A45&lt;&gt;"",MAXIFS(Token!$B:$B,Token!$A:$A,$D45),)</f>
        <v/>
      </c>
    </row>
    <row r="46">
      <c r="A46" s="39" t="str">
        <f>IF(AND($L46*1&gt;=$G$3,$L46*1&lt;=$G$4,$I46*$J46&gt;0,OR($I46&lt;&gt;$I47,$L46-$L47&gt;25),$I46/POW(10,$J46)*MAXIFS(Token!$B:$B,Token!$A:$A,$K46)&gt;0.01),$L46/86400+DATE(1970,1,1)+$G$6,)</f>
        <v/>
      </c>
      <c r="B46" s="27" t="str">
        <f t="shared" si="1"/>
        <v/>
      </c>
      <c r="C46" s="14" t="str">
        <f>IF($A46&lt;&gt;"",MINIFS(Merchant!$A:$A,Merchant!$B:$B,$G$2),)</f>
        <v/>
      </c>
      <c r="D46" s="14" t="str">
        <f t="shared" si="2"/>
        <v/>
      </c>
      <c r="E46" s="14" t="str">
        <f t="shared" si="3"/>
        <v/>
      </c>
      <c r="F46" s="7" t="str">
        <f>IF($A46&lt;&gt;"",MAXIFS(Token!$B:$B,Token!$A:$A,$D46),)</f>
        <v/>
      </c>
    </row>
    <row r="47">
      <c r="A47" s="39" t="str">
        <f>IF(AND($L47*1&gt;=$G$3,$L47*1&lt;=$G$4,$I47*$J47&gt;0,OR($I47&lt;&gt;$I48,$L47-$L48&gt;25),$I47/POW(10,$J47)*MAXIFS(Token!$B:$B,Token!$A:$A,$K47)&gt;0.01),$L47/86400+DATE(1970,1,1)+$G$6,)</f>
        <v/>
      </c>
      <c r="B47" s="27" t="str">
        <f t="shared" si="1"/>
        <v/>
      </c>
      <c r="C47" s="14" t="str">
        <f>IF($A47&lt;&gt;"",MINIFS(Merchant!$A:$A,Merchant!$B:$B,$G$2),)</f>
        <v/>
      </c>
      <c r="D47" s="14" t="str">
        <f t="shared" si="2"/>
        <v/>
      </c>
      <c r="E47" s="14" t="str">
        <f t="shared" si="3"/>
        <v/>
      </c>
      <c r="F47" s="7" t="str">
        <f>IF($A47&lt;&gt;"",MAXIFS(Token!$B:$B,Token!$A:$A,$D47),)</f>
        <v/>
      </c>
    </row>
    <row r="48">
      <c r="A48" s="39" t="str">
        <f>IF(AND($L48*1&gt;=$G$3,$L48*1&lt;=$G$4,$I48*$J48&gt;0,OR($I48&lt;&gt;$I49,$L48-$L49&gt;25),$I48/POW(10,$J48)*MAXIFS(Token!$B:$B,Token!$A:$A,$K48)&gt;0.01),$L48/86400+DATE(1970,1,1)+$G$6,)</f>
        <v/>
      </c>
      <c r="B48" s="27" t="str">
        <f t="shared" si="1"/>
        <v/>
      </c>
      <c r="C48" s="14" t="str">
        <f>IF($A48&lt;&gt;"",MINIFS(Merchant!$A:$A,Merchant!$B:$B,$G$2),)</f>
        <v/>
      </c>
      <c r="D48" s="14" t="str">
        <f t="shared" si="2"/>
        <v/>
      </c>
      <c r="E48" s="14" t="str">
        <f t="shared" si="3"/>
        <v/>
      </c>
      <c r="F48" s="7" t="str">
        <f>IF($A48&lt;&gt;"",MAXIFS(Token!$B:$B,Token!$A:$A,$D48),)</f>
        <v/>
      </c>
    </row>
    <row r="49">
      <c r="A49" s="39" t="str">
        <f>IF(AND($L49*1&gt;=$G$3,$L49*1&lt;=$G$4,$I49*$J49&gt;0,OR($I49&lt;&gt;$I50,$L49-$L50&gt;25),$I49/POW(10,$J49)*MAXIFS(Token!$B:$B,Token!$A:$A,$K49)&gt;0.01),$L49/86400+DATE(1970,1,1)+$G$6,)</f>
        <v/>
      </c>
      <c r="B49" s="27" t="str">
        <f t="shared" si="1"/>
        <v/>
      </c>
      <c r="C49" s="14" t="str">
        <f>IF($A49&lt;&gt;"",MINIFS(Merchant!$A:$A,Merchant!$B:$B,$G$2),)</f>
        <v/>
      </c>
      <c r="D49" s="14" t="str">
        <f t="shared" si="2"/>
        <v/>
      </c>
      <c r="E49" s="14" t="str">
        <f t="shared" si="3"/>
        <v/>
      </c>
      <c r="F49" s="7" t="str">
        <f>IF($A49&lt;&gt;"",MAXIFS(Token!$B:$B,Token!$A:$A,$D49),)</f>
        <v/>
      </c>
    </row>
    <row r="50">
      <c r="A50" s="39" t="str">
        <f>IF(AND($L50*1&gt;=$G$3,$L50*1&lt;=$G$4,$I50*$J50&gt;0,OR($I50&lt;&gt;$I51,$L50-$L51&gt;25),$I50/POW(10,$J50)*MAXIFS(Token!$B:$B,Token!$A:$A,$K50)&gt;0.01),$L50/86400+DATE(1970,1,1)+$G$6,)</f>
        <v/>
      </c>
      <c r="B50" s="27" t="str">
        <f t="shared" si="1"/>
        <v/>
      </c>
      <c r="C50" s="14" t="str">
        <f>IF($A50&lt;&gt;"",MINIFS(Merchant!$A:$A,Merchant!$B:$B,$G$2),)</f>
        <v/>
      </c>
      <c r="D50" s="14" t="str">
        <f t="shared" si="2"/>
        <v/>
      </c>
      <c r="E50" s="14" t="str">
        <f t="shared" si="3"/>
        <v/>
      </c>
      <c r="F50" s="7" t="str">
        <f>IF($A50&lt;&gt;"",MAXIFS(Token!$B:$B,Token!$A:$A,$D50),)</f>
        <v/>
      </c>
    </row>
    <row r="51">
      <c r="A51" s="39" t="str">
        <f>IF(AND($L51*1&gt;=$G$3,$L51*1&lt;=$G$4,$I51*$J51&gt;0,OR($I51&lt;&gt;$I52,$L51-$L52&gt;25),$I51/POW(10,$J51)*MAXIFS(Token!$B:$B,Token!$A:$A,$K51)&gt;0.01),$L51/86400+DATE(1970,1,1)+$G$6,)</f>
        <v/>
      </c>
      <c r="B51" s="27" t="str">
        <f t="shared" si="1"/>
        <v/>
      </c>
      <c r="C51" s="14" t="str">
        <f>IF($A51&lt;&gt;"",MINIFS(Merchant!$A:$A,Merchant!$B:$B,$G$2),)</f>
        <v/>
      </c>
      <c r="D51" s="14" t="str">
        <f t="shared" si="2"/>
        <v/>
      </c>
      <c r="E51" s="14" t="str">
        <f t="shared" si="3"/>
        <v/>
      </c>
      <c r="F51" s="7" t="str">
        <f>IF($A51&lt;&gt;"",MAXIFS(Token!$B:$B,Token!$A:$A,$D51),)</f>
        <v/>
      </c>
    </row>
    <row r="52">
      <c r="A52" s="39" t="str">
        <f>IF(AND($L52*1&gt;=$G$3,$L52*1&lt;=$G$4,$I52*$J52&gt;0,OR($I52&lt;&gt;$I53,$L52-$L53&gt;25),$I52/POW(10,$J52)*MAXIFS(Token!$B:$B,Token!$A:$A,$K52)&gt;0.01),$L52/86400+DATE(1970,1,1)+$G$6,)</f>
        <v/>
      </c>
      <c r="B52" s="27" t="str">
        <f t="shared" si="1"/>
        <v/>
      </c>
      <c r="C52" s="14" t="str">
        <f>IF($A52&lt;&gt;"",MINIFS(Merchant!$A:$A,Merchant!$B:$B,$G$2),)</f>
        <v/>
      </c>
      <c r="D52" s="14" t="str">
        <f t="shared" si="2"/>
        <v/>
      </c>
      <c r="E52" s="14" t="str">
        <f t="shared" si="3"/>
        <v/>
      </c>
      <c r="F52" s="7" t="str">
        <f>IF($A52&lt;&gt;"",MAXIFS(Token!$B:$B,Token!$A:$A,$D52),)</f>
        <v/>
      </c>
      <c r="H52" s="6" t="str">
        <f>IFERROR(__xludf.DUMMYFUNCTION("IF(AND($G$11,INDEX(L:L,ROW()-1)*1&gt;$G$3),ImportJSON(""https://public-api.solscan.io/account/splTransfers?account=""&amp;$G$2&amp;IF($G$5,""&amp;fromTime=""&amp;TO_TEXT($G$3)&amp;""&amp;toTime=""&amp;TO_TEXT($G$4),)&amp;""&amp;offset=""&amp;ROW()-2&amp;""&amp;limit=50""&amp;$G$7,TEXTJOIN("","",1,$H$1:$L$1),"&amp;"""noHeaders""),)"),"")</f>
        <v/>
      </c>
    </row>
    <row r="53">
      <c r="A53" s="39" t="str">
        <f>IF(AND($L53*1&gt;=$G$3,$L53*1&lt;=$G$4,$I53*$J53&gt;0,OR($I53&lt;&gt;$I54,$L53-$L54&gt;25),$I53/POW(10,$J53)*MAXIFS(Token!$B:$B,Token!$A:$A,$K53)&gt;0.01),$L53/86400+DATE(1970,1,1)+$G$6,)</f>
        <v/>
      </c>
      <c r="B53" s="27" t="str">
        <f t="shared" si="1"/>
        <v/>
      </c>
      <c r="C53" s="14" t="str">
        <f>IF($A53&lt;&gt;"",MINIFS(Merchant!$A:$A,Merchant!$B:$B,$G$2),)</f>
        <v/>
      </c>
      <c r="D53" s="14" t="str">
        <f t="shared" si="2"/>
        <v/>
      </c>
      <c r="E53" s="14" t="str">
        <f t="shared" si="3"/>
        <v/>
      </c>
      <c r="F53" s="7" t="str">
        <f>IF($A53&lt;&gt;"",MAXIFS(Token!$B:$B,Token!$A:$A,$D53),)</f>
        <v/>
      </c>
    </row>
    <row r="54">
      <c r="A54" s="39" t="str">
        <f>IF(AND($L54*1&gt;=$G$3,$L54*1&lt;=$G$4,$I54*$J54&gt;0,OR($I54&lt;&gt;$I55,$L54-$L55&gt;25),$I54/POW(10,$J54)*MAXIFS(Token!$B:$B,Token!$A:$A,$K54)&gt;0.01),$L54/86400+DATE(1970,1,1)+$G$6,)</f>
        <v/>
      </c>
      <c r="B54" s="27" t="str">
        <f t="shared" si="1"/>
        <v/>
      </c>
      <c r="C54" s="14" t="str">
        <f>IF($A54&lt;&gt;"",MINIFS(Merchant!$A:$A,Merchant!$B:$B,$G$2),)</f>
        <v/>
      </c>
      <c r="D54" s="14" t="str">
        <f t="shared" si="2"/>
        <v/>
      </c>
      <c r="E54" s="14" t="str">
        <f t="shared" si="3"/>
        <v/>
      </c>
      <c r="F54" s="7" t="str">
        <f>IF($A54&lt;&gt;"",MAXIFS(Token!$B:$B,Token!$A:$A,$D54),)</f>
        <v/>
      </c>
    </row>
    <row r="55">
      <c r="A55" s="39" t="str">
        <f>IF(AND($L55*1&gt;=$G$3,$L55*1&lt;=$G$4,$I55*$J55&gt;0,OR($I55&lt;&gt;$I56,$L55-$L56&gt;25),$I55/POW(10,$J55)*MAXIFS(Token!$B:$B,Token!$A:$A,$K55)&gt;0.01),$L55/86400+DATE(1970,1,1)+$G$6,)</f>
        <v/>
      </c>
      <c r="B55" s="27" t="str">
        <f t="shared" si="1"/>
        <v/>
      </c>
      <c r="C55" s="14" t="str">
        <f>IF($A55&lt;&gt;"",MINIFS(Merchant!$A:$A,Merchant!$B:$B,$G$2),)</f>
        <v/>
      </c>
      <c r="D55" s="14" t="str">
        <f t="shared" si="2"/>
        <v/>
      </c>
      <c r="E55" s="14" t="str">
        <f t="shared" si="3"/>
        <v/>
      </c>
      <c r="F55" s="7" t="str">
        <f>IF($A55&lt;&gt;"",MAXIFS(Token!$B:$B,Token!$A:$A,$D55),)</f>
        <v/>
      </c>
    </row>
    <row r="56">
      <c r="A56" s="39" t="str">
        <f>IF(AND($L56*1&gt;=$G$3,$L56*1&lt;=$G$4,$I56*$J56&gt;0,OR($I56&lt;&gt;$I57,$L56-$L57&gt;25),$I56/POW(10,$J56)*MAXIFS(Token!$B:$B,Token!$A:$A,$K56)&gt;0.01),$L56/86400+DATE(1970,1,1)+$G$6,)</f>
        <v/>
      </c>
      <c r="B56" s="27" t="str">
        <f t="shared" si="1"/>
        <v/>
      </c>
      <c r="C56" s="14" t="str">
        <f>IF($A56&lt;&gt;"",MINIFS(Merchant!$A:$A,Merchant!$B:$B,$G$2),)</f>
        <v/>
      </c>
      <c r="D56" s="14" t="str">
        <f t="shared" si="2"/>
        <v/>
      </c>
      <c r="E56" s="14" t="str">
        <f t="shared" si="3"/>
        <v/>
      </c>
      <c r="F56" s="7" t="str">
        <f>IF($A56&lt;&gt;"",MAXIFS(Token!$B:$B,Token!$A:$A,$D56),)</f>
        <v/>
      </c>
    </row>
    <row r="57">
      <c r="A57" s="39" t="str">
        <f>IF(AND($L57*1&gt;=$G$3,$L57*1&lt;=$G$4,$I57*$J57&gt;0,OR($I57&lt;&gt;$I58,$L57-$L58&gt;25),$I57/POW(10,$J57)*MAXIFS(Token!$B:$B,Token!$A:$A,$K57)&gt;0.01),$L57/86400+DATE(1970,1,1)+$G$6,)</f>
        <v/>
      </c>
      <c r="B57" s="27" t="str">
        <f t="shared" si="1"/>
        <v/>
      </c>
      <c r="C57" s="14" t="str">
        <f>IF($A57&lt;&gt;"",MINIFS(Merchant!$A:$A,Merchant!$B:$B,$G$2),)</f>
        <v/>
      </c>
      <c r="D57" s="14" t="str">
        <f t="shared" si="2"/>
        <v/>
      </c>
      <c r="E57" s="14" t="str">
        <f t="shared" si="3"/>
        <v/>
      </c>
      <c r="F57" s="7" t="str">
        <f>IF($A57&lt;&gt;"",MAXIFS(Token!$B:$B,Token!$A:$A,$D57),)</f>
        <v/>
      </c>
    </row>
    <row r="58">
      <c r="A58" s="39" t="str">
        <f>IF(AND($L58*1&gt;=$G$3,$L58*1&lt;=$G$4,$I58*$J58&gt;0,OR($I58&lt;&gt;$I59,$L58-$L59&gt;25),$I58/POW(10,$J58)*MAXIFS(Token!$B:$B,Token!$A:$A,$K58)&gt;0.01),$L58/86400+DATE(1970,1,1)+$G$6,)</f>
        <v/>
      </c>
      <c r="B58" s="27" t="str">
        <f t="shared" si="1"/>
        <v/>
      </c>
      <c r="C58" s="14" t="str">
        <f>IF($A58&lt;&gt;"",MINIFS(Merchant!$A:$A,Merchant!$B:$B,$G$2),)</f>
        <v/>
      </c>
      <c r="D58" s="14" t="str">
        <f t="shared" si="2"/>
        <v/>
      </c>
      <c r="E58" s="14" t="str">
        <f t="shared" si="3"/>
        <v/>
      </c>
      <c r="F58" s="7" t="str">
        <f>IF($A58&lt;&gt;"",MAXIFS(Token!$B:$B,Token!$A:$A,$D58),)</f>
        <v/>
      </c>
    </row>
    <row r="59">
      <c r="A59" s="39" t="str">
        <f>IF(AND($L59*1&gt;=$G$3,$L59*1&lt;=$G$4,$I59*$J59&gt;0,OR($I59&lt;&gt;$I60,$L59-$L60&gt;25),$I59/POW(10,$J59)*MAXIFS(Token!$B:$B,Token!$A:$A,$K59)&gt;0.01),$L59/86400+DATE(1970,1,1)+$G$6,)</f>
        <v/>
      </c>
      <c r="B59" s="27" t="str">
        <f t="shared" si="1"/>
        <v/>
      </c>
      <c r="C59" s="14" t="str">
        <f>IF($A59&lt;&gt;"",MINIFS(Merchant!$A:$A,Merchant!$B:$B,$G$2),)</f>
        <v/>
      </c>
      <c r="D59" s="14" t="str">
        <f t="shared" si="2"/>
        <v/>
      </c>
      <c r="E59" s="14" t="str">
        <f t="shared" si="3"/>
        <v/>
      </c>
      <c r="F59" s="7" t="str">
        <f>IF($A59&lt;&gt;"",MAXIFS(Token!$B:$B,Token!$A:$A,$D59),)</f>
        <v/>
      </c>
    </row>
    <row r="60">
      <c r="A60" s="39" t="str">
        <f>IF(AND($L60*1&gt;=$G$3,$L60*1&lt;=$G$4,$I60*$J60&gt;0,OR($I60&lt;&gt;$I61,$L60-$L61&gt;25),$I60/POW(10,$J60)*MAXIFS(Token!$B:$B,Token!$A:$A,$K60)&gt;0.01),$L60/86400+DATE(1970,1,1)+$G$6,)</f>
        <v/>
      </c>
      <c r="B60" s="27" t="str">
        <f t="shared" si="1"/>
        <v/>
      </c>
      <c r="C60" s="14" t="str">
        <f>IF($A60&lt;&gt;"",MINIFS(Merchant!$A:$A,Merchant!$B:$B,$G$2),)</f>
        <v/>
      </c>
      <c r="D60" s="14" t="str">
        <f t="shared" si="2"/>
        <v/>
      </c>
      <c r="E60" s="14" t="str">
        <f t="shared" si="3"/>
        <v/>
      </c>
      <c r="F60" s="7" t="str">
        <f>IF($A60&lt;&gt;"",MAXIFS(Token!$B:$B,Token!$A:$A,$D60),)</f>
        <v/>
      </c>
    </row>
    <row r="61">
      <c r="A61" s="39" t="str">
        <f>IF(AND($L61*1&gt;=$G$3,$L61*1&lt;=$G$4,$I61*$J61&gt;0,OR($I61&lt;&gt;$I62,$L61-$L62&gt;25),$I61/POW(10,$J61)*MAXIFS(Token!$B:$B,Token!$A:$A,$K61)&gt;0.01),$L61/86400+DATE(1970,1,1)+$G$6,)</f>
        <v/>
      </c>
      <c r="B61" s="27" t="str">
        <f t="shared" si="1"/>
        <v/>
      </c>
      <c r="C61" s="14" t="str">
        <f>IF($A61&lt;&gt;"",MINIFS(Merchant!$A:$A,Merchant!$B:$B,$G$2),)</f>
        <v/>
      </c>
      <c r="D61" s="14" t="str">
        <f t="shared" si="2"/>
        <v/>
      </c>
      <c r="E61" s="14" t="str">
        <f t="shared" si="3"/>
        <v/>
      </c>
      <c r="F61" s="7" t="str">
        <f>IF($A61&lt;&gt;"",MAXIFS(Token!$B:$B,Token!$A:$A,$D61),)</f>
        <v/>
      </c>
    </row>
    <row r="62">
      <c r="A62" s="39" t="str">
        <f>IF(AND($L62*1&gt;=$G$3,$L62*1&lt;=$G$4,$I62*$J62&gt;0,OR($I62&lt;&gt;$I63,$L62-$L63&gt;25),$I62/POW(10,$J62)*MAXIFS(Token!$B:$B,Token!$A:$A,$K62)&gt;0.01),$L62/86400+DATE(1970,1,1)+$G$6,)</f>
        <v/>
      </c>
      <c r="B62" s="27" t="str">
        <f t="shared" si="1"/>
        <v/>
      </c>
      <c r="C62" s="14" t="str">
        <f>IF($A62&lt;&gt;"",MINIFS(Merchant!$A:$A,Merchant!$B:$B,$G$2),)</f>
        <v/>
      </c>
      <c r="D62" s="14" t="str">
        <f t="shared" si="2"/>
        <v/>
      </c>
      <c r="E62" s="14" t="str">
        <f t="shared" si="3"/>
        <v/>
      </c>
      <c r="F62" s="7" t="str">
        <f>IF($A62&lt;&gt;"",MAXIFS(Token!$B:$B,Token!$A:$A,$D62),)</f>
        <v/>
      </c>
    </row>
    <row r="63">
      <c r="A63" s="39" t="str">
        <f>IF(AND($L63*1&gt;=$G$3,$L63*1&lt;=$G$4,$I63*$J63&gt;0,OR($I63&lt;&gt;$I64,$L63-$L64&gt;25),$I63/POW(10,$J63)*MAXIFS(Token!$B:$B,Token!$A:$A,$K63)&gt;0.01),$L63/86400+DATE(1970,1,1)+$G$6,)</f>
        <v/>
      </c>
      <c r="B63" s="27" t="str">
        <f t="shared" si="1"/>
        <v/>
      </c>
      <c r="C63" s="14" t="str">
        <f>IF($A63&lt;&gt;"",MINIFS(Merchant!$A:$A,Merchant!$B:$B,$G$2),)</f>
        <v/>
      </c>
      <c r="D63" s="14" t="str">
        <f t="shared" si="2"/>
        <v/>
      </c>
      <c r="E63" s="14" t="str">
        <f t="shared" si="3"/>
        <v/>
      </c>
      <c r="F63" s="7" t="str">
        <f>IF($A63&lt;&gt;"",MAXIFS(Token!$B:$B,Token!$A:$A,$D63),)</f>
        <v/>
      </c>
    </row>
    <row r="64">
      <c r="A64" s="39" t="str">
        <f>IF(AND($L64*1&gt;=$G$3,$L64*1&lt;=$G$4,$I64*$J64&gt;0,OR($I64&lt;&gt;$I65,$L64-$L65&gt;25),$I64/POW(10,$J64)*MAXIFS(Token!$B:$B,Token!$A:$A,$K64)&gt;0.01),$L64/86400+DATE(1970,1,1)+$G$6,)</f>
        <v/>
      </c>
      <c r="B64" s="27" t="str">
        <f t="shared" si="1"/>
        <v/>
      </c>
      <c r="C64" s="14" t="str">
        <f>IF($A64&lt;&gt;"",MINIFS(Merchant!$A:$A,Merchant!$B:$B,$G$2),)</f>
        <v/>
      </c>
      <c r="D64" s="14" t="str">
        <f t="shared" si="2"/>
        <v/>
      </c>
      <c r="E64" s="14" t="str">
        <f t="shared" si="3"/>
        <v/>
      </c>
      <c r="F64" s="7" t="str">
        <f>IF($A64&lt;&gt;"",MAXIFS(Token!$B:$B,Token!$A:$A,$D64),)</f>
        <v/>
      </c>
    </row>
    <row r="65">
      <c r="A65" s="39" t="str">
        <f>IF(AND($L65*1&gt;=$G$3,$L65*1&lt;=$G$4,$I65*$J65&gt;0,OR($I65&lt;&gt;$I66,$L65-$L66&gt;25),$I65/POW(10,$J65)*MAXIFS(Token!$B:$B,Token!$A:$A,$K65)&gt;0.01),$L65/86400+DATE(1970,1,1)+$G$6,)</f>
        <v/>
      </c>
      <c r="B65" s="27" t="str">
        <f t="shared" si="1"/>
        <v/>
      </c>
      <c r="C65" s="14" t="str">
        <f>IF($A65&lt;&gt;"",MINIFS(Merchant!$A:$A,Merchant!$B:$B,$G$2),)</f>
        <v/>
      </c>
      <c r="D65" s="14" t="str">
        <f t="shared" si="2"/>
        <v/>
      </c>
      <c r="E65" s="14" t="str">
        <f t="shared" si="3"/>
        <v/>
      </c>
      <c r="F65" s="7" t="str">
        <f>IF($A65&lt;&gt;"",MAXIFS(Token!$B:$B,Token!$A:$A,$D65),)</f>
        <v/>
      </c>
    </row>
    <row r="66">
      <c r="A66" s="39" t="str">
        <f>IF(AND($L66*1&gt;=$G$3,$L66*1&lt;=$G$4,$I66*$J66&gt;0,OR($I66&lt;&gt;$I67,$L66-$L67&gt;25),$I66/POW(10,$J66)*MAXIFS(Token!$B:$B,Token!$A:$A,$K66)&gt;0.01),$L66/86400+DATE(1970,1,1)+$G$6,)</f>
        <v/>
      </c>
      <c r="B66" s="27" t="str">
        <f t="shared" si="1"/>
        <v/>
      </c>
      <c r="C66" s="14" t="str">
        <f>IF($A66&lt;&gt;"",MINIFS(Merchant!$A:$A,Merchant!$B:$B,$G$2),)</f>
        <v/>
      </c>
      <c r="D66" s="14" t="str">
        <f t="shared" si="2"/>
        <v/>
      </c>
      <c r="E66" s="14" t="str">
        <f t="shared" si="3"/>
        <v/>
      </c>
      <c r="F66" s="7" t="str">
        <f>IF($A66&lt;&gt;"",MAXIFS(Token!$B:$B,Token!$A:$A,$D66),)</f>
        <v/>
      </c>
    </row>
    <row r="67">
      <c r="A67" s="39" t="str">
        <f>IF(AND($L67*1&gt;=$G$3,$L67*1&lt;=$G$4,$I67*$J67&gt;0,OR($I67&lt;&gt;$I68,$L67-$L68&gt;25),$I67/POW(10,$J67)*MAXIFS(Token!$B:$B,Token!$A:$A,$K67)&gt;0.01),$L67/86400+DATE(1970,1,1)+$G$6,)</f>
        <v/>
      </c>
      <c r="B67" s="27" t="str">
        <f t="shared" si="1"/>
        <v/>
      </c>
      <c r="C67" s="14" t="str">
        <f>IF($A67&lt;&gt;"",MINIFS(Merchant!$A:$A,Merchant!$B:$B,$G$2),)</f>
        <v/>
      </c>
      <c r="D67" s="14" t="str">
        <f t="shared" si="2"/>
        <v/>
      </c>
      <c r="E67" s="14" t="str">
        <f t="shared" si="3"/>
        <v/>
      </c>
      <c r="F67" s="7" t="str">
        <f>IF($A67&lt;&gt;"",MAXIFS(Token!$B:$B,Token!$A:$A,$D67),)</f>
        <v/>
      </c>
    </row>
    <row r="68">
      <c r="A68" s="39" t="str">
        <f>IF(AND($L68*1&gt;=$G$3,$L68*1&lt;=$G$4,$I68*$J68&gt;0,OR($I68&lt;&gt;$I69,$L68-$L69&gt;25),$I68/POW(10,$J68)*MAXIFS(Token!$B:$B,Token!$A:$A,$K68)&gt;0.01),$L68/86400+DATE(1970,1,1)+$G$6,)</f>
        <v/>
      </c>
      <c r="B68" s="27" t="str">
        <f t="shared" si="1"/>
        <v/>
      </c>
      <c r="C68" s="14" t="str">
        <f>IF($A68&lt;&gt;"",MINIFS(Merchant!$A:$A,Merchant!$B:$B,$G$2),)</f>
        <v/>
      </c>
      <c r="D68" s="14" t="str">
        <f t="shared" si="2"/>
        <v/>
      </c>
      <c r="E68" s="14" t="str">
        <f t="shared" si="3"/>
        <v/>
      </c>
      <c r="F68" s="7" t="str">
        <f>IF($A68&lt;&gt;"",MAXIFS(Token!$B:$B,Token!$A:$A,$D68),)</f>
        <v/>
      </c>
    </row>
    <row r="69">
      <c r="A69" s="39" t="str">
        <f>IF(AND($L69*1&gt;=$G$3,$L69*1&lt;=$G$4,$I69*$J69&gt;0,OR($I69&lt;&gt;$I70,$L69-$L70&gt;25),$I69/POW(10,$J69)*MAXIFS(Token!$B:$B,Token!$A:$A,$K69)&gt;0.01),$L69/86400+DATE(1970,1,1)+$G$6,)</f>
        <v/>
      </c>
      <c r="B69" s="27" t="str">
        <f t="shared" si="1"/>
        <v/>
      </c>
      <c r="C69" s="14" t="str">
        <f>IF($A69&lt;&gt;"",MINIFS(Merchant!$A:$A,Merchant!$B:$B,$G$2),)</f>
        <v/>
      </c>
      <c r="D69" s="14" t="str">
        <f t="shared" si="2"/>
        <v/>
      </c>
      <c r="E69" s="14" t="str">
        <f t="shared" si="3"/>
        <v/>
      </c>
      <c r="F69" s="7" t="str">
        <f>IF($A69&lt;&gt;"",MAXIFS(Token!$B:$B,Token!$A:$A,$D69),)</f>
        <v/>
      </c>
    </row>
    <row r="70">
      <c r="A70" s="39" t="str">
        <f>IF(AND($L70*1&gt;=$G$3,$L70*1&lt;=$G$4,$I70*$J70&gt;0,OR($I70&lt;&gt;$I71,$L70-$L71&gt;25),$I70/POW(10,$J70)*MAXIFS(Token!$B:$B,Token!$A:$A,$K70)&gt;0.01),$L70/86400+DATE(1970,1,1)+$G$6,)</f>
        <v/>
      </c>
      <c r="B70" s="27" t="str">
        <f t="shared" si="1"/>
        <v/>
      </c>
      <c r="C70" s="14" t="str">
        <f>IF($A70&lt;&gt;"",MINIFS(Merchant!$A:$A,Merchant!$B:$B,$G$2),)</f>
        <v/>
      </c>
      <c r="D70" s="14" t="str">
        <f t="shared" si="2"/>
        <v/>
      </c>
      <c r="E70" s="14" t="str">
        <f t="shared" si="3"/>
        <v/>
      </c>
      <c r="F70" s="7" t="str">
        <f>IF($A70&lt;&gt;"",MAXIFS(Token!$B:$B,Token!$A:$A,$D70),)</f>
        <v/>
      </c>
    </row>
    <row r="71">
      <c r="A71" s="39" t="str">
        <f>IF(AND($L71*1&gt;=$G$3,$L71*1&lt;=$G$4,$I71*$J71&gt;0,OR($I71&lt;&gt;$I72,$L71-$L72&gt;25),$I71/POW(10,$J71)*MAXIFS(Token!$B:$B,Token!$A:$A,$K71)&gt;0.01),$L71/86400+DATE(1970,1,1)+$G$6,)</f>
        <v/>
      </c>
      <c r="B71" s="27" t="str">
        <f t="shared" si="1"/>
        <v/>
      </c>
      <c r="C71" s="14" t="str">
        <f>IF($A71&lt;&gt;"",MINIFS(Merchant!$A:$A,Merchant!$B:$B,$G$2),)</f>
        <v/>
      </c>
      <c r="D71" s="14" t="str">
        <f t="shared" si="2"/>
        <v/>
      </c>
      <c r="E71" s="14" t="str">
        <f t="shared" si="3"/>
        <v/>
      </c>
      <c r="F71" s="7" t="str">
        <f>IF($A71&lt;&gt;"",MAXIFS(Token!$B:$B,Token!$A:$A,$D71),)</f>
        <v/>
      </c>
    </row>
    <row r="72">
      <c r="A72" s="39" t="str">
        <f>IF(AND($L72*1&gt;=$G$3,$L72*1&lt;=$G$4,$I72*$J72&gt;0,OR($I72&lt;&gt;$I73,$L72-$L73&gt;25),$I72/POW(10,$J72)*MAXIFS(Token!$B:$B,Token!$A:$A,$K72)&gt;0.01),$L72/86400+DATE(1970,1,1)+$G$6,)</f>
        <v/>
      </c>
      <c r="B72" s="27" t="str">
        <f t="shared" si="1"/>
        <v/>
      </c>
      <c r="C72" s="14" t="str">
        <f>IF($A72&lt;&gt;"",MINIFS(Merchant!$A:$A,Merchant!$B:$B,$G$2),)</f>
        <v/>
      </c>
      <c r="D72" s="14" t="str">
        <f t="shared" si="2"/>
        <v/>
      </c>
      <c r="E72" s="14" t="str">
        <f t="shared" si="3"/>
        <v/>
      </c>
      <c r="F72" s="7" t="str">
        <f>IF($A72&lt;&gt;"",MAXIFS(Token!$B:$B,Token!$A:$A,$D72),)</f>
        <v/>
      </c>
    </row>
    <row r="73">
      <c r="A73" s="39" t="str">
        <f>IF(AND($L73*1&gt;=$G$3,$L73*1&lt;=$G$4,$I73*$J73&gt;0,OR($I73&lt;&gt;$I74,$L73-$L74&gt;25),$I73/POW(10,$J73)*MAXIFS(Token!$B:$B,Token!$A:$A,$K73)&gt;0.01),$L73/86400+DATE(1970,1,1)+$G$6,)</f>
        <v/>
      </c>
      <c r="B73" s="27" t="str">
        <f t="shared" si="1"/>
        <v/>
      </c>
      <c r="C73" s="14" t="str">
        <f>IF($A73&lt;&gt;"",MINIFS(Merchant!$A:$A,Merchant!$B:$B,$G$2),)</f>
        <v/>
      </c>
      <c r="D73" s="14" t="str">
        <f t="shared" si="2"/>
        <v/>
      </c>
      <c r="E73" s="14" t="str">
        <f t="shared" si="3"/>
        <v/>
      </c>
      <c r="F73" s="7" t="str">
        <f>IF($A73&lt;&gt;"",MAXIFS(Token!$B:$B,Token!$A:$A,$D73),)</f>
        <v/>
      </c>
    </row>
    <row r="74">
      <c r="A74" s="39" t="str">
        <f>IF(AND($L74*1&gt;=$G$3,$L74*1&lt;=$G$4,$I74*$J74&gt;0,OR($I74&lt;&gt;$I75,$L74-$L75&gt;25),$I74/POW(10,$J74)*MAXIFS(Token!$B:$B,Token!$A:$A,$K74)&gt;0.01),$L74/86400+DATE(1970,1,1)+$G$6,)</f>
        <v/>
      </c>
      <c r="B74" s="27" t="str">
        <f t="shared" si="1"/>
        <v/>
      </c>
      <c r="C74" s="14" t="str">
        <f>IF($A74&lt;&gt;"",MINIFS(Merchant!$A:$A,Merchant!$B:$B,$G$2),)</f>
        <v/>
      </c>
      <c r="D74" s="14" t="str">
        <f t="shared" si="2"/>
        <v/>
      </c>
      <c r="E74" s="14" t="str">
        <f t="shared" si="3"/>
        <v/>
      </c>
      <c r="F74" s="7" t="str">
        <f>IF($A74&lt;&gt;"",MAXIFS(Token!$B:$B,Token!$A:$A,$D74),)</f>
        <v/>
      </c>
    </row>
    <row r="75">
      <c r="A75" s="39" t="str">
        <f>IF(AND($L75*1&gt;=$G$3,$L75*1&lt;=$G$4,$I75*$J75&gt;0,OR($I75&lt;&gt;$I76,$L75-$L76&gt;25),$I75/POW(10,$J75)*MAXIFS(Token!$B:$B,Token!$A:$A,$K75)&gt;0.01),$L75/86400+DATE(1970,1,1)+$G$6,)</f>
        <v/>
      </c>
      <c r="B75" s="27" t="str">
        <f t="shared" si="1"/>
        <v/>
      </c>
      <c r="C75" s="14" t="str">
        <f>IF($A75&lt;&gt;"",MINIFS(Merchant!$A:$A,Merchant!$B:$B,$G$2),)</f>
        <v/>
      </c>
      <c r="D75" s="14" t="str">
        <f t="shared" si="2"/>
        <v/>
      </c>
      <c r="E75" s="14" t="str">
        <f t="shared" si="3"/>
        <v/>
      </c>
      <c r="F75" s="7" t="str">
        <f>IF($A75&lt;&gt;"",MAXIFS(Token!$B:$B,Token!$A:$A,$D75),)</f>
        <v/>
      </c>
    </row>
    <row r="76">
      <c r="A76" s="39" t="str">
        <f>IF(AND($L76*1&gt;=$G$3,$L76*1&lt;=$G$4,$I76*$J76&gt;0,OR($I76&lt;&gt;$I77,$L76-$L77&gt;25),$I76/POW(10,$J76)*MAXIFS(Token!$B:$B,Token!$A:$A,$K76)&gt;0.01),$L76/86400+DATE(1970,1,1)+$G$6,)</f>
        <v/>
      </c>
      <c r="B76" s="27" t="str">
        <f t="shared" si="1"/>
        <v/>
      </c>
      <c r="C76" s="14" t="str">
        <f>IF($A76&lt;&gt;"",MINIFS(Merchant!$A:$A,Merchant!$B:$B,$G$2),)</f>
        <v/>
      </c>
      <c r="D76" s="14" t="str">
        <f t="shared" si="2"/>
        <v/>
      </c>
      <c r="E76" s="14" t="str">
        <f t="shared" si="3"/>
        <v/>
      </c>
      <c r="F76" s="7" t="str">
        <f>IF($A76&lt;&gt;"",MAXIFS(Token!$B:$B,Token!$A:$A,$D76),)</f>
        <v/>
      </c>
    </row>
    <row r="77">
      <c r="A77" s="39" t="str">
        <f>IF(AND($L77*1&gt;=$G$3,$L77*1&lt;=$G$4,$I77*$J77&gt;0,OR($I77&lt;&gt;$I78,$L77-$L78&gt;25),$I77/POW(10,$J77)*MAXIFS(Token!$B:$B,Token!$A:$A,$K77)&gt;0.01),$L77/86400+DATE(1970,1,1)+$G$6,)</f>
        <v/>
      </c>
      <c r="B77" s="27" t="str">
        <f t="shared" si="1"/>
        <v/>
      </c>
      <c r="C77" s="14" t="str">
        <f>IF($A77&lt;&gt;"",MINIFS(Merchant!$A:$A,Merchant!$B:$B,$G$2),)</f>
        <v/>
      </c>
      <c r="D77" s="14" t="str">
        <f t="shared" si="2"/>
        <v/>
      </c>
      <c r="E77" s="14" t="str">
        <f t="shared" si="3"/>
        <v/>
      </c>
      <c r="F77" s="7" t="str">
        <f>IF($A77&lt;&gt;"",MAXIFS(Token!$B:$B,Token!$A:$A,$D77),)</f>
        <v/>
      </c>
    </row>
    <row r="78">
      <c r="A78" s="39" t="str">
        <f>IF(AND($L78*1&gt;=$G$3,$L78*1&lt;=$G$4,$I78*$J78&gt;0,OR($I78&lt;&gt;$I79,$L78-$L79&gt;25),$I78/POW(10,$J78)*MAXIFS(Token!$B:$B,Token!$A:$A,$K78)&gt;0.01),$L78/86400+DATE(1970,1,1)+$G$6,)</f>
        <v/>
      </c>
      <c r="B78" s="27" t="str">
        <f t="shared" si="1"/>
        <v/>
      </c>
      <c r="C78" s="14" t="str">
        <f>IF($A78&lt;&gt;"",MINIFS(Merchant!$A:$A,Merchant!$B:$B,$G$2),)</f>
        <v/>
      </c>
      <c r="D78" s="14" t="str">
        <f t="shared" si="2"/>
        <v/>
      </c>
      <c r="E78" s="14" t="str">
        <f t="shared" si="3"/>
        <v/>
      </c>
      <c r="F78" s="7" t="str">
        <f>IF($A78&lt;&gt;"",MAXIFS(Token!$B:$B,Token!$A:$A,$D78),)</f>
        <v/>
      </c>
    </row>
    <row r="79">
      <c r="A79" s="39" t="str">
        <f>IF(AND($L79*1&gt;=$G$3,$L79*1&lt;=$G$4,$I79*$J79&gt;0,OR($I79&lt;&gt;$I80,$L79-$L80&gt;25),$I79/POW(10,$J79)*MAXIFS(Token!$B:$B,Token!$A:$A,$K79)&gt;0.01),$L79/86400+DATE(1970,1,1)+$G$6,)</f>
        <v/>
      </c>
      <c r="B79" s="27" t="str">
        <f t="shared" si="1"/>
        <v/>
      </c>
      <c r="C79" s="14" t="str">
        <f>IF($A79&lt;&gt;"",MINIFS(Merchant!$A:$A,Merchant!$B:$B,$G$2),)</f>
        <v/>
      </c>
      <c r="D79" s="14" t="str">
        <f t="shared" si="2"/>
        <v/>
      </c>
      <c r="E79" s="14" t="str">
        <f t="shared" si="3"/>
        <v/>
      </c>
      <c r="F79" s="7" t="str">
        <f>IF($A79&lt;&gt;"",MAXIFS(Token!$B:$B,Token!$A:$A,$D79),)</f>
        <v/>
      </c>
    </row>
    <row r="80">
      <c r="A80" s="39" t="str">
        <f>IF(AND($L80*1&gt;=$G$3,$L80*1&lt;=$G$4,$I80*$J80&gt;0,OR($I80&lt;&gt;$I81,$L80-$L81&gt;25),$I80/POW(10,$J80)*MAXIFS(Token!$B:$B,Token!$A:$A,$K80)&gt;0.01),$L80/86400+DATE(1970,1,1)+$G$6,)</f>
        <v/>
      </c>
      <c r="B80" s="27" t="str">
        <f t="shared" si="1"/>
        <v/>
      </c>
      <c r="C80" s="14" t="str">
        <f>IF($A80&lt;&gt;"",MINIFS(Merchant!$A:$A,Merchant!$B:$B,$G$2),)</f>
        <v/>
      </c>
      <c r="D80" s="14" t="str">
        <f t="shared" si="2"/>
        <v/>
      </c>
      <c r="E80" s="14" t="str">
        <f t="shared" si="3"/>
        <v/>
      </c>
      <c r="F80" s="7" t="str">
        <f>IF($A80&lt;&gt;"",MAXIFS(Token!$B:$B,Token!$A:$A,$D80),)</f>
        <v/>
      </c>
    </row>
    <row r="81">
      <c r="A81" s="39" t="str">
        <f>IF(AND($L81*1&gt;=$G$3,$L81*1&lt;=$G$4,$I81*$J81&gt;0,OR($I81&lt;&gt;$I82,$L81-$L82&gt;25),$I81/POW(10,$J81)*MAXIFS(Token!$B:$B,Token!$A:$A,$K81)&gt;0.01),$L81/86400+DATE(1970,1,1)+$G$6,)</f>
        <v/>
      </c>
      <c r="B81" s="27" t="str">
        <f t="shared" si="1"/>
        <v/>
      </c>
      <c r="C81" s="14" t="str">
        <f>IF($A81&lt;&gt;"",MINIFS(Merchant!$A:$A,Merchant!$B:$B,$G$2),)</f>
        <v/>
      </c>
      <c r="D81" s="14" t="str">
        <f t="shared" si="2"/>
        <v/>
      </c>
      <c r="E81" s="14" t="str">
        <f t="shared" si="3"/>
        <v/>
      </c>
      <c r="F81" s="7" t="str">
        <f>IF($A81&lt;&gt;"",MAXIFS(Token!$B:$B,Token!$A:$A,$D81),)</f>
        <v/>
      </c>
    </row>
    <row r="82">
      <c r="A82" s="39" t="str">
        <f>IF(AND($L82*1&gt;=$G$3,$L82*1&lt;=$G$4,$I82*$J82&gt;0,OR($I82&lt;&gt;$I83,$L82-$L83&gt;25),$I82/POW(10,$J82)*MAXIFS(Token!$B:$B,Token!$A:$A,$K82)&gt;0.01),$L82/86400+DATE(1970,1,1)+$G$6,)</f>
        <v/>
      </c>
      <c r="B82" s="27" t="str">
        <f t="shared" si="1"/>
        <v/>
      </c>
      <c r="C82" s="14" t="str">
        <f>IF($A82&lt;&gt;"",MINIFS(Merchant!$A:$A,Merchant!$B:$B,$G$2),)</f>
        <v/>
      </c>
      <c r="D82" s="14" t="str">
        <f t="shared" si="2"/>
        <v/>
      </c>
      <c r="E82" s="14" t="str">
        <f t="shared" si="3"/>
        <v/>
      </c>
      <c r="F82" s="7" t="str">
        <f>IF($A82&lt;&gt;"",MAXIFS(Token!$B:$B,Token!$A:$A,$D82),)</f>
        <v/>
      </c>
    </row>
    <row r="83">
      <c r="A83" s="39" t="str">
        <f>IF(AND($L83*1&gt;=$G$3,$L83*1&lt;=$G$4,$I83*$J83&gt;0,OR($I83&lt;&gt;$I84,$L83-$L84&gt;25),$I83/POW(10,$J83)*MAXIFS(Token!$B:$B,Token!$A:$A,$K83)&gt;0.01),$L83/86400+DATE(1970,1,1)+$G$6,)</f>
        <v/>
      </c>
      <c r="B83" s="27" t="str">
        <f t="shared" si="1"/>
        <v/>
      </c>
      <c r="C83" s="14" t="str">
        <f>IF($A83&lt;&gt;"",MINIFS(Merchant!$A:$A,Merchant!$B:$B,$G$2),)</f>
        <v/>
      </c>
      <c r="D83" s="14" t="str">
        <f t="shared" si="2"/>
        <v/>
      </c>
      <c r="E83" s="14" t="str">
        <f t="shared" si="3"/>
        <v/>
      </c>
      <c r="F83" s="7" t="str">
        <f>IF($A83&lt;&gt;"",MAXIFS(Token!$B:$B,Token!$A:$A,$D83),)</f>
        <v/>
      </c>
    </row>
    <row r="84">
      <c r="A84" s="39" t="str">
        <f>IF(AND($L84*1&gt;=$G$3,$L84*1&lt;=$G$4,$I84*$J84&gt;0,OR($I84&lt;&gt;$I85,$L84-$L85&gt;25),$I84/POW(10,$J84)*MAXIFS(Token!$B:$B,Token!$A:$A,$K84)&gt;0.01),$L84/86400+DATE(1970,1,1)+$G$6,)</f>
        <v/>
      </c>
      <c r="B84" s="27" t="str">
        <f t="shared" si="1"/>
        <v/>
      </c>
      <c r="C84" s="14" t="str">
        <f>IF($A84&lt;&gt;"",MINIFS(Merchant!$A:$A,Merchant!$B:$B,$G$2),)</f>
        <v/>
      </c>
      <c r="D84" s="14" t="str">
        <f t="shared" si="2"/>
        <v/>
      </c>
      <c r="E84" s="14" t="str">
        <f t="shared" si="3"/>
        <v/>
      </c>
      <c r="F84" s="7" t="str">
        <f>IF($A84&lt;&gt;"",MAXIFS(Token!$B:$B,Token!$A:$A,$D84),)</f>
        <v/>
      </c>
    </row>
    <row r="85">
      <c r="A85" s="39" t="str">
        <f>IF(AND($L85*1&gt;=$G$3,$L85*1&lt;=$G$4,$I85*$J85&gt;0,OR($I85&lt;&gt;$I86,$L85-$L86&gt;25),$I85/POW(10,$J85)*MAXIFS(Token!$B:$B,Token!$A:$A,$K85)&gt;0.01),$L85/86400+DATE(1970,1,1)+$G$6,)</f>
        <v/>
      </c>
      <c r="B85" s="27" t="str">
        <f t="shared" si="1"/>
        <v/>
      </c>
      <c r="C85" s="14" t="str">
        <f>IF($A85&lt;&gt;"",MINIFS(Merchant!$A:$A,Merchant!$B:$B,$G$2),)</f>
        <v/>
      </c>
      <c r="D85" s="14" t="str">
        <f t="shared" si="2"/>
        <v/>
      </c>
      <c r="E85" s="14" t="str">
        <f t="shared" si="3"/>
        <v/>
      </c>
      <c r="F85" s="7" t="str">
        <f>IF($A85&lt;&gt;"",MAXIFS(Token!$B:$B,Token!$A:$A,$D85),)</f>
        <v/>
      </c>
    </row>
    <row r="86">
      <c r="A86" s="39" t="str">
        <f>IF(AND($L86*1&gt;=$G$3,$L86*1&lt;=$G$4,$I86*$J86&gt;0,OR($I86&lt;&gt;$I87,$L86-$L87&gt;25),$I86/POW(10,$J86)*MAXIFS(Token!$B:$B,Token!$A:$A,$K86)&gt;0.01),$L86/86400+DATE(1970,1,1)+$G$6,)</f>
        <v/>
      </c>
      <c r="B86" s="27" t="str">
        <f t="shared" si="1"/>
        <v/>
      </c>
      <c r="C86" s="14" t="str">
        <f>IF($A86&lt;&gt;"",MINIFS(Merchant!$A:$A,Merchant!$B:$B,$G$2),)</f>
        <v/>
      </c>
      <c r="D86" s="14" t="str">
        <f t="shared" si="2"/>
        <v/>
      </c>
      <c r="E86" s="14" t="str">
        <f t="shared" si="3"/>
        <v/>
      </c>
      <c r="F86" s="7" t="str">
        <f>IF($A86&lt;&gt;"",MAXIFS(Token!$B:$B,Token!$A:$A,$D86),)</f>
        <v/>
      </c>
    </row>
    <row r="87">
      <c r="A87" s="39" t="str">
        <f>IF(AND($L87*1&gt;=$G$3,$L87*1&lt;=$G$4,$I87*$J87&gt;0,OR($I87&lt;&gt;$I88,$L87-$L88&gt;25),$I87/POW(10,$J87)*MAXIFS(Token!$B:$B,Token!$A:$A,$K87)&gt;0.01),$L87/86400+DATE(1970,1,1)+$G$6,)</f>
        <v/>
      </c>
      <c r="B87" s="27" t="str">
        <f t="shared" si="1"/>
        <v/>
      </c>
      <c r="C87" s="14" t="str">
        <f>IF($A87&lt;&gt;"",MINIFS(Merchant!$A:$A,Merchant!$B:$B,$G$2),)</f>
        <v/>
      </c>
      <c r="D87" s="14" t="str">
        <f t="shared" si="2"/>
        <v/>
      </c>
      <c r="E87" s="14" t="str">
        <f t="shared" si="3"/>
        <v/>
      </c>
      <c r="F87" s="7" t="str">
        <f>IF($A87&lt;&gt;"",MAXIFS(Token!$B:$B,Token!$A:$A,$D87),)</f>
        <v/>
      </c>
    </row>
    <row r="88">
      <c r="A88" s="39" t="str">
        <f>IF(AND($L88*1&gt;=$G$3,$L88*1&lt;=$G$4,$I88*$J88&gt;0,OR($I88&lt;&gt;$I89,$L88-$L89&gt;25),$I88/POW(10,$J88)*MAXIFS(Token!$B:$B,Token!$A:$A,$K88)&gt;0.01),$L88/86400+DATE(1970,1,1)+$G$6,)</f>
        <v/>
      </c>
      <c r="B88" s="27" t="str">
        <f t="shared" si="1"/>
        <v/>
      </c>
      <c r="C88" s="14" t="str">
        <f>IF($A88&lt;&gt;"",MINIFS(Merchant!$A:$A,Merchant!$B:$B,$G$2),)</f>
        <v/>
      </c>
      <c r="D88" s="14" t="str">
        <f t="shared" si="2"/>
        <v/>
      </c>
      <c r="E88" s="14" t="str">
        <f t="shared" si="3"/>
        <v/>
      </c>
      <c r="F88" s="7" t="str">
        <f>IF($A88&lt;&gt;"",MAXIFS(Token!$B:$B,Token!$A:$A,$D88),)</f>
        <v/>
      </c>
    </row>
    <row r="89">
      <c r="A89" s="39" t="str">
        <f>IF(AND($L89*1&gt;=$G$3,$L89*1&lt;=$G$4,$I89*$J89&gt;0,OR($I89&lt;&gt;$I90,$L89-$L90&gt;25),$I89/POW(10,$J89)*MAXIFS(Token!$B:$B,Token!$A:$A,$K89)&gt;0.01),$L89/86400+DATE(1970,1,1)+$G$6,)</f>
        <v/>
      </c>
      <c r="B89" s="27" t="str">
        <f t="shared" si="1"/>
        <v/>
      </c>
      <c r="C89" s="14" t="str">
        <f>IF($A89&lt;&gt;"",MINIFS(Merchant!$A:$A,Merchant!$B:$B,$G$2),)</f>
        <v/>
      </c>
      <c r="D89" s="14" t="str">
        <f t="shared" si="2"/>
        <v/>
      </c>
      <c r="E89" s="14" t="str">
        <f t="shared" si="3"/>
        <v/>
      </c>
      <c r="F89" s="7" t="str">
        <f>IF($A89&lt;&gt;"",MAXIFS(Token!$B:$B,Token!$A:$A,$D89),)</f>
        <v/>
      </c>
    </row>
    <row r="90">
      <c r="A90" s="39" t="str">
        <f>IF(AND($L90*1&gt;=$G$3,$L90*1&lt;=$G$4,$I90*$J90&gt;0,OR($I90&lt;&gt;$I91,$L90-$L91&gt;25),$I90/POW(10,$J90)*MAXIFS(Token!$B:$B,Token!$A:$A,$K90)&gt;0.01),$L90/86400+DATE(1970,1,1)+$G$6,)</f>
        <v/>
      </c>
      <c r="B90" s="27" t="str">
        <f t="shared" si="1"/>
        <v/>
      </c>
      <c r="C90" s="14" t="str">
        <f>IF($A90&lt;&gt;"",MINIFS(Merchant!$A:$A,Merchant!$B:$B,$G$2),)</f>
        <v/>
      </c>
      <c r="D90" s="14" t="str">
        <f t="shared" si="2"/>
        <v/>
      </c>
      <c r="E90" s="14" t="str">
        <f t="shared" si="3"/>
        <v/>
      </c>
      <c r="F90" s="7" t="str">
        <f>IF($A90&lt;&gt;"",MAXIFS(Token!$B:$B,Token!$A:$A,$D90),)</f>
        <v/>
      </c>
    </row>
    <row r="91">
      <c r="A91" s="39" t="str">
        <f>IF(AND($L91*1&gt;=$G$3,$L91*1&lt;=$G$4,$I91*$J91&gt;0,OR($I91&lt;&gt;$I92,$L91-$L92&gt;25),$I91/POW(10,$J91)*MAXIFS(Token!$B:$B,Token!$A:$A,$K91)&gt;0.01),$L91/86400+DATE(1970,1,1)+$G$6,)</f>
        <v/>
      </c>
      <c r="B91" s="27" t="str">
        <f t="shared" si="1"/>
        <v/>
      </c>
      <c r="C91" s="14" t="str">
        <f>IF($A91&lt;&gt;"",MINIFS(Merchant!$A:$A,Merchant!$B:$B,$G$2),)</f>
        <v/>
      </c>
      <c r="D91" s="14" t="str">
        <f t="shared" si="2"/>
        <v/>
      </c>
      <c r="E91" s="14" t="str">
        <f t="shared" si="3"/>
        <v/>
      </c>
      <c r="F91" s="7" t="str">
        <f>IF($A91&lt;&gt;"",MAXIFS(Token!$B:$B,Token!$A:$A,$D91),)</f>
        <v/>
      </c>
    </row>
    <row r="92">
      <c r="A92" s="39" t="str">
        <f>IF(AND($L92*1&gt;=$G$3,$L92*1&lt;=$G$4,$I92*$J92&gt;0,OR($I92&lt;&gt;$I93,$L92-$L93&gt;25),$I92/POW(10,$J92)*MAXIFS(Token!$B:$B,Token!$A:$A,$K92)&gt;0.01),$L92/86400+DATE(1970,1,1)+$G$6,)</f>
        <v/>
      </c>
      <c r="B92" s="27" t="str">
        <f t="shared" si="1"/>
        <v/>
      </c>
      <c r="C92" s="14" t="str">
        <f>IF($A92&lt;&gt;"",MINIFS(Merchant!$A:$A,Merchant!$B:$B,$G$2),)</f>
        <v/>
      </c>
      <c r="D92" s="14" t="str">
        <f t="shared" si="2"/>
        <v/>
      </c>
      <c r="E92" s="14" t="str">
        <f t="shared" si="3"/>
        <v/>
      </c>
      <c r="F92" s="7" t="str">
        <f>IF($A92&lt;&gt;"",MAXIFS(Token!$B:$B,Token!$A:$A,$D92),)</f>
        <v/>
      </c>
    </row>
    <row r="93">
      <c r="A93" s="39" t="str">
        <f>IF(AND($L93*1&gt;=$G$3,$L93*1&lt;=$G$4,$I93*$J93&gt;0,OR($I93&lt;&gt;$I94,$L93-$L94&gt;25),$I93/POW(10,$J93)*MAXIFS(Token!$B:$B,Token!$A:$A,$K93)&gt;0.01),$L93/86400+DATE(1970,1,1)+$G$6,)</f>
        <v/>
      </c>
      <c r="B93" s="27" t="str">
        <f t="shared" si="1"/>
        <v/>
      </c>
      <c r="C93" s="14" t="str">
        <f>IF($A93&lt;&gt;"",MINIFS(Merchant!$A:$A,Merchant!$B:$B,$G$2),)</f>
        <v/>
      </c>
      <c r="D93" s="14" t="str">
        <f t="shared" si="2"/>
        <v/>
      </c>
      <c r="E93" s="14" t="str">
        <f t="shared" si="3"/>
        <v/>
      </c>
      <c r="F93" s="7" t="str">
        <f>IF($A93&lt;&gt;"",MAXIFS(Token!$B:$B,Token!$A:$A,$D93),)</f>
        <v/>
      </c>
    </row>
    <row r="94">
      <c r="A94" s="39" t="str">
        <f>IF(AND($L94*1&gt;=$G$3,$L94*1&lt;=$G$4,$I94*$J94&gt;0,OR($I94&lt;&gt;$I95,$L94-$L95&gt;25),$I94/POW(10,$J94)*MAXIFS(Token!$B:$B,Token!$A:$A,$K94)&gt;0.01),$L94/86400+DATE(1970,1,1)+$G$6,)</f>
        <v/>
      </c>
      <c r="B94" s="27" t="str">
        <f t="shared" si="1"/>
        <v/>
      </c>
      <c r="C94" s="14" t="str">
        <f>IF($A94&lt;&gt;"",MINIFS(Merchant!$A:$A,Merchant!$B:$B,$G$2),)</f>
        <v/>
      </c>
      <c r="D94" s="14" t="str">
        <f t="shared" si="2"/>
        <v/>
      </c>
      <c r="E94" s="14" t="str">
        <f t="shared" si="3"/>
        <v/>
      </c>
      <c r="F94" s="7" t="str">
        <f>IF($A94&lt;&gt;"",MAXIFS(Token!$B:$B,Token!$A:$A,$D94),)</f>
        <v/>
      </c>
    </row>
    <row r="95">
      <c r="A95" s="39" t="str">
        <f>IF(AND($L95*1&gt;=$G$3,$L95*1&lt;=$G$4,$I95*$J95&gt;0,OR($I95&lt;&gt;$I96,$L95-$L96&gt;25),$I95/POW(10,$J95)*MAXIFS(Token!$B:$B,Token!$A:$A,$K95)&gt;0.01),$L95/86400+DATE(1970,1,1)+$G$6,)</f>
        <v/>
      </c>
      <c r="B95" s="27" t="str">
        <f t="shared" si="1"/>
        <v/>
      </c>
      <c r="C95" s="14" t="str">
        <f>IF($A95&lt;&gt;"",MINIFS(Merchant!$A:$A,Merchant!$B:$B,$G$2),)</f>
        <v/>
      </c>
      <c r="D95" s="14" t="str">
        <f t="shared" si="2"/>
        <v/>
      </c>
      <c r="E95" s="14" t="str">
        <f t="shared" si="3"/>
        <v/>
      </c>
      <c r="F95" s="7" t="str">
        <f>IF($A95&lt;&gt;"",MAXIFS(Token!$B:$B,Token!$A:$A,$D95),)</f>
        <v/>
      </c>
    </row>
    <row r="96">
      <c r="A96" s="39" t="str">
        <f>IF(AND($L96*1&gt;=$G$3,$L96*1&lt;=$G$4,$I96*$J96&gt;0,OR($I96&lt;&gt;$I97,$L96-$L97&gt;25),$I96/POW(10,$J96)*MAXIFS(Token!$B:$B,Token!$A:$A,$K96)&gt;0.01),$L96/86400+DATE(1970,1,1)+$G$6,)</f>
        <v/>
      </c>
      <c r="B96" s="27" t="str">
        <f t="shared" si="1"/>
        <v/>
      </c>
      <c r="C96" s="14" t="str">
        <f>IF($A96&lt;&gt;"",MINIFS(Merchant!$A:$A,Merchant!$B:$B,$G$2),)</f>
        <v/>
      </c>
      <c r="D96" s="14" t="str">
        <f t="shared" si="2"/>
        <v/>
      </c>
      <c r="E96" s="14" t="str">
        <f t="shared" si="3"/>
        <v/>
      </c>
      <c r="F96" s="7" t="str">
        <f>IF($A96&lt;&gt;"",MAXIFS(Token!$B:$B,Token!$A:$A,$D96),)</f>
        <v/>
      </c>
    </row>
    <row r="97">
      <c r="A97" s="39" t="str">
        <f>IF(AND($L97*1&gt;=$G$3,$L97*1&lt;=$G$4,$I97*$J97&gt;0,OR($I97&lt;&gt;$I98,$L97-$L98&gt;25),$I97/POW(10,$J97)*MAXIFS(Token!$B:$B,Token!$A:$A,$K97)&gt;0.01),$L97/86400+DATE(1970,1,1)+$G$6,)</f>
        <v/>
      </c>
      <c r="B97" s="27" t="str">
        <f t="shared" si="1"/>
        <v/>
      </c>
      <c r="C97" s="14" t="str">
        <f>IF($A97&lt;&gt;"",MINIFS(Merchant!$A:$A,Merchant!$B:$B,$G$2),)</f>
        <v/>
      </c>
      <c r="D97" s="14" t="str">
        <f t="shared" si="2"/>
        <v/>
      </c>
      <c r="E97" s="14" t="str">
        <f t="shared" si="3"/>
        <v/>
      </c>
      <c r="F97" s="7" t="str">
        <f>IF($A97&lt;&gt;"",MAXIFS(Token!$B:$B,Token!$A:$A,$D97),)</f>
        <v/>
      </c>
    </row>
    <row r="98">
      <c r="A98" s="39" t="str">
        <f>IF(AND($L98*1&gt;=$G$3,$L98*1&lt;=$G$4,$I98*$J98&gt;0,OR($I98&lt;&gt;$I99,$L98-$L99&gt;25),$I98/POW(10,$J98)*MAXIFS(Token!$B:$B,Token!$A:$A,$K98)&gt;0.01),$L98/86400+DATE(1970,1,1)+$G$6,)</f>
        <v/>
      </c>
      <c r="B98" s="27" t="str">
        <f t="shared" si="1"/>
        <v/>
      </c>
      <c r="C98" s="14" t="str">
        <f>IF($A98&lt;&gt;"",MINIFS(Merchant!$A:$A,Merchant!$B:$B,$G$2),)</f>
        <v/>
      </c>
      <c r="D98" s="14" t="str">
        <f t="shared" si="2"/>
        <v/>
      </c>
      <c r="E98" s="14" t="str">
        <f t="shared" si="3"/>
        <v/>
      </c>
      <c r="F98" s="7" t="str">
        <f>IF($A98&lt;&gt;"",MAXIFS(Token!$B:$B,Token!$A:$A,$D98),)</f>
        <v/>
      </c>
    </row>
    <row r="99">
      <c r="A99" s="39" t="str">
        <f>IF(AND($L99*1&gt;=$G$3,$L99*1&lt;=$G$4,$I99*$J99&gt;0,OR($I99&lt;&gt;$I100,$L99-$L100&gt;25),$I99/POW(10,$J99)*MAXIFS(Token!$B:$B,Token!$A:$A,$K99)&gt;0.01),$L99/86400+DATE(1970,1,1)+$G$6,)</f>
        <v/>
      </c>
      <c r="B99" s="27" t="str">
        <f t="shared" si="1"/>
        <v/>
      </c>
      <c r="C99" s="14" t="str">
        <f>IF($A99&lt;&gt;"",MINIFS(Merchant!$A:$A,Merchant!$B:$B,$G$2),)</f>
        <v/>
      </c>
      <c r="D99" s="14" t="str">
        <f t="shared" si="2"/>
        <v/>
      </c>
      <c r="E99" s="14" t="str">
        <f t="shared" si="3"/>
        <v/>
      </c>
      <c r="F99" s="7" t="str">
        <f>IF($A99&lt;&gt;"",MAXIFS(Token!$B:$B,Token!$A:$A,$D99),)</f>
        <v/>
      </c>
    </row>
    <row r="100">
      <c r="A100" s="39" t="str">
        <f>IF(AND($L100*1&gt;=$G$3,$L100*1&lt;=$G$4,$I100*$J100&gt;0,OR($I100&lt;&gt;$I101,$L100-$L101&gt;25),$I100/POW(10,$J100)*MAXIFS(Token!$B:$B,Token!$A:$A,$K100)&gt;0.01),$L100/86400+DATE(1970,1,1)+$G$6,)</f>
        <v/>
      </c>
      <c r="B100" s="27" t="str">
        <f t="shared" si="1"/>
        <v/>
      </c>
      <c r="C100" s="14" t="str">
        <f>IF($A100&lt;&gt;"",MINIFS(Merchant!$A:$A,Merchant!$B:$B,$G$2),)</f>
        <v/>
      </c>
      <c r="D100" s="14" t="str">
        <f t="shared" si="2"/>
        <v/>
      </c>
      <c r="E100" s="14" t="str">
        <f t="shared" si="3"/>
        <v/>
      </c>
      <c r="F100" s="7" t="str">
        <f>IF($A100&lt;&gt;"",MAXIFS(Token!$B:$B,Token!$A:$A,$D100),)</f>
        <v/>
      </c>
    </row>
    <row r="101">
      <c r="A101" s="39" t="str">
        <f>IF(AND($L101*1&gt;=$G$3,$L101*1&lt;=$G$4,$I101*$J101&gt;0,OR($I101&lt;&gt;$I102,$L101-$L102&gt;25),$I101/POW(10,$J101)*MAXIFS(Token!$B:$B,Token!$A:$A,$K101)&gt;0.01),$L101/86400+DATE(1970,1,1)+$G$6,)</f>
        <v/>
      </c>
      <c r="B101" s="27" t="str">
        <f t="shared" si="1"/>
        <v/>
      </c>
      <c r="C101" s="14" t="str">
        <f>IF($A101&lt;&gt;"",MINIFS(Merchant!$A:$A,Merchant!$B:$B,$G$2),)</f>
        <v/>
      </c>
      <c r="D101" s="14" t="str">
        <f t="shared" si="2"/>
        <v/>
      </c>
      <c r="E101" s="14" t="str">
        <f t="shared" si="3"/>
        <v/>
      </c>
      <c r="F101" s="7" t="str">
        <f>IF($A101&lt;&gt;"",MAXIFS(Token!$B:$B,Token!$A:$A,$D101),)</f>
        <v/>
      </c>
    </row>
    <row r="102">
      <c r="A102" s="39" t="str">
        <f>IF(AND($L102*1&gt;=$G$3,$L102*1&lt;=$G$4,$I102*$J102&gt;0,OR($I102&lt;&gt;$I103,$L102-$L103&gt;25),$I102/POW(10,$J102)*MAXIFS(Token!$B:$B,Token!$A:$A,$K102)&gt;0.01),$L102/86400+DATE(1970,1,1)+$G$6,)</f>
        <v/>
      </c>
      <c r="B102" s="27" t="str">
        <f t="shared" si="1"/>
        <v/>
      </c>
      <c r="C102" s="14" t="str">
        <f>IF($A102&lt;&gt;"",MINIFS(Merchant!$A:$A,Merchant!$B:$B,$G$2),)</f>
        <v/>
      </c>
      <c r="D102" s="14" t="str">
        <f t="shared" si="2"/>
        <v/>
      </c>
      <c r="E102" s="14" t="str">
        <f t="shared" si="3"/>
        <v/>
      </c>
      <c r="F102" s="7" t="str">
        <f>IF($A102&lt;&gt;"",MAXIFS(Token!$B:$B,Token!$A:$A,$D102),)</f>
        <v/>
      </c>
    </row>
    <row r="103">
      <c r="A103" s="39" t="str">
        <f>IF(AND($L103*1&gt;=$G$3,$L103*1&lt;=$G$4,$I103*$J103&gt;0,OR($I103&lt;&gt;$I104,$L103-$L104&gt;25),$I103/POW(10,$J103)*MAXIFS(Token!$B:$B,Token!$A:$A,$K103)&gt;0.01),$L103/86400+DATE(1970,1,1)+$G$6,)</f>
        <v/>
      </c>
      <c r="B103" s="27" t="str">
        <f t="shared" si="1"/>
        <v/>
      </c>
      <c r="C103" s="14" t="str">
        <f>IF($A103&lt;&gt;"",MINIFS(Merchant!$A:$A,Merchant!$B:$B,$G$2),)</f>
        <v/>
      </c>
      <c r="D103" s="14" t="str">
        <f t="shared" si="2"/>
        <v/>
      </c>
      <c r="E103" s="14" t="str">
        <f t="shared" si="3"/>
        <v/>
      </c>
      <c r="F103" s="7" t="str">
        <f>IF($A103&lt;&gt;"",MAXIFS(Token!$B:$B,Token!$A:$A,$D103),)</f>
        <v/>
      </c>
    </row>
    <row r="104">
      <c r="A104" s="39" t="str">
        <f>IF(AND($L104*1&gt;=$G$3,$L104*1&lt;=$G$4,$I104*$J104&gt;0,OR($I104&lt;&gt;$I105,$L104-$L105&gt;25),$I104/POW(10,$J104)*MAXIFS(Token!$B:$B,Token!$A:$A,$K104)&gt;0.01),$L104/86400+DATE(1970,1,1)+$G$6,)</f>
        <v/>
      </c>
      <c r="B104" s="27" t="str">
        <f t="shared" si="1"/>
        <v/>
      </c>
      <c r="C104" s="14" t="str">
        <f>IF($A104&lt;&gt;"",MINIFS(Merchant!$A:$A,Merchant!$B:$B,$G$2),)</f>
        <v/>
      </c>
      <c r="D104" s="14" t="str">
        <f t="shared" si="2"/>
        <v/>
      </c>
      <c r="E104" s="14" t="str">
        <f t="shared" si="3"/>
        <v/>
      </c>
      <c r="F104" s="7" t="str">
        <f>IF($A104&lt;&gt;"",MAXIFS(Token!$B:$B,Token!$A:$A,$D104),)</f>
        <v/>
      </c>
    </row>
    <row r="105">
      <c r="A105" s="39" t="str">
        <f>IF(AND($L105*1&gt;=$G$3,$L105*1&lt;=$G$4,$I105*$J105&gt;0,OR($I105&lt;&gt;$I106,$L105-$L106&gt;25),$I105/POW(10,$J105)*MAXIFS(Token!$B:$B,Token!$A:$A,$K105)&gt;0.01),$L105/86400+DATE(1970,1,1)+$G$6,)</f>
        <v/>
      </c>
      <c r="B105" s="27" t="str">
        <f t="shared" si="1"/>
        <v/>
      </c>
      <c r="C105" s="14" t="str">
        <f>IF($A105&lt;&gt;"",MINIFS(Merchant!$A:$A,Merchant!$B:$B,$G$2),)</f>
        <v/>
      </c>
      <c r="D105" s="14" t="str">
        <f t="shared" si="2"/>
        <v/>
      </c>
      <c r="E105" s="14" t="str">
        <f t="shared" si="3"/>
        <v/>
      </c>
      <c r="F105" s="7" t="str">
        <f>IF($A105&lt;&gt;"",MAXIFS(Token!$B:$B,Token!$A:$A,$D105),)</f>
        <v/>
      </c>
    </row>
    <row r="106">
      <c r="A106" s="39" t="str">
        <f>IF(AND($L106*1&gt;=$G$3,$L106*1&lt;=$G$4,$I106*$J106&gt;0,OR($I106&lt;&gt;$I107,$L106-$L107&gt;25),$I106/POW(10,$J106)*MAXIFS(Token!$B:$B,Token!$A:$A,$K106)&gt;0.01),$L106/86400+DATE(1970,1,1)+$G$6,)</f>
        <v/>
      </c>
      <c r="B106" s="27" t="str">
        <f t="shared" si="1"/>
        <v/>
      </c>
      <c r="C106" s="14" t="str">
        <f>IF($A106&lt;&gt;"",MINIFS(Merchant!$A:$A,Merchant!$B:$B,$G$2),)</f>
        <v/>
      </c>
      <c r="D106" s="14" t="str">
        <f t="shared" si="2"/>
        <v/>
      </c>
      <c r="E106" s="14" t="str">
        <f t="shared" si="3"/>
        <v/>
      </c>
      <c r="F106" s="7" t="str">
        <f>IF($A106&lt;&gt;"",MAXIFS(Token!$B:$B,Token!$A:$A,$D106),)</f>
        <v/>
      </c>
    </row>
    <row r="107">
      <c r="A107" s="39" t="str">
        <f>IF(AND($L107*1&gt;=$G$3,$L107*1&lt;=$G$4,$I107*$J107&gt;0,OR($I107&lt;&gt;$I108,$L107-$L108&gt;25),$I107/POW(10,$J107)*MAXIFS(Token!$B:$B,Token!$A:$A,$K107)&gt;0.01),$L107/86400+DATE(1970,1,1)+$G$6,)</f>
        <v/>
      </c>
      <c r="B107" s="27" t="str">
        <f t="shared" si="1"/>
        <v/>
      </c>
      <c r="C107" s="14" t="str">
        <f>IF($A107&lt;&gt;"",MINIFS(Merchant!$A:$A,Merchant!$B:$B,$G$2),)</f>
        <v/>
      </c>
      <c r="D107" s="14" t="str">
        <f t="shared" si="2"/>
        <v/>
      </c>
      <c r="E107" s="14" t="str">
        <f t="shared" si="3"/>
        <v/>
      </c>
      <c r="F107" s="7" t="str">
        <f>IF($A107&lt;&gt;"",MAXIFS(Token!$B:$B,Token!$A:$A,$D107),)</f>
        <v/>
      </c>
    </row>
    <row r="108">
      <c r="A108" s="39" t="str">
        <f>IF(AND($L108*1&gt;=$G$3,$L108*1&lt;=$G$4,$I108*$J108&gt;0,OR($I108&lt;&gt;$I109,$L108-$L109&gt;25),$I108/POW(10,$J108)*MAXIFS(Token!$B:$B,Token!$A:$A,$K108)&gt;0.01),$L108/86400+DATE(1970,1,1)+$G$6,)</f>
        <v/>
      </c>
      <c r="B108" s="27" t="str">
        <f t="shared" si="1"/>
        <v/>
      </c>
      <c r="C108" s="14" t="str">
        <f>IF($A108&lt;&gt;"",MINIFS(Merchant!$A:$A,Merchant!$B:$B,$G$2),)</f>
        <v/>
      </c>
      <c r="D108" s="14" t="str">
        <f t="shared" si="2"/>
        <v/>
      </c>
      <c r="E108" s="14" t="str">
        <f t="shared" si="3"/>
        <v/>
      </c>
      <c r="F108" s="7" t="str">
        <f>IF($A108&lt;&gt;"",MAXIFS(Token!$B:$B,Token!$A:$A,$D108),)</f>
        <v/>
      </c>
    </row>
    <row r="109">
      <c r="A109" s="39" t="str">
        <f>IF(AND($L109*1&gt;=$G$3,$L109*1&lt;=$G$4,$I109*$J109&gt;0,OR($I109&lt;&gt;$I110,$L109-$L110&gt;25),$I109/POW(10,$J109)*MAXIFS(Token!$B:$B,Token!$A:$A,$K109)&gt;0.01),$L109/86400+DATE(1970,1,1)+$G$6,)</f>
        <v/>
      </c>
      <c r="B109" s="27" t="str">
        <f t="shared" si="1"/>
        <v/>
      </c>
      <c r="C109" s="14" t="str">
        <f>IF($A109&lt;&gt;"",MINIFS(Merchant!$A:$A,Merchant!$B:$B,$G$2),)</f>
        <v/>
      </c>
      <c r="D109" s="14" t="str">
        <f t="shared" si="2"/>
        <v/>
      </c>
      <c r="E109" s="14" t="str">
        <f t="shared" si="3"/>
        <v/>
      </c>
      <c r="F109" s="7" t="str">
        <f>IF($A109&lt;&gt;"",MAXIFS(Token!$B:$B,Token!$A:$A,$D109),)</f>
        <v/>
      </c>
    </row>
    <row r="110">
      <c r="A110" s="39" t="str">
        <f>IF(AND($L110*1&gt;=$G$3,$L110*1&lt;=$G$4,$I110*$J110&gt;0,OR($I110&lt;&gt;$I111,$L110-$L111&gt;25),$I110/POW(10,$J110)*MAXIFS(Token!$B:$B,Token!$A:$A,$K110)&gt;0.01),$L110/86400+DATE(1970,1,1)+$G$6,)</f>
        <v/>
      </c>
      <c r="B110" s="27" t="str">
        <f t="shared" si="1"/>
        <v/>
      </c>
      <c r="C110" s="14" t="str">
        <f>IF($A110&lt;&gt;"",MINIFS(Merchant!$A:$A,Merchant!$B:$B,$G$2),)</f>
        <v/>
      </c>
      <c r="D110" s="14" t="str">
        <f t="shared" si="2"/>
        <v/>
      </c>
      <c r="E110" s="14" t="str">
        <f t="shared" si="3"/>
        <v/>
      </c>
      <c r="F110" s="7" t="str">
        <f>IF($A110&lt;&gt;"",MAXIFS(Token!$B:$B,Token!$A:$A,$D110),)</f>
        <v/>
      </c>
    </row>
    <row r="111">
      <c r="A111" s="39" t="str">
        <f>IF(AND($L111*1&gt;=$G$3,$L111*1&lt;=$G$4,$I111*$J111&gt;0,OR($I111&lt;&gt;$I112,$L111-$L112&gt;25),$I111/POW(10,$J111)*MAXIFS(Token!$B:$B,Token!$A:$A,$K111)&gt;0.01),$L111/86400+DATE(1970,1,1)+$G$6,)</f>
        <v/>
      </c>
      <c r="B111" s="27" t="str">
        <f t="shared" si="1"/>
        <v/>
      </c>
      <c r="C111" s="14" t="str">
        <f>IF($A111&lt;&gt;"",MINIFS(Merchant!$A:$A,Merchant!$B:$B,$G$2),)</f>
        <v/>
      </c>
      <c r="D111" s="14" t="str">
        <f t="shared" si="2"/>
        <v/>
      </c>
      <c r="E111" s="14" t="str">
        <f t="shared" si="3"/>
        <v/>
      </c>
      <c r="F111" s="7" t="str">
        <f>IF($A111&lt;&gt;"",MAXIFS(Token!$B:$B,Token!$A:$A,$D111),)</f>
        <v/>
      </c>
    </row>
    <row r="112">
      <c r="A112" s="39" t="str">
        <f>IF(AND($L112*1&gt;=$G$3,$L112*1&lt;=$G$4,$I112*$J112&gt;0,OR($I112&lt;&gt;$I113,$L112-$L113&gt;25),$I112/POW(10,$J112)*MAXIFS(Token!$B:$B,Token!$A:$A,$K112)&gt;0.01),$L112/86400+DATE(1970,1,1)+$G$6,)</f>
        <v/>
      </c>
      <c r="B112" s="27" t="str">
        <f t="shared" si="1"/>
        <v/>
      </c>
      <c r="C112" s="14" t="str">
        <f>IF($A112&lt;&gt;"",MINIFS(Merchant!$A:$A,Merchant!$B:$B,$G$2),)</f>
        <v/>
      </c>
      <c r="D112" s="14" t="str">
        <f t="shared" si="2"/>
        <v/>
      </c>
      <c r="E112" s="14" t="str">
        <f t="shared" si="3"/>
        <v/>
      </c>
      <c r="F112" s="7" t="str">
        <f>IF($A112&lt;&gt;"",MAXIFS(Token!$B:$B,Token!$A:$A,$D112),)</f>
        <v/>
      </c>
    </row>
    <row r="113">
      <c r="A113" s="39" t="str">
        <f>IF(AND($L113*1&gt;=$G$3,$L113*1&lt;=$G$4,$I113*$J113&gt;0,OR($I113&lt;&gt;$I114,$L113-$L114&gt;25),$I113/POW(10,$J113)*MAXIFS(Token!$B:$B,Token!$A:$A,$K113)&gt;0.01),$L113/86400+DATE(1970,1,1)+$G$6,)</f>
        <v/>
      </c>
      <c r="B113" s="27" t="str">
        <f t="shared" si="1"/>
        <v/>
      </c>
      <c r="C113" s="14" t="str">
        <f>IF($A113&lt;&gt;"",MINIFS(Merchant!$A:$A,Merchant!$B:$B,$G$2),)</f>
        <v/>
      </c>
      <c r="D113" s="14" t="str">
        <f t="shared" si="2"/>
        <v/>
      </c>
      <c r="E113" s="14" t="str">
        <f t="shared" si="3"/>
        <v/>
      </c>
      <c r="F113" s="7" t="str">
        <f>IF($A113&lt;&gt;"",MAXIFS(Token!$B:$B,Token!$A:$A,$D113),)</f>
        <v/>
      </c>
    </row>
    <row r="114">
      <c r="A114" s="39" t="str">
        <f>IF(AND($L114*1&gt;=$G$3,$L114*1&lt;=$G$4,$I114*$J114&gt;0,OR($I114&lt;&gt;$I115,$L114-$L115&gt;25),$I114/POW(10,$J114)*MAXIFS(Token!$B:$B,Token!$A:$A,$K114)&gt;0.01),$L114/86400+DATE(1970,1,1)+$G$6,)</f>
        <v/>
      </c>
      <c r="B114" s="27" t="str">
        <f t="shared" si="1"/>
        <v/>
      </c>
      <c r="C114" s="14" t="str">
        <f>IF($A114&lt;&gt;"",MINIFS(Merchant!$A:$A,Merchant!$B:$B,$G$2),)</f>
        <v/>
      </c>
      <c r="D114" s="14" t="str">
        <f t="shared" si="2"/>
        <v/>
      </c>
      <c r="E114" s="14" t="str">
        <f t="shared" si="3"/>
        <v/>
      </c>
      <c r="F114" s="7" t="str">
        <f>IF($A114&lt;&gt;"",MAXIFS(Token!$B:$B,Token!$A:$A,$D114),)</f>
        <v/>
      </c>
    </row>
    <row r="115">
      <c r="A115" s="39" t="str">
        <f>IF(AND($L115*1&gt;=$G$3,$L115*1&lt;=$G$4,$I115*$J115&gt;0,OR($I115&lt;&gt;$I116,$L115-$L116&gt;25),$I115/POW(10,$J115)*MAXIFS(Token!$B:$B,Token!$A:$A,$K115)&gt;0.01),$L115/86400+DATE(1970,1,1)+$G$6,)</f>
        <v/>
      </c>
      <c r="B115" s="27" t="str">
        <f t="shared" si="1"/>
        <v/>
      </c>
      <c r="C115" s="14" t="str">
        <f>IF($A115&lt;&gt;"",MINIFS(Merchant!$A:$A,Merchant!$B:$B,$G$2),)</f>
        <v/>
      </c>
      <c r="D115" s="14" t="str">
        <f t="shared" si="2"/>
        <v/>
      </c>
      <c r="E115" s="14" t="str">
        <f t="shared" si="3"/>
        <v/>
      </c>
      <c r="F115" s="7" t="str">
        <f>IF($A115&lt;&gt;"",MAXIFS(Token!$B:$B,Token!$A:$A,$D115),)</f>
        <v/>
      </c>
    </row>
    <row r="116">
      <c r="A116" s="39" t="str">
        <f>IF(AND($L116*1&gt;=$G$3,$L116*1&lt;=$G$4,$I116*$J116&gt;0,OR($I116&lt;&gt;$I117,$L116-$L117&gt;25),$I116/POW(10,$J116)*MAXIFS(Token!$B:$B,Token!$A:$A,$K116)&gt;0.01),$L116/86400+DATE(1970,1,1)+$G$6,)</f>
        <v/>
      </c>
      <c r="B116" s="27" t="str">
        <f t="shared" si="1"/>
        <v/>
      </c>
      <c r="C116" s="14" t="str">
        <f>IF($A116&lt;&gt;"",MINIFS(Merchant!$A:$A,Merchant!$B:$B,$G$2),)</f>
        <v/>
      </c>
      <c r="D116" s="14" t="str">
        <f t="shared" si="2"/>
        <v/>
      </c>
      <c r="E116" s="14" t="str">
        <f t="shared" si="3"/>
        <v/>
      </c>
      <c r="F116" s="7" t="str">
        <f>IF($A116&lt;&gt;"",MAXIFS(Token!$B:$B,Token!$A:$A,$D116),)</f>
        <v/>
      </c>
    </row>
    <row r="117">
      <c r="A117" s="39" t="str">
        <f>IF(AND($L117*1&gt;=$G$3,$L117*1&lt;=$G$4,$I117*$J117&gt;0,OR($I117&lt;&gt;$I118,$L117-$L118&gt;25),$I117/POW(10,$J117)*MAXIFS(Token!$B:$B,Token!$A:$A,$K117)&gt;0.01),$L117/86400+DATE(1970,1,1)+$G$6,)</f>
        <v/>
      </c>
      <c r="B117" s="27" t="str">
        <f t="shared" si="1"/>
        <v/>
      </c>
      <c r="C117" s="14" t="str">
        <f>IF($A117&lt;&gt;"",MINIFS(Merchant!$A:$A,Merchant!$B:$B,$G$2),)</f>
        <v/>
      </c>
      <c r="D117" s="14" t="str">
        <f t="shared" si="2"/>
        <v/>
      </c>
      <c r="E117" s="14" t="str">
        <f t="shared" si="3"/>
        <v/>
      </c>
      <c r="F117" s="7" t="str">
        <f>IF($A117&lt;&gt;"",MAXIFS(Token!$B:$B,Token!$A:$A,$D117),)</f>
        <v/>
      </c>
    </row>
    <row r="118">
      <c r="A118" s="39" t="str">
        <f>IF(AND($L118*1&gt;=$G$3,$L118*1&lt;=$G$4,$I118*$J118&gt;0,OR($I118&lt;&gt;$I119,$L118-$L119&gt;25),$I118/POW(10,$J118)*MAXIFS(Token!$B:$B,Token!$A:$A,$K118)&gt;0.01),$L118/86400+DATE(1970,1,1)+$G$6,)</f>
        <v/>
      </c>
      <c r="B118" s="27" t="str">
        <f t="shared" si="1"/>
        <v/>
      </c>
      <c r="C118" s="14" t="str">
        <f>IF($A118&lt;&gt;"",MINIFS(Merchant!$A:$A,Merchant!$B:$B,$G$2),)</f>
        <v/>
      </c>
      <c r="D118" s="14" t="str">
        <f t="shared" si="2"/>
        <v/>
      </c>
      <c r="E118" s="14" t="str">
        <f t="shared" si="3"/>
        <v/>
      </c>
      <c r="F118" s="7" t="str">
        <f>IF($A118&lt;&gt;"",MAXIFS(Token!$B:$B,Token!$A:$A,$D118),)</f>
        <v/>
      </c>
    </row>
    <row r="119">
      <c r="A119" s="39" t="str">
        <f>IF(AND($L119*1&gt;=$G$3,$L119*1&lt;=$G$4,$I119*$J119&gt;0,OR($I119&lt;&gt;$I120,$L119-$L120&gt;25),$I119/POW(10,$J119)*MAXIFS(Token!$B:$B,Token!$A:$A,$K119)&gt;0.01),$L119/86400+DATE(1970,1,1)+$G$6,)</f>
        <v/>
      </c>
      <c r="B119" s="27" t="str">
        <f t="shared" si="1"/>
        <v/>
      </c>
      <c r="C119" s="14" t="str">
        <f>IF($A119&lt;&gt;"",MINIFS(Merchant!$A:$A,Merchant!$B:$B,$G$2),)</f>
        <v/>
      </c>
      <c r="D119" s="14" t="str">
        <f t="shared" si="2"/>
        <v/>
      </c>
      <c r="E119" s="14" t="str">
        <f t="shared" si="3"/>
        <v/>
      </c>
      <c r="F119" s="7" t="str">
        <f>IF($A119&lt;&gt;"",MAXIFS(Token!$B:$B,Token!$A:$A,$D119),)</f>
        <v/>
      </c>
    </row>
    <row r="120">
      <c r="A120" s="39" t="str">
        <f>IF(AND($L120*1&gt;=$G$3,$L120*1&lt;=$G$4,$I120*$J120&gt;0,OR($I120&lt;&gt;$I121,$L120-$L121&gt;25),$I120/POW(10,$J120)*MAXIFS(Token!$B:$B,Token!$A:$A,$K120)&gt;0.01),$L120/86400+DATE(1970,1,1)+$G$6,)</f>
        <v/>
      </c>
      <c r="B120" s="27" t="str">
        <f t="shared" si="1"/>
        <v/>
      </c>
      <c r="C120" s="14" t="str">
        <f>IF($A120&lt;&gt;"",MINIFS(Merchant!$A:$A,Merchant!$B:$B,$G$2),)</f>
        <v/>
      </c>
      <c r="D120" s="14" t="str">
        <f t="shared" si="2"/>
        <v/>
      </c>
      <c r="E120" s="14" t="str">
        <f t="shared" si="3"/>
        <v/>
      </c>
      <c r="F120" s="7" t="str">
        <f>IF($A120&lt;&gt;"",MAXIFS(Token!$B:$B,Token!$A:$A,$D120),)</f>
        <v/>
      </c>
    </row>
    <row r="121">
      <c r="A121" s="39" t="str">
        <f>IF(AND($L121*1&gt;=$G$3,$L121*1&lt;=$G$4,$I121*$J121&gt;0,OR($I121&lt;&gt;$I122,$L121-$L122&gt;25),$I121/POW(10,$J121)*MAXIFS(Token!$B:$B,Token!$A:$A,$K121)&gt;0.01),$L121/86400+DATE(1970,1,1)+$G$6,)</f>
        <v/>
      </c>
      <c r="B121" s="27" t="str">
        <f t="shared" si="1"/>
        <v/>
      </c>
      <c r="C121" s="14" t="str">
        <f>IF($A121&lt;&gt;"",MINIFS(Merchant!$A:$A,Merchant!$B:$B,$G$2),)</f>
        <v/>
      </c>
      <c r="D121" s="14" t="str">
        <f t="shared" si="2"/>
        <v/>
      </c>
      <c r="E121" s="14" t="str">
        <f t="shared" si="3"/>
        <v/>
      </c>
      <c r="F121" s="7" t="str">
        <f>IF($A121&lt;&gt;"",MAXIFS(Token!$B:$B,Token!$A:$A,$D121),)</f>
        <v/>
      </c>
    </row>
    <row r="122">
      <c r="A122" s="39" t="str">
        <f>IF(AND($L122*1&gt;=$G$3,$L122*1&lt;=$G$4,$I122*$J122&gt;0,OR($I122&lt;&gt;$I123,$L122-$L123&gt;25),$I122/POW(10,$J122)*MAXIFS(Token!$B:$B,Token!$A:$A,$K122)&gt;0.01),$L122/86400+DATE(1970,1,1)+$G$6,)</f>
        <v/>
      </c>
      <c r="B122" s="27" t="str">
        <f t="shared" si="1"/>
        <v/>
      </c>
      <c r="C122" s="14" t="str">
        <f>IF($A122&lt;&gt;"",MINIFS(Merchant!$A:$A,Merchant!$B:$B,$G$2),)</f>
        <v/>
      </c>
      <c r="D122" s="14" t="str">
        <f t="shared" si="2"/>
        <v/>
      </c>
      <c r="E122" s="14" t="str">
        <f t="shared" si="3"/>
        <v/>
      </c>
      <c r="F122" s="7" t="str">
        <f>IF($A122&lt;&gt;"",MAXIFS(Token!$B:$B,Token!$A:$A,$D122),)</f>
        <v/>
      </c>
    </row>
    <row r="123">
      <c r="A123" s="39" t="str">
        <f>IF(AND($L123*1&gt;=$G$3,$L123*1&lt;=$G$4,$I123*$J123&gt;0,OR($I123&lt;&gt;$I124,$L123-$L124&gt;25),$I123/POW(10,$J123)*MAXIFS(Token!$B:$B,Token!$A:$A,$K123)&gt;0.01),$L123/86400+DATE(1970,1,1)+$G$6,)</f>
        <v/>
      </c>
      <c r="B123" s="27" t="str">
        <f t="shared" si="1"/>
        <v/>
      </c>
      <c r="C123" s="14" t="str">
        <f>IF($A123&lt;&gt;"",MINIFS(Merchant!$A:$A,Merchant!$B:$B,$G$2),)</f>
        <v/>
      </c>
      <c r="D123" s="14" t="str">
        <f t="shared" si="2"/>
        <v/>
      </c>
      <c r="E123" s="14" t="str">
        <f t="shared" si="3"/>
        <v/>
      </c>
      <c r="F123" s="7" t="str">
        <f>IF($A123&lt;&gt;"",MAXIFS(Token!$B:$B,Token!$A:$A,$D123),)</f>
        <v/>
      </c>
    </row>
    <row r="124">
      <c r="A124" s="39" t="str">
        <f>IF(AND($L124*1&gt;=$G$3,$L124*1&lt;=$G$4,$I124*$J124&gt;0,OR($I124&lt;&gt;$I125,$L124-$L125&gt;25),$I124/POW(10,$J124)*MAXIFS(Token!$B:$B,Token!$A:$A,$K124)&gt;0.01),$L124/86400+DATE(1970,1,1)+$G$6,)</f>
        <v/>
      </c>
      <c r="B124" s="27" t="str">
        <f t="shared" si="1"/>
        <v/>
      </c>
      <c r="C124" s="14" t="str">
        <f>IF($A124&lt;&gt;"",MINIFS(Merchant!$A:$A,Merchant!$B:$B,$G$2),)</f>
        <v/>
      </c>
      <c r="D124" s="14" t="str">
        <f t="shared" si="2"/>
        <v/>
      </c>
      <c r="E124" s="14" t="str">
        <f t="shared" si="3"/>
        <v/>
      </c>
      <c r="F124" s="7" t="str">
        <f>IF($A124&lt;&gt;"",MAXIFS(Token!$B:$B,Token!$A:$A,$D124),)</f>
        <v/>
      </c>
    </row>
    <row r="125">
      <c r="A125" s="39" t="str">
        <f>IF(AND($L125*1&gt;=$G$3,$L125*1&lt;=$G$4,$I125*$J125&gt;0,OR($I125&lt;&gt;$I126,$L125-$L126&gt;25),$I125/POW(10,$J125)*MAXIFS(Token!$B:$B,Token!$A:$A,$K125)&gt;0.01),$L125/86400+DATE(1970,1,1)+$G$6,)</f>
        <v/>
      </c>
      <c r="B125" s="27" t="str">
        <f t="shared" si="1"/>
        <v/>
      </c>
      <c r="C125" s="14" t="str">
        <f>IF($A125&lt;&gt;"",MINIFS(Merchant!$A:$A,Merchant!$B:$B,$G$2),)</f>
        <v/>
      </c>
      <c r="D125" s="14" t="str">
        <f t="shared" si="2"/>
        <v/>
      </c>
      <c r="E125" s="14" t="str">
        <f t="shared" si="3"/>
        <v/>
      </c>
      <c r="F125" s="7" t="str">
        <f>IF($A125&lt;&gt;"",MAXIFS(Token!$B:$B,Token!$A:$A,$D125),)</f>
        <v/>
      </c>
    </row>
    <row r="126">
      <c r="A126" s="39" t="str">
        <f>IF(AND($L126*1&gt;=$G$3,$L126*1&lt;=$G$4,$I126*$J126&gt;0,OR($I126&lt;&gt;$I127,$L126-$L127&gt;25),$I126/POW(10,$J126)*MAXIFS(Token!$B:$B,Token!$A:$A,$K126)&gt;0.01),$L126/86400+DATE(1970,1,1)+$G$6,)</f>
        <v/>
      </c>
      <c r="B126" s="27" t="str">
        <f t="shared" si="1"/>
        <v/>
      </c>
      <c r="C126" s="14" t="str">
        <f>IF($A126&lt;&gt;"",MINIFS(Merchant!$A:$A,Merchant!$B:$B,$G$2),)</f>
        <v/>
      </c>
      <c r="D126" s="14" t="str">
        <f t="shared" si="2"/>
        <v/>
      </c>
      <c r="E126" s="14" t="str">
        <f t="shared" si="3"/>
        <v/>
      </c>
      <c r="F126" s="7" t="str">
        <f>IF($A126&lt;&gt;"",MAXIFS(Token!$B:$B,Token!$A:$A,$D126),)</f>
        <v/>
      </c>
    </row>
    <row r="127">
      <c r="A127" s="39" t="str">
        <f>IF(AND($L127*1&gt;=$G$3,$L127*1&lt;=$G$4,$I127*$J127&gt;0,OR($I127&lt;&gt;$I128,$L127-$L128&gt;25),$I127/POW(10,$J127)*MAXIFS(Token!$B:$B,Token!$A:$A,$K127)&gt;0.01),$L127/86400+DATE(1970,1,1)+$G$6,)</f>
        <v/>
      </c>
      <c r="B127" s="27" t="str">
        <f t="shared" si="1"/>
        <v/>
      </c>
      <c r="C127" s="14" t="str">
        <f>IF($A127&lt;&gt;"",MINIFS(Merchant!$A:$A,Merchant!$B:$B,$G$2),)</f>
        <v/>
      </c>
      <c r="D127" s="14" t="str">
        <f t="shared" si="2"/>
        <v/>
      </c>
      <c r="E127" s="14" t="str">
        <f t="shared" si="3"/>
        <v/>
      </c>
      <c r="F127" s="7" t="str">
        <f>IF($A127&lt;&gt;"",MAXIFS(Token!$B:$B,Token!$A:$A,$D127),)</f>
        <v/>
      </c>
    </row>
    <row r="128">
      <c r="A128" s="39" t="str">
        <f>IF(AND($L128*1&gt;=$G$3,$L128*1&lt;=$G$4,$I128*$J128&gt;0,OR($I128&lt;&gt;$I129,$L128-$L129&gt;25),$I128/POW(10,$J128)*MAXIFS(Token!$B:$B,Token!$A:$A,$K128)&gt;0.01),$L128/86400+DATE(1970,1,1)+$G$6,)</f>
        <v/>
      </c>
      <c r="B128" s="27" t="str">
        <f t="shared" si="1"/>
        <v/>
      </c>
      <c r="C128" s="14" t="str">
        <f>IF($A128&lt;&gt;"",MINIFS(Merchant!$A:$A,Merchant!$B:$B,$G$2),)</f>
        <v/>
      </c>
      <c r="D128" s="14" t="str">
        <f t="shared" si="2"/>
        <v/>
      </c>
      <c r="E128" s="14" t="str">
        <f t="shared" si="3"/>
        <v/>
      </c>
      <c r="F128" s="7" t="str">
        <f>IF($A128&lt;&gt;"",MAXIFS(Token!$B:$B,Token!$A:$A,$D128),)</f>
        <v/>
      </c>
    </row>
    <row r="129">
      <c r="A129" s="39" t="str">
        <f>IF(AND($L129*1&gt;=$G$3,$L129*1&lt;=$G$4,$I129*$J129&gt;0,OR($I129&lt;&gt;$I130,$L129-$L130&gt;25),$I129/POW(10,$J129)*MAXIFS(Token!$B:$B,Token!$A:$A,$K129)&gt;0.01),$L129/86400+DATE(1970,1,1)+$G$6,)</f>
        <v/>
      </c>
      <c r="B129" s="27" t="str">
        <f t="shared" si="1"/>
        <v/>
      </c>
      <c r="C129" s="14" t="str">
        <f>IF($A129&lt;&gt;"",MINIFS(Merchant!$A:$A,Merchant!$B:$B,$G$2),)</f>
        <v/>
      </c>
      <c r="D129" s="14" t="str">
        <f t="shared" si="2"/>
        <v/>
      </c>
      <c r="E129" s="14" t="str">
        <f t="shared" si="3"/>
        <v/>
      </c>
      <c r="F129" s="7" t="str">
        <f>IF($A129&lt;&gt;"",MAXIFS(Token!$B:$B,Token!$A:$A,$D129),)</f>
        <v/>
      </c>
    </row>
    <row r="130">
      <c r="A130" s="39" t="str">
        <f>IF(AND($L130*1&gt;=$G$3,$L130*1&lt;=$G$4,$I130*$J130&gt;0,OR($I130&lt;&gt;$I131,$L130-$L131&gt;25),$I130/POW(10,$J130)*MAXIFS(Token!$B:$B,Token!$A:$A,$K130)&gt;0.01),$L130/86400+DATE(1970,1,1)+$G$6,)</f>
        <v/>
      </c>
      <c r="B130" s="27" t="str">
        <f t="shared" si="1"/>
        <v/>
      </c>
      <c r="C130" s="14" t="str">
        <f>IF($A130&lt;&gt;"",MINIFS(Merchant!$A:$A,Merchant!$B:$B,$G$2),)</f>
        <v/>
      </c>
      <c r="D130" s="14" t="str">
        <f t="shared" si="2"/>
        <v/>
      </c>
      <c r="E130" s="14" t="str">
        <f t="shared" si="3"/>
        <v/>
      </c>
      <c r="F130" s="7" t="str">
        <f>IF($A130&lt;&gt;"",MAXIFS(Token!$B:$B,Token!$A:$A,$D130),)</f>
        <v/>
      </c>
    </row>
    <row r="131">
      <c r="A131" s="39" t="str">
        <f>IF(AND($L131*1&gt;=$G$3,$L131*1&lt;=$G$4,$I131*$J131&gt;0,OR($I131&lt;&gt;$I132,$L131-$L132&gt;25),$I131/POW(10,$J131)*MAXIFS(Token!$B:$B,Token!$A:$A,$K131)&gt;0.01),$L131/86400+DATE(1970,1,1)+$G$6,)</f>
        <v/>
      </c>
      <c r="B131" s="27" t="str">
        <f t="shared" si="1"/>
        <v/>
      </c>
      <c r="C131" s="14" t="str">
        <f>IF($A131&lt;&gt;"",MINIFS(Merchant!$A:$A,Merchant!$B:$B,$G$2),)</f>
        <v/>
      </c>
      <c r="D131" s="14" t="str">
        <f t="shared" si="2"/>
        <v/>
      </c>
      <c r="E131" s="14" t="str">
        <f t="shared" si="3"/>
        <v/>
      </c>
      <c r="F131" s="7" t="str">
        <f>IF($A131&lt;&gt;"",MAXIFS(Token!$B:$B,Token!$A:$A,$D131),)</f>
        <v/>
      </c>
    </row>
    <row r="132">
      <c r="A132" s="39" t="str">
        <f>IF(AND($L132*1&gt;=$G$3,$L132*1&lt;=$G$4,$I132*$J132&gt;0,OR($I132&lt;&gt;$I133,$L132-$L133&gt;25),$I132/POW(10,$J132)*MAXIFS(Token!$B:$B,Token!$A:$A,$K132)&gt;0.01),$L132/86400+DATE(1970,1,1)+$G$6,)</f>
        <v/>
      </c>
      <c r="B132" s="27" t="str">
        <f t="shared" si="1"/>
        <v/>
      </c>
      <c r="C132" s="14" t="str">
        <f>IF($A132&lt;&gt;"",MINIFS(Merchant!$A:$A,Merchant!$B:$B,$G$2),)</f>
        <v/>
      </c>
      <c r="D132" s="14" t="str">
        <f t="shared" si="2"/>
        <v/>
      </c>
      <c r="E132" s="14" t="str">
        <f t="shared" si="3"/>
        <v/>
      </c>
      <c r="F132" s="7" t="str">
        <f>IF($A132&lt;&gt;"",MAXIFS(Token!$B:$B,Token!$A:$A,$D132),)</f>
        <v/>
      </c>
    </row>
    <row r="133">
      <c r="A133" s="39" t="str">
        <f>IF(AND($L133*1&gt;=$G$3,$L133*1&lt;=$G$4,$I133*$J133&gt;0,OR($I133&lt;&gt;$I134,$L133-$L134&gt;25),$I133/POW(10,$J133)*MAXIFS(Token!$B:$B,Token!$A:$A,$K133)&gt;0.01),$L133/86400+DATE(1970,1,1)+$G$6,)</f>
        <v/>
      </c>
      <c r="B133" s="27" t="str">
        <f t="shared" si="1"/>
        <v/>
      </c>
      <c r="C133" s="14" t="str">
        <f>IF($A133&lt;&gt;"",MINIFS(Merchant!$A:$A,Merchant!$B:$B,$G$2),)</f>
        <v/>
      </c>
      <c r="D133" s="14" t="str">
        <f t="shared" si="2"/>
        <v/>
      </c>
      <c r="E133" s="14" t="str">
        <f t="shared" si="3"/>
        <v/>
      </c>
      <c r="F133" s="7" t="str">
        <f>IF($A133&lt;&gt;"",MAXIFS(Token!$B:$B,Token!$A:$A,$D133),)</f>
        <v/>
      </c>
    </row>
    <row r="134">
      <c r="A134" s="39" t="str">
        <f>IF(AND($L134*1&gt;=$G$3,$L134*1&lt;=$G$4,$I134*$J134&gt;0,OR($I134&lt;&gt;$I135,$L134-$L135&gt;25),$I134/POW(10,$J134)*MAXIFS(Token!$B:$B,Token!$A:$A,$K134)&gt;0.01),$L134/86400+DATE(1970,1,1)+$G$6,)</f>
        <v/>
      </c>
      <c r="B134" s="27" t="str">
        <f t="shared" si="1"/>
        <v/>
      </c>
      <c r="C134" s="14" t="str">
        <f>IF($A134&lt;&gt;"",MINIFS(Merchant!$A:$A,Merchant!$B:$B,$G$2),)</f>
        <v/>
      </c>
      <c r="D134" s="14" t="str">
        <f t="shared" si="2"/>
        <v/>
      </c>
      <c r="E134" s="14" t="str">
        <f t="shared" si="3"/>
        <v/>
      </c>
      <c r="F134" s="7" t="str">
        <f>IF($A134&lt;&gt;"",MAXIFS(Token!$B:$B,Token!$A:$A,$D134),)</f>
        <v/>
      </c>
    </row>
    <row r="135">
      <c r="A135" s="39" t="str">
        <f>IF(AND($L135*1&gt;=$G$3,$L135*1&lt;=$G$4,$I135*$J135&gt;0,OR($I135&lt;&gt;$I136,$L135-$L136&gt;25),$I135/POW(10,$J135)*MAXIFS(Token!$B:$B,Token!$A:$A,$K135)&gt;0.01),$L135/86400+DATE(1970,1,1)+$G$6,)</f>
        <v/>
      </c>
      <c r="B135" s="27" t="str">
        <f t="shared" si="1"/>
        <v/>
      </c>
      <c r="C135" s="14" t="str">
        <f>IF($A135&lt;&gt;"",MINIFS(Merchant!$A:$A,Merchant!$B:$B,$G$2),)</f>
        <v/>
      </c>
      <c r="D135" s="14" t="str">
        <f t="shared" si="2"/>
        <v/>
      </c>
      <c r="E135" s="14" t="str">
        <f t="shared" si="3"/>
        <v/>
      </c>
      <c r="F135" s="7" t="str">
        <f>IF($A135&lt;&gt;"",MAXIFS(Token!$B:$B,Token!$A:$A,$D135),)</f>
        <v/>
      </c>
    </row>
    <row r="136">
      <c r="A136" s="39" t="str">
        <f>IF(AND($L136*1&gt;=$G$3,$L136*1&lt;=$G$4,$I136*$J136&gt;0,OR($I136&lt;&gt;$I137,$L136-$L137&gt;25),$I136/POW(10,$J136)*MAXIFS(Token!$B:$B,Token!$A:$A,$K136)&gt;0.01),$L136/86400+DATE(1970,1,1)+$G$6,)</f>
        <v/>
      </c>
      <c r="B136" s="27" t="str">
        <f t="shared" si="1"/>
        <v/>
      </c>
      <c r="C136" s="14" t="str">
        <f>IF($A136&lt;&gt;"",MINIFS(Merchant!$A:$A,Merchant!$B:$B,$G$2),)</f>
        <v/>
      </c>
      <c r="D136" s="14" t="str">
        <f t="shared" si="2"/>
        <v/>
      </c>
      <c r="E136" s="14" t="str">
        <f t="shared" si="3"/>
        <v/>
      </c>
      <c r="F136" s="7" t="str">
        <f>IF($A136&lt;&gt;"",MAXIFS(Token!$B:$B,Token!$A:$A,$D136),)</f>
        <v/>
      </c>
    </row>
    <row r="137">
      <c r="A137" s="39" t="str">
        <f>IF(AND($L137*1&gt;=$G$3,$L137*1&lt;=$G$4,$I137*$J137&gt;0,OR($I137&lt;&gt;$I138,$L137-$L138&gt;25),$I137/POW(10,$J137)*MAXIFS(Token!$B:$B,Token!$A:$A,$K137)&gt;0.01),$L137/86400+DATE(1970,1,1)+$G$6,)</f>
        <v/>
      </c>
      <c r="B137" s="27" t="str">
        <f t="shared" si="1"/>
        <v/>
      </c>
      <c r="C137" s="14" t="str">
        <f>IF($A137&lt;&gt;"",MINIFS(Merchant!$A:$A,Merchant!$B:$B,$G$2),)</f>
        <v/>
      </c>
      <c r="D137" s="14" t="str">
        <f t="shared" si="2"/>
        <v/>
      </c>
      <c r="E137" s="14" t="str">
        <f t="shared" si="3"/>
        <v/>
      </c>
      <c r="F137" s="7" t="str">
        <f>IF($A137&lt;&gt;"",MAXIFS(Token!$B:$B,Token!$A:$A,$D137),)</f>
        <v/>
      </c>
    </row>
    <row r="138">
      <c r="A138" s="39" t="str">
        <f>IF(AND($L138*1&gt;=$G$3,$L138*1&lt;=$G$4,$I138*$J138&gt;0,OR($I138&lt;&gt;$I139,$L138-$L139&gt;25),$I138/POW(10,$J138)*MAXIFS(Token!$B:$B,Token!$A:$A,$K138)&gt;0.01),$L138/86400+DATE(1970,1,1)+$G$6,)</f>
        <v/>
      </c>
      <c r="B138" s="27" t="str">
        <f t="shared" si="1"/>
        <v/>
      </c>
      <c r="C138" s="14" t="str">
        <f>IF($A138&lt;&gt;"",MINIFS(Merchant!$A:$A,Merchant!$B:$B,$G$2),)</f>
        <v/>
      </c>
      <c r="D138" s="14" t="str">
        <f t="shared" si="2"/>
        <v/>
      </c>
      <c r="E138" s="14" t="str">
        <f t="shared" si="3"/>
        <v/>
      </c>
      <c r="F138" s="7" t="str">
        <f>IF($A138&lt;&gt;"",MAXIFS(Token!$B:$B,Token!$A:$A,$D138),)</f>
        <v/>
      </c>
    </row>
    <row r="139">
      <c r="A139" s="39" t="str">
        <f>IF(AND($L139*1&gt;=$G$3,$L139*1&lt;=$G$4,$I139*$J139&gt;0,OR($I139&lt;&gt;$I140,$L139-$L140&gt;25),$I139/POW(10,$J139)*MAXIFS(Token!$B:$B,Token!$A:$A,$K139)&gt;0.01),$L139/86400+DATE(1970,1,1)+$G$6,)</f>
        <v/>
      </c>
      <c r="B139" s="27" t="str">
        <f t="shared" si="1"/>
        <v/>
      </c>
      <c r="C139" s="14" t="str">
        <f>IF($A139&lt;&gt;"",MINIFS(Merchant!$A:$A,Merchant!$B:$B,$G$2),)</f>
        <v/>
      </c>
      <c r="D139" s="14" t="str">
        <f t="shared" si="2"/>
        <v/>
      </c>
      <c r="E139" s="14" t="str">
        <f t="shared" si="3"/>
        <v/>
      </c>
      <c r="F139" s="7" t="str">
        <f>IF($A139&lt;&gt;"",MAXIFS(Token!$B:$B,Token!$A:$A,$D139),)</f>
        <v/>
      </c>
    </row>
    <row r="140">
      <c r="A140" s="39" t="str">
        <f>IF(AND($L140*1&gt;=$G$3,$L140*1&lt;=$G$4,$I140*$J140&gt;0,OR($I140&lt;&gt;$I141,$L140-$L141&gt;25),$I140/POW(10,$J140)*MAXIFS(Token!$B:$B,Token!$A:$A,$K140)&gt;0.01),$L140/86400+DATE(1970,1,1)+$G$6,)</f>
        <v/>
      </c>
      <c r="B140" s="27" t="str">
        <f t="shared" si="1"/>
        <v/>
      </c>
      <c r="C140" s="14" t="str">
        <f>IF($A140&lt;&gt;"",MINIFS(Merchant!$A:$A,Merchant!$B:$B,$G$2),)</f>
        <v/>
      </c>
      <c r="D140" s="14" t="str">
        <f t="shared" si="2"/>
        <v/>
      </c>
      <c r="E140" s="14" t="str">
        <f t="shared" si="3"/>
        <v/>
      </c>
      <c r="F140" s="7" t="str">
        <f>IF($A140&lt;&gt;"",MAXIFS(Token!$B:$B,Token!$A:$A,$D140),)</f>
        <v/>
      </c>
    </row>
    <row r="141">
      <c r="A141" s="39" t="str">
        <f>IF(AND($L141*1&gt;=$G$3,$L141*1&lt;=$G$4,$I141*$J141&gt;0,OR($I141&lt;&gt;$I142,$L141-$L142&gt;25),$I141/POW(10,$J141)*MAXIFS(Token!$B:$B,Token!$A:$A,$K141)&gt;0.01),$L141/86400+DATE(1970,1,1)+$G$6,)</f>
        <v/>
      </c>
      <c r="B141" s="27" t="str">
        <f t="shared" si="1"/>
        <v/>
      </c>
      <c r="C141" s="14" t="str">
        <f>IF($A141&lt;&gt;"",MINIFS(Merchant!$A:$A,Merchant!$B:$B,$G$2),)</f>
        <v/>
      </c>
      <c r="D141" s="14" t="str">
        <f t="shared" si="2"/>
        <v/>
      </c>
      <c r="E141" s="14" t="str">
        <f t="shared" si="3"/>
        <v/>
      </c>
      <c r="F141" s="7" t="str">
        <f>IF($A141&lt;&gt;"",MAXIFS(Token!$B:$B,Token!$A:$A,$D141),)</f>
        <v/>
      </c>
    </row>
    <row r="142">
      <c r="A142" s="39" t="str">
        <f>IF(AND($L142*1&gt;=$G$3,$L142*1&lt;=$G$4,$I142*$J142&gt;0,OR($I142&lt;&gt;$I143,$L142-$L143&gt;25),$I142/POW(10,$J142)*MAXIFS(Token!$B:$B,Token!$A:$A,$K142)&gt;0.01),$L142/86400+DATE(1970,1,1)+$G$6,)</f>
        <v/>
      </c>
      <c r="B142" s="27" t="str">
        <f t="shared" si="1"/>
        <v/>
      </c>
      <c r="C142" s="14" t="str">
        <f>IF($A142&lt;&gt;"",MINIFS(Merchant!$A:$A,Merchant!$B:$B,$G$2),)</f>
        <v/>
      </c>
      <c r="D142" s="14" t="str">
        <f t="shared" si="2"/>
        <v/>
      </c>
      <c r="E142" s="14" t="str">
        <f t="shared" si="3"/>
        <v/>
      </c>
      <c r="F142" s="7" t="str">
        <f>IF($A142&lt;&gt;"",MAXIFS(Token!$B:$B,Token!$A:$A,$D142),)</f>
        <v/>
      </c>
    </row>
    <row r="143">
      <c r="A143" s="39" t="str">
        <f>IF(AND($L143*1&gt;=$G$3,$L143*1&lt;=$G$4,$I143*$J143&gt;0,OR($I143&lt;&gt;$I144,$L143-$L144&gt;25),$I143/POW(10,$J143)*MAXIFS(Token!$B:$B,Token!$A:$A,$K143)&gt;0.01),$L143/86400+DATE(1970,1,1)+$G$6,)</f>
        <v/>
      </c>
      <c r="B143" s="27" t="str">
        <f t="shared" si="1"/>
        <v/>
      </c>
      <c r="C143" s="14" t="str">
        <f>IF($A143&lt;&gt;"",MINIFS(Merchant!$A:$A,Merchant!$B:$B,$G$2),)</f>
        <v/>
      </c>
      <c r="D143" s="14" t="str">
        <f t="shared" si="2"/>
        <v/>
      </c>
      <c r="E143" s="14" t="str">
        <f t="shared" si="3"/>
        <v/>
      </c>
      <c r="F143" s="7" t="str">
        <f>IF($A143&lt;&gt;"",MAXIFS(Token!$B:$B,Token!$A:$A,$D143),)</f>
        <v/>
      </c>
    </row>
    <row r="144">
      <c r="A144" s="39" t="str">
        <f>IF(AND($L144*1&gt;=$G$3,$L144*1&lt;=$G$4,$I144*$J144&gt;0,OR($I144&lt;&gt;$I145,$L144-$L145&gt;25),$I144/POW(10,$J144)*MAXIFS(Token!$B:$B,Token!$A:$A,$K144)&gt;0.01),$L144/86400+DATE(1970,1,1)+$G$6,)</f>
        <v/>
      </c>
      <c r="B144" s="27" t="str">
        <f t="shared" si="1"/>
        <v/>
      </c>
      <c r="C144" s="14" t="str">
        <f>IF($A144&lt;&gt;"",MINIFS(Merchant!$A:$A,Merchant!$B:$B,$G$2),)</f>
        <v/>
      </c>
      <c r="D144" s="14" t="str">
        <f t="shared" si="2"/>
        <v/>
      </c>
      <c r="E144" s="14" t="str">
        <f t="shared" si="3"/>
        <v/>
      </c>
      <c r="F144" s="7" t="str">
        <f>IF($A144&lt;&gt;"",MAXIFS(Token!$B:$B,Token!$A:$A,$D144),)</f>
        <v/>
      </c>
    </row>
    <row r="145">
      <c r="A145" s="39" t="str">
        <f>IF(AND($L145*1&gt;=$G$3,$L145*1&lt;=$G$4,$I145*$J145&gt;0,OR($I145&lt;&gt;$I146,$L145-$L146&gt;25),$I145/POW(10,$J145)*MAXIFS(Token!$B:$B,Token!$A:$A,$K145)&gt;0.01),$L145/86400+DATE(1970,1,1)+$G$6,)</f>
        <v/>
      </c>
      <c r="B145" s="27" t="str">
        <f t="shared" si="1"/>
        <v/>
      </c>
      <c r="C145" s="14" t="str">
        <f>IF($A145&lt;&gt;"",MINIFS(Merchant!$A:$A,Merchant!$B:$B,$G$2),)</f>
        <v/>
      </c>
      <c r="D145" s="14" t="str">
        <f t="shared" si="2"/>
        <v/>
      </c>
      <c r="E145" s="14" t="str">
        <f t="shared" si="3"/>
        <v/>
      </c>
      <c r="F145" s="7" t="str">
        <f>IF($A145&lt;&gt;"",MAXIFS(Token!$B:$B,Token!$A:$A,$D145),)</f>
        <v/>
      </c>
    </row>
    <row r="146">
      <c r="A146" s="39" t="str">
        <f>IF(AND($L146*1&gt;=$G$3,$L146*1&lt;=$G$4,$I146*$J146&gt;0,OR($I146&lt;&gt;$I147,$L146-$L147&gt;25),$I146/POW(10,$J146)*MAXIFS(Token!$B:$B,Token!$A:$A,$K146)&gt;0.01),$L146/86400+DATE(1970,1,1)+$G$6,)</f>
        <v/>
      </c>
      <c r="B146" s="27" t="str">
        <f t="shared" si="1"/>
        <v/>
      </c>
      <c r="C146" s="14" t="str">
        <f>IF($A146&lt;&gt;"",MINIFS(Merchant!$A:$A,Merchant!$B:$B,$G$2),)</f>
        <v/>
      </c>
      <c r="D146" s="14" t="str">
        <f t="shared" si="2"/>
        <v/>
      </c>
      <c r="E146" s="14" t="str">
        <f t="shared" si="3"/>
        <v/>
      </c>
      <c r="F146" s="7" t="str">
        <f>IF($A146&lt;&gt;"",MAXIFS(Token!$B:$B,Token!$A:$A,$D146),)</f>
        <v/>
      </c>
    </row>
    <row r="147">
      <c r="A147" s="39" t="str">
        <f>IF(AND($L147*1&gt;=$G$3,$L147*1&lt;=$G$4,$I147*$J147&gt;0,OR($I147&lt;&gt;$I148,$L147-$L148&gt;25),$I147/POW(10,$J147)*MAXIFS(Token!$B:$B,Token!$A:$A,$K147)&gt;0.01),$L147/86400+DATE(1970,1,1)+$G$6,)</f>
        <v/>
      </c>
      <c r="B147" s="27" t="str">
        <f t="shared" si="1"/>
        <v/>
      </c>
      <c r="C147" s="14" t="str">
        <f>IF($A147&lt;&gt;"",MINIFS(Merchant!$A:$A,Merchant!$B:$B,$G$2),)</f>
        <v/>
      </c>
      <c r="D147" s="14" t="str">
        <f t="shared" si="2"/>
        <v/>
      </c>
      <c r="E147" s="14" t="str">
        <f t="shared" si="3"/>
        <v/>
      </c>
      <c r="F147" s="7" t="str">
        <f>IF($A147&lt;&gt;"",MAXIFS(Token!$B:$B,Token!$A:$A,$D147),)</f>
        <v/>
      </c>
    </row>
    <row r="148">
      <c r="A148" s="39" t="str">
        <f>IF(AND($L148*1&gt;=$G$3,$L148*1&lt;=$G$4,$I148*$J148&gt;0,OR($I148&lt;&gt;$I149,$L148-$L149&gt;25),$I148/POW(10,$J148)*MAXIFS(Token!$B:$B,Token!$A:$A,$K148)&gt;0.01),$L148/86400+DATE(1970,1,1)+$G$6,)</f>
        <v/>
      </c>
      <c r="B148" s="27" t="str">
        <f t="shared" si="1"/>
        <v/>
      </c>
      <c r="C148" s="14" t="str">
        <f>IF($A148&lt;&gt;"",MINIFS(Merchant!$A:$A,Merchant!$B:$B,$G$2),)</f>
        <v/>
      </c>
      <c r="D148" s="14" t="str">
        <f t="shared" si="2"/>
        <v/>
      </c>
      <c r="E148" s="14" t="str">
        <f t="shared" si="3"/>
        <v/>
      </c>
      <c r="F148" s="7" t="str">
        <f>IF($A148&lt;&gt;"",MAXIFS(Token!$B:$B,Token!$A:$A,$D148),)</f>
        <v/>
      </c>
    </row>
    <row r="149">
      <c r="A149" s="39" t="str">
        <f>IF(AND($L149*1&gt;=$G$3,$L149*1&lt;=$G$4,$I149*$J149&gt;0,OR($I149&lt;&gt;$I150,$L149-$L150&gt;25),$I149/POW(10,$J149)*MAXIFS(Token!$B:$B,Token!$A:$A,$K149)&gt;0.01),$L149/86400+DATE(1970,1,1)+$G$6,)</f>
        <v/>
      </c>
      <c r="B149" s="27" t="str">
        <f t="shared" si="1"/>
        <v/>
      </c>
      <c r="C149" s="14" t="str">
        <f>IF($A149&lt;&gt;"",MINIFS(Merchant!$A:$A,Merchant!$B:$B,$G$2),)</f>
        <v/>
      </c>
      <c r="D149" s="14" t="str">
        <f t="shared" si="2"/>
        <v/>
      </c>
      <c r="E149" s="14" t="str">
        <f t="shared" si="3"/>
        <v/>
      </c>
      <c r="F149" s="7" t="str">
        <f>IF($A149&lt;&gt;"",MAXIFS(Token!$B:$B,Token!$A:$A,$D149),)</f>
        <v/>
      </c>
    </row>
    <row r="150">
      <c r="A150" s="39" t="str">
        <f>IF(AND($L150*1&gt;=$G$3,$L150*1&lt;=$G$4,$I150*$J150&gt;0,OR($I150&lt;&gt;$I151,$L150-$L151&gt;25),$I150/POW(10,$J150)*MAXIFS(Token!$B:$B,Token!$A:$A,$K150)&gt;0.01),$L150/86400+DATE(1970,1,1)+$G$6,)</f>
        <v/>
      </c>
      <c r="B150" s="27" t="str">
        <f t="shared" si="1"/>
        <v/>
      </c>
      <c r="C150" s="14" t="str">
        <f>IF($A150&lt;&gt;"",MINIFS(Merchant!$A:$A,Merchant!$B:$B,$G$2),)</f>
        <v/>
      </c>
      <c r="D150" s="14" t="str">
        <f t="shared" si="2"/>
        <v/>
      </c>
      <c r="E150" s="14" t="str">
        <f t="shared" si="3"/>
        <v/>
      </c>
      <c r="F150" s="7" t="str">
        <f>IF($A150&lt;&gt;"",MAXIFS(Token!$B:$B,Token!$A:$A,$D150),)</f>
        <v/>
      </c>
    </row>
    <row r="151">
      <c r="A151" s="39" t="str">
        <f>IF(AND($L151*1&gt;=$G$3,$L151*1&lt;=$G$4,$I151*$J151&gt;0,OR($I151&lt;&gt;$I152,$L151-$L152&gt;25),$I151/POW(10,$J151)*MAXIFS(Token!$B:$B,Token!$A:$A,$K151)&gt;0.01),$L151/86400+DATE(1970,1,1)+$G$6,)</f>
        <v/>
      </c>
      <c r="B151" s="27" t="str">
        <f t="shared" si="1"/>
        <v/>
      </c>
      <c r="C151" s="14" t="str">
        <f>IF($A151&lt;&gt;"",MINIFS(Merchant!$A:$A,Merchant!$B:$B,$G$2),)</f>
        <v/>
      </c>
      <c r="D151" s="14" t="str">
        <f t="shared" si="2"/>
        <v/>
      </c>
      <c r="E151" s="14" t="str">
        <f t="shared" si="3"/>
        <v/>
      </c>
      <c r="F151" s="7" t="str">
        <f>IF($A151&lt;&gt;"",MAXIFS(Token!$B:$B,Token!$A:$A,$D151),)</f>
        <v/>
      </c>
    </row>
    <row r="152">
      <c r="A152" s="39" t="str">
        <f>IF(AND($L152*1&gt;=$G$3,$L152*1&lt;=$G$4,$I152*$J152&gt;0,OR($I152&lt;&gt;$I153,$L152-$L153&gt;25),$I152/POW(10,$J152)*MAXIFS(Token!$B:$B,Token!$A:$A,$K152)&gt;0.01),$L152/86400+DATE(1970,1,1)+$G$6,)</f>
        <v/>
      </c>
      <c r="B152" s="27" t="str">
        <f t="shared" si="1"/>
        <v/>
      </c>
      <c r="C152" s="14" t="str">
        <f>IF($A152&lt;&gt;"",MINIFS(Merchant!$A:$A,Merchant!$B:$B,$G$2),)</f>
        <v/>
      </c>
      <c r="D152" s="14" t="str">
        <f t="shared" si="2"/>
        <v/>
      </c>
      <c r="E152" s="14" t="str">
        <f t="shared" si="3"/>
        <v/>
      </c>
      <c r="F152" s="7" t="str">
        <f>IF($A152&lt;&gt;"",MAXIFS(Token!$B:$B,Token!$A:$A,$D152),)</f>
        <v/>
      </c>
    </row>
    <row r="153">
      <c r="A153" s="39" t="str">
        <f>IF(AND($L153*1&gt;=$G$3,$L153*1&lt;=$G$4,$I153*$J153&gt;0,OR($I153&lt;&gt;$I154,$L153-$L154&gt;25),$I153/POW(10,$J153)*MAXIFS(Token!$B:$B,Token!$A:$A,$K153)&gt;0.01),$L153/86400+DATE(1970,1,1)+$G$6,)</f>
        <v/>
      </c>
      <c r="B153" s="27" t="str">
        <f t="shared" si="1"/>
        <v/>
      </c>
      <c r="C153" s="14" t="str">
        <f>IF($A153&lt;&gt;"",MINIFS(Merchant!$A:$A,Merchant!$B:$B,$G$2),)</f>
        <v/>
      </c>
      <c r="D153" s="14" t="str">
        <f t="shared" si="2"/>
        <v/>
      </c>
      <c r="E153" s="14" t="str">
        <f t="shared" si="3"/>
        <v/>
      </c>
      <c r="F153" s="7" t="str">
        <f>IF($A153&lt;&gt;"",MAXIFS(Token!$B:$B,Token!$A:$A,$D153),)</f>
        <v/>
      </c>
    </row>
    <row r="154">
      <c r="A154" s="39" t="str">
        <f>IF(AND($L154*1&gt;=$G$3,$L154*1&lt;=$G$4,$I154*$J154&gt;0,OR($I154&lt;&gt;$I155,$L154-$L155&gt;25),$I154/POW(10,$J154)*MAXIFS(Token!$B:$B,Token!$A:$A,$K154)&gt;0.01),$L154/86400+DATE(1970,1,1)+$G$6,)</f>
        <v/>
      </c>
      <c r="B154" s="27" t="str">
        <f t="shared" si="1"/>
        <v/>
      </c>
      <c r="C154" s="14" t="str">
        <f>IF($A154&lt;&gt;"",MINIFS(Merchant!$A:$A,Merchant!$B:$B,$G$2),)</f>
        <v/>
      </c>
      <c r="D154" s="14" t="str">
        <f t="shared" si="2"/>
        <v/>
      </c>
      <c r="E154" s="14" t="str">
        <f t="shared" si="3"/>
        <v/>
      </c>
      <c r="F154" s="7" t="str">
        <f>IF($A154&lt;&gt;"",MAXIFS(Token!$B:$B,Token!$A:$A,$D154),)</f>
        <v/>
      </c>
    </row>
    <row r="155">
      <c r="A155" s="39" t="str">
        <f>IF(AND($L155*1&gt;=$G$3,$L155*1&lt;=$G$4,$I155*$J155&gt;0,OR($I155&lt;&gt;$I156,$L155-$L156&gt;25),$I155/POW(10,$J155)*MAXIFS(Token!$B:$B,Token!$A:$A,$K155)&gt;0.01),$L155/86400+DATE(1970,1,1)+$G$6,)</f>
        <v/>
      </c>
      <c r="B155" s="27" t="str">
        <f t="shared" si="1"/>
        <v/>
      </c>
      <c r="C155" s="14" t="str">
        <f>IF($A155&lt;&gt;"",MINIFS(Merchant!$A:$A,Merchant!$B:$B,$G$2),)</f>
        <v/>
      </c>
      <c r="D155" s="14" t="str">
        <f t="shared" si="2"/>
        <v/>
      </c>
      <c r="E155" s="14" t="str">
        <f t="shared" si="3"/>
        <v/>
      </c>
      <c r="F155" s="7" t="str">
        <f>IF($A155&lt;&gt;"",MAXIFS(Token!$B:$B,Token!$A:$A,$D155),)</f>
        <v/>
      </c>
    </row>
    <row r="156">
      <c r="A156" s="39" t="str">
        <f>IF(AND($L156*1&gt;=$G$3,$L156*1&lt;=$G$4,$I156*$J156&gt;0,OR($I156&lt;&gt;$I157,$L156-$L157&gt;25),$I156/POW(10,$J156)*MAXIFS(Token!$B:$B,Token!$A:$A,$K156)&gt;0.01),$L156/86400+DATE(1970,1,1)+$G$6,)</f>
        <v/>
      </c>
      <c r="B156" s="27" t="str">
        <f t="shared" si="1"/>
        <v/>
      </c>
      <c r="C156" s="14" t="str">
        <f>IF($A156&lt;&gt;"",MINIFS(Merchant!$A:$A,Merchant!$B:$B,$G$2),)</f>
        <v/>
      </c>
      <c r="D156" s="14" t="str">
        <f t="shared" si="2"/>
        <v/>
      </c>
      <c r="E156" s="14" t="str">
        <f t="shared" si="3"/>
        <v/>
      </c>
      <c r="F156" s="7" t="str">
        <f>IF($A156&lt;&gt;"",MAXIFS(Token!$B:$B,Token!$A:$A,$D156),)</f>
        <v/>
      </c>
    </row>
    <row r="157">
      <c r="A157" s="39" t="str">
        <f>IF(AND($L157*1&gt;=$G$3,$L157*1&lt;=$G$4,$I157*$J157&gt;0,OR($I157&lt;&gt;$I158,$L157-$L158&gt;25),$I157/POW(10,$J157)*MAXIFS(Token!$B:$B,Token!$A:$A,$K157)&gt;0.01),$L157/86400+DATE(1970,1,1)+$G$6,)</f>
        <v/>
      </c>
      <c r="B157" s="27" t="str">
        <f t="shared" si="1"/>
        <v/>
      </c>
      <c r="C157" s="14" t="str">
        <f>IF($A157&lt;&gt;"",MINIFS(Merchant!$A:$A,Merchant!$B:$B,$G$2),)</f>
        <v/>
      </c>
      <c r="D157" s="14" t="str">
        <f t="shared" si="2"/>
        <v/>
      </c>
      <c r="E157" s="14" t="str">
        <f t="shared" si="3"/>
        <v/>
      </c>
      <c r="F157" s="7" t="str">
        <f>IF($A157&lt;&gt;"",MAXIFS(Token!$B:$B,Token!$A:$A,$D157),)</f>
        <v/>
      </c>
    </row>
    <row r="158">
      <c r="A158" s="39" t="str">
        <f>IF(AND($L158*1&gt;=$G$3,$L158*1&lt;=$G$4,$I158*$J158&gt;0,OR($I158&lt;&gt;$I159,$L158-$L159&gt;25),$I158/POW(10,$J158)*MAXIFS(Token!$B:$B,Token!$A:$A,$K158)&gt;0.01),$L158/86400+DATE(1970,1,1)+$G$6,)</f>
        <v/>
      </c>
      <c r="B158" s="27" t="str">
        <f t="shared" si="1"/>
        <v/>
      </c>
      <c r="C158" s="14" t="str">
        <f>IF($A158&lt;&gt;"",MINIFS(Merchant!$A:$A,Merchant!$B:$B,$G$2),)</f>
        <v/>
      </c>
      <c r="D158" s="14" t="str">
        <f t="shared" si="2"/>
        <v/>
      </c>
      <c r="E158" s="14" t="str">
        <f t="shared" si="3"/>
        <v/>
      </c>
      <c r="F158" s="7" t="str">
        <f>IF($A158&lt;&gt;"",MAXIFS(Token!$B:$B,Token!$A:$A,$D158),)</f>
        <v/>
      </c>
    </row>
    <row r="159">
      <c r="A159" s="39" t="str">
        <f>IF(AND($L159*1&gt;=$G$3,$L159*1&lt;=$G$4,$I159*$J159&gt;0,OR($I159&lt;&gt;$I160,$L159-$L160&gt;25),$I159/POW(10,$J159)*MAXIFS(Token!$B:$B,Token!$A:$A,$K159)&gt;0.01),$L159/86400+DATE(1970,1,1)+$G$6,)</f>
        <v/>
      </c>
      <c r="B159" s="27" t="str">
        <f t="shared" si="1"/>
        <v/>
      </c>
      <c r="C159" s="14" t="str">
        <f>IF($A159&lt;&gt;"",MINIFS(Merchant!$A:$A,Merchant!$B:$B,$G$2),)</f>
        <v/>
      </c>
      <c r="D159" s="14" t="str">
        <f t="shared" si="2"/>
        <v/>
      </c>
      <c r="E159" s="14" t="str">
        <f t="shared" si="3"/>
        <v/>
      </c>
      <c r="F159" s="7" t="str">
        <f>IF($A159&lt;&gt;"",MAXIFS(Token!$B:$B,Token!$A:$A,$D159),)</f>
        <v/>
      </c>
    </row>
    <row r="160">
      <c r="A160" s="39" t="str">
        <f>IF(AND($L160*1&gt;=$G$3,$L160*1&lt;=$G$4,$I160*$J160&gt;0,OR($I160&lt;&gt;$I161,$L160-$L161&gt;25),$I160/POW(10,$J160)*MAXIFS(Token!$B:$B,Token!$A:$A,$K160)&gt;0.01),$L160/86400+DATE(1970,1,1)+$G$6,)</f>
        <v/>
      </c>
      <c r="B160" s="27" t="str">
        <f t="shared" si="1"/>
        <v/>
      </c>
      <c r="C160" s="14" t="str">
        <f>IF($A160&lt;&gt;"",MINIFS(Merchant!$A:$A,Merchant!$B:$B,$G$2),)</f>
        <v/>
      </c>
      <c r="D160" s="14" t="str">
        <f t="shared" si="2"/>
        <v/>
      </c>
      <c r="E160" s="14" t="str">
        <f t="shared" si="3"/>
        <v/>
      </c>
      <c r="F160" s="7" t="str">
        <f>IF($A160&lt;&gt;"",MAXIFS(Token!$B:$B,Token!$A:$A,$D160),)</f>
        <v/>
      </c>
    </row>
    <row r="161">
      <c r="A161" s="39" t="str">
        <f>IF(AND($L161*1&gt;=$G$3,$L161*1&lt;=$G$4,$I161*$J161&gt;0,OR($I161&lt;&gt;$I162,$L161-$L162&gt;25),$I161/POW(10,$J161)*MAXIFS(Token!$B:$B,Token!$A:$A,$K161)&gt;0.01),$L161/86400+DATE(1970,1,1)+$G$6,)</f>
        <v/>
      </c>
      <c r="B161" s="27" t="str">
        <f t="shared" si="1"/>
        <v/>
      </c>
      <c r="C161" s="14" t="str">
        <f>IF($A161&lt;&gt;"",MINIFS(Merchant!$A:$A,Merchant!$B:$B,$G$2),)</f>
        <v/>
      </c>
      <c r="D161" s="14" t="str">
        <f t="shared" si="2"/>
        <v/>
      </c>
      <c r="E161" s="14" t="str">
        <f t="shared" si="3"/>
        <v/>
      </c>
      <c r="F161" s="7" t="str">
        <f>IF($A161&lt;&gt;"",MAXIFS(Token!$B:$B,Token!$A:$A,$D161),)</f>
        <v/>
      </c>
    </row>
    <row r="162">
      <c r="A162" s="39" t="str">
        <f>IF(AND($L162*1&gt;=$G$3,$L162*1&lt;=$G$4,$I162*$J162&gt;0,OR($I162&lt;&gt;$I163,$L162-$L163&gt;25),$I162/POW(10,$J162)*MAXIFS(Token!$B:$B,Token!$A:$A,$K162)&gt;0.01),$L162/86400+DATE(1970,1,1)+$G$6,)</f>
        <v/>
      </c>
      <c r="B162" s="27" t="str">
        <f t="shared" si="1"/>
        <v/>
      </c>
      <c r="C162" s="14" t="str">
        <f>IF($A162&lt;&gt;"",MINIFS(Merchant!$A:$A,Merchant!$B:$B,$G$2),)</f>
        <v/>
      </c>
      <c r="D162" s="14" t="str">
        <f t="shared" si="2"/>
        <v/>
      </c>
      <c r="E162" s="14" t="str">
        <f t="shared" si="3"/>
        <v/>
      </c>
      <c r="F162" s="7" t="str">
        <f>IF($A162&lt;&gt;"",MAXIFS(Token!$B:$B,Token!$A:$A,$D162),)</f>
        <v/>
      </c>
    </row>
    <row r="163">
      <c r="A163" s="39" t="str">
        <f>IF(AND($L163*1&gt;=$G$3,$L163*1&lt;=$G$4,$I163*$J163&gt;0,OR($I163&lt;&gt;$I164,$L163-$L164&gt;25),$I163/POW(10,$J163)*MAXIFS(Token!$B:$B,Token!$A:$A,$K163)&gt;0.01),$L163/86400+DATE(1970,1,1)+$G$6,)</f>
        <v/>
      </c>
      <c r="B163" s="27" t="str">
        <f t="shared" si="1"/>
        <v/>
      </c>
      <c r="C163" s="14" t="str">
        <f>IF($A163&lt;&gt;"",MINIFS(Merchant!$A:$A,Merchant!$B:$B,$G$2),)</f>
        <v/>
      </c>
      <c r="D163" s="14" t="str">
        <f t="shared" si="2"/>
        <v/>
      </c>
      <c r="E163" s="14" t="str">
        <f t="shared" si="3"/>
        <v/>
      </c>
      <c r="F163" s="7" t="str">
        <f>IF($A163&lt;&gt;"",MAXIFS(Token!$B:$B,Token!$A:$A,$D163),)</f>
        <v/>
      </c>
    </row>
    <row r="164">
      <c r="A164" s="39" t="str">
        <f>IF(AND($L164*1&gt;=$G$3,$L164*1&lt;=$G$4,$I164*$J164&gt;0,OR($I164&lt;&gt;$I165,$L164-$L165&gt;25),$I164/POW(10,$J164)*MAXIFS(Token!$B:$B,Token!$A:$A,$K164)&gt;0.01),$L164/86400+DATE(1970,1,1)+$G$6,)</f>
        <v/>
      </c>
      <c r="B164" s="27" t="str">
        <f t="shared" si="1"/>
        <v/>
      </c>
      <c r="C164" s="14" t="str">
        <f>IF($A164&lt;&gt;"",MINIFS(Merchant!$A:$A,Merchant!$B:$B,$G$2),)</f>
        <v/>
      </c>
      <c r="D164" s="14" t="str">
        <f t="shared" si="2"/>
        <v/>
      </c>
      <c r="E164" s="14" t="str">
        <f t="shared" si="3"/>
        <v/>
      </c>
      <c r="F164" s="7" t="str">
        <f>IF($A164&lt;&gt;"",MAXIFS(Token!$B:$B,Token!$A:$A,$D164),)</f>
        <v/>
      </c>
    </row>
    <row r="165">
      <c r="A165" s="39" t="str">
        <f>IF(AND($L165*1&gt;=$G$3,$L165*1&lt;=$G$4,$I165*$J165&gt;0,OR($I165&lt;&gt;$I166,$L165-$L166&gt;25),$I165/POW(10,$J165)*MAXIFS(Token!$B:$B,Token!$A:$A,$K165)&gt;0.01),$L165/86400+DATE(1970,1,1)+$G$6,)</f>
        <v/>
      </c>
      <c r="B165" s="27" t="str">
        <f t="shared" si="1"/>
        <v/>
      </c>
      <c r="C165" s="14" t="str">
        <f>IF($A165&lt;&gt;"",MINIFS(Merchant!$A:$A,Merchant!$B:$B,$G$2),)</f>
        <v/>
      </c>
      <c r="D165" s="14" t="str">
        <f t="shared" si="2"/>
        <v/>
      </c>
      <c r="E165" s="14" t="str">
        <f t="shared" si="3"/>
        <v/>
      </c>
      <c r="F165" s="7" t="str">
        <f>IF($A165&lt;&gt;"",MAXIFS(Token!$B:$B,Token!$A:$A,$D165),)</f>
        <v/>
      </c>
    </row>
    <row r="166">
      <c r="A166" s="39" t="str">
        <f>IF(AND($L166*1&gt;=$G$3,$L166*1&lt;=$G$4,$I166*$J166&gt;0,OR($I166&lt;&gt;$I167,$L166-$L167&gt;25),$I166/POW(10,$J166)*MAXIFS(Token!$B:$B,Token!$A:$A,$K166)&gt;0.01),$L166/86400+DATE(1970,1,1)+$G$6,)</f>
        <v/>
      </c>
      <c r="B166" s="27" t="str">
        <f t="shared" si="1"/>
        <v/>
      </c>
      <c r="C166" s="14" t="str">
        <f>IF($A166&lt;&gt;"",MINIFS(Merchant!$A:$A,Merchant!$B:$B,$G$2),)</f>
        <v/>
      </c>
      <c r="D166" s="14" t="str">
        <f t="shared" si="2"/>
        <v/>
      </c>
      <c r="E166" s="14" t="str">
        <f t="shared" si="3"/>
        <v/>
      </c>
      <c r="F166" s="7" t="str">
        <f>IF($A166&lt;&gt;"",MAXIFS(Token!$B:$B,Token!$A:$A,$D166),)</f>
        <v/>
      </c>
    </row>
    <row r="167">
      <c r="A167" s="39" t="str">
        <f>IF(AND($L167*1&gt;=$G$3,$L167*1&lt;=$G$4,$I167*$J167&gt;0,OR($I167&lt;&gt;$I168,$L167-$L168&gt;25),$I167/POW(10,$J167)*MAXIFS(Token!$B:$B,Token!$A:$A,$K167)&gt;0.01),$L167/86400+DATE(1970,1,1)+$G$6,)</f>
        <v/>
      </c>
      <c r="B167" s="27" t="str">
        <f t="shared" si="1"/>
        <v/>
      </c>
      <c r="C167" s="14" t="str">
        <f>IF($A167&lt;&gt;"",MINIFS(Merchant!$A:$A,Merchant!$B:$B,$G$2),)</f>
        <v/>
      </c>
      <c r="D167" s="14" t="str">
        <f t="shared" si="2"/>
        <v/>
      </c>
      <c r="E167" s="14" t="str">
        <f t="shared" si="3"/>
        <v/>
      </c>
      <c r="F167" s="7" t="str">
        <f>IF($A167&lt;&gt;"",MAXIFS(Token!$B:$B,Token!$A:$A,$D167),)</f>
        <v/>
      </c>
    </row>
    <row r="168">
      <c r="A168" s="39" t="str">
        <f>IF(AND($L168*1&gt;=$G$3,$L168*1&lt;=$G$4,$I168*$J168&gt;0,OR($I168&lt;&gt;$I169,$L168-$L169&gt;25),$I168/POW(10,$J168)*MAXIFS(Token!$B:$B,Token!$A:$A,$K168)&gt;0.01),$L168/86400+DATE(1970,1,1)+$G$6,)</f>
        <v/>
      </c>
      <c r="B168" s="27" t="str">
        <f t="shared" si="1"/>
        <v/>
      </c>
      <c r="C168" s="14" t="str">
        <f>IF($A168&lt;&gt;"",MINIFS(Merchant!$A:$A,Merchant!$B:$B,$G$2),)</f>
        <v/>
      </c>
      <c r="D168" s="14" t="str">
        <f t="shared" si="2"/>
        <v/>
      </c>
      <c r="E168" s="14" t="str">
        <f t="shared" si="3"/>
        <v/>
      </c>
      <c r="F168" s="7" t="str">
        <f>IF($A168&lt;&gt;"",MAXIFS(Token!$B:$B,Token!$A:$A,$D168),)</f>
        <v/>
      </c>
    </row>
    <row r="169">
      <c r="A169" s="39" t="str">
        <f>IF(AND($L169*1&gt;=$G$3,$L169*1&lt;=$G$4,$I169*$J169&gt;0,OR($I169&lt;&gt;$I170,$L169-$L170&gt;25),$I169/POW(10,$J169)*MAXIFS(Token!$B:$B,Token!$A:$A,$K169)&gt;0.01),$L169/86400+DATE(1970,1,1)+$G$6,)</f>
        <v/>
      </c>
      <c r="B169" s="27" t="str">
        <f t="shared" si="1"/>
        <v/>
      </c>
      <c r="C169" s="14" t="str">
        <f>IF($A169&lt;&gt;"",MINIFS(Merchant!$A:$A,Merchant!$B:$B,$G$2),)</f>
        <v/>
      </c>
      <c r="D169" s="14" t="str">
        <f t="shared" si="2"/>
        <v/>
      </c>
      <c r="E169" s="14" t="str">
        <f t="shared" si="3"/>
        <v/>
      </c>
      <c r="F169" s="7" t="str">
        <f>IF($A169&lt;&gt;"",MAXIFS(Token!$B:$B,Token!$A:$A,$D169),)</f>
        <v/>
      </c>
    </row>
    <row r="170">
      <c r="A170" s="39" t="str">
        <f>IF(AND($L170*1&gt;=$G$3,$L170*1&lt;=$G$4,$I170*$J170&gt;0,OR($I170&lt;&gt;$I171,$L170-$L171&gt;25),$I170/POW(10,$J170)*MAXIFS(Token!$B:$B,Token!$A:$A,$K170)&gt;0.01),$L170/86400+DATE(1970,1,1)+$G$6,)</f>
        <v/>
      </c>
      <c r="B170" s="27" t="str">
        <f t="shared" si="1"/>
        <v/>
      </c>
      <c r="C170" s="14" t="str">
        <f>IF($A170&lt;&gt;"",MINIFS(Merchant!$A:$A,Merchant!$B:$B,$G$2),)</f>
        <v/>
      </c>
      <c r="D170" s="14" t="str">
        <f t="shared" si="2"/>
        <v/>
      </c>
      <c r="E170" s="14" t="str">
        <f t="shared" si="3"/>
        <v/>
      </c>
      <c r="F170" s="7" t="str">
        <f>IF($A170&lt;&gt;"",MAXIFS(Token!$B:$B,Token!$A:$A,$D170),)</f>
        <v/>
      </c>
    </row>
    <row r="171">
      <c r="A171" s="39" t="str">
        <f>IF(AND($L171*1&gt;=$G$3,$L171*1&lt;=$G$4,$I171*$J171&gt;0,OR($I171&lt;&gt;$I172,$L171-$L172&gt;25),$I171/POW(10,$J171)*MAXIFS(Token!$B:$B,Token!$A:$A,$K171)&gt;0.01),$L171/86400+DATE(1970,1,1)+$G$6,)</f>
        <v/>
      </c>
      <c r="B171" s="27" t="str">
        <f t="shared" si="1"/>
        <v/>
      </c>
      <c r="C171" s="14" t="str">
        <f>IF($A171&lt;&gt;"",MINIFS(Merchant!$A:$A,Merchant!$B:$B,$G$2),)</f>
        <v/>
      </c>
      <c r="D171" s="14" t="str">
        <f t="shared" si="2"/>
        <v/>
      </c>
      <c r="E171" s="14" t="str">
        <f t="shared" si="3"/>
        <v/>
      </c>
      <c r="F171" s="7" t="str">
        <f>IF($A171&lt;&gt;"",MAXIFS(Token!$B:$B,Token!$A:$A,$D171),)</f>
        <v/>
      </c>
    </row>
    <row r="172">
      <c r="A172" s="39" t="str">
        <f>IF(AND($L172*1&gt;=$G$3,$L172*1&lt;=$G$4,$I172*$J172&gt;0,OR($I172&lt;&gt;$I173,$L172-$L173&gt;25),$I172/POW(10,$J172)*MAXIFS(Token!$B:$B,Token!$A:$A,$K172)&gt;0.01),$L172/86400+DATE(1970,1,1)+$G$6,)</f>
        <v/>
      </c>
      <c r="B172" s="27" t="str">
        <f t="shared" si="1"/>
        <v/>
      </c>
      <c r="C172" s="14" t="str">
        <f>IF($A172&lt;&gt;"",MINIFS(Merchant!$A:$A,Merchant!$B:$B,$G$2),)</f>
        <v/>
      </c>
      <c r="D172" s="14" t="str">
        <f t="shared" si="2"/>
        <v/>
      </c>
      <c r="E172" s="14" t="str">
        <f t="shared" si="3"/>
        <v/>
      </c>
      <c r="F172" s="7" t="str">
        <f>IF($A172&lt;&gt;"",MAXIFS(Token!$B:$B,Token!$A:$A,$D172),)</f>
        <v/>
      </c>
    </row>
    <row r="173">
      <c r="A173" s="39" t="str">
        <f>IF(AND($L173*1&gt;=$G$3,$L173*1&lt;=$G$4,$I173*$J173&gt;0,OR($I173&lt;&gt;$I174,$L173-$L174&gt;25),$I173/POW(10,$J173)*MAXIFS(Token!$B:$B,Token!$A:$A,$K173)&gt;0.01),$L173/86400+DATE(1970,1,1)+$G$6,)</f>
        <v/>
      </c>
      <c r="B173" s="27" t="str">
        <f t="shared" si="1"/>
        <v/>
      </c>
      <c r="C173" s="14" t="str">
        <f>IF($A173&lt;&gt;"",MINIFS(Merchant!$A:$A,Merchant!$B:$B,$G$2),)</f>
        <v/>
      </c>
      <c r="D173" s="14" t="str">
        <f t="shared" si="2"/>
        <v/>
      </c>
      <c r="E173" s="14" t="str">
        <f t="shared" si="3"/>
        <v/>
      </c>
      <c r="F173" s="7" t="str">
        <f>IF($A173&lt;&gt;"",MAXIFS(Token!$B:$B,Token!$A:$A,$D173),)</f>
        <v/>
      </c>
    </row>
    <row r="174">
      <c r="A174" s="39" t="str">
        <f>IF(AND($L174*1&gt;=$G$3,$L174*1&lt;=$G$4,$I174*$J174&gt;0,OR($I174&lt;&gt;$I175,$L174-$L175&gt;25),$I174/POW(10,$J174)*MAXIFS(Token!$B:$B,Token!$A:$A,$K174)&gt;0.01),$L174/86400+DATE(1970,1,1)+$G$6,)</f>
        <v/>
      </c>
      <c r="B174" s="27" t="str">
        <f t="shared" si="1"/>
        <v/>
      </c>
      <c r="C174" s="14" t="str">
        <f>IF($A174&lt;&gt;"",MINIFS(Merchant!$A:$A,Merchant!$B:$B,$G$2),)</f>
        <v/>
      </c>
      <c r="D174" s="14" t="str">
        <f t="shared" si="2"/>
        <v/>
      </c>
      <c r="E174" s="14" t="str">
        <f t="shared" si="3"/>
        <v/>
      </c>
      <c r="F174" s="7" t="str">
        <f>IF($A174&lt;&gt;"",MAXIFS(Token!$B:$B,Token!$A:$A,$D174),)</f>
        <v/>
      </c>
    </row>
    <row r="175">
      <c r="A175" s="39" t="str">
        <f>IF(AND($L175*1&gt;=$G$3,$L175*1&lt;=$G$4,$I175*$J175&gt;0,OR($I175&lt;&gt;$I176,$L175-$L176&gt;25),$I175/POW(10,$J175)*MAXIFS(Token!$B:$B,Token!$A:$A,$K175)&gt;0.01),$L175/86400+DATE(1970,1,1)+$G$6,)</f>
        <v/>
      </c>
      <c r="B175" s="27" t="str">
        <f t="shared" si="1"/>
        <v/>
      </c>
      <c r="C175" s="14" t="str">
        <f>IF($A175&lt;&gt;"",MINIFS(Merchant!$A:$A,Merchant!$B:$B,$G$2),)</f>
        <v/>
      </c>
      <c r="D175" s="14" t="str">
        <f t="shared" si="2"/>
        <v/>
      </c>
      <c r="E175" s="14" t="str">
        <f t="shared" si="3"/>
        <v/>
      </c>
      <c r="F175" s="7" t="str">
        <f>IF($A175&lt;&gt;"",MAXIFS(Token!$B:$B,Token!$A:$A,$D175),)</f>
        <v/>
      </c>
    </row>
    <row r="176">
      <c r="A176" s="39" t="str">
        <f>IF(AND($L176*1&gt;=$G$3,$L176*1&lt;=$G$4,$I176*$J176&gt;0,OR($I176&lt;&gt;$I177,$L176-$L177&gt;25),$I176/POW(10,$J176)*MAXIFS(Token!$B:$B,Token!$A:$A,$K176)&gt;0.01),$L176/86400+DATE(1970,1,1)+$G$6,)</f>
        <v/>
      </c>
      <c r="B176" s="27" t="str">
        <f t="shared" si="1"/>
        <v/>
      </c>
      <c r="C176" s="14" t="str">
        <f>IF($A176&lt;&gt;"",MINIFS(Merchant!$A:$A,Merchant!$B:$B,$G$2),)</f>
        <v/>
      </c>
      <c r="D176" s="14" t="str">
        <f t="shared" si="2"/>
        <v/>
      </c>
      <c r="E176" s="14" t="str">
        <f t="shared" si="3"/>
        <v/>
      </c>
      <c r="F176" s="7" t="str">
        <f>IF($A176&lt;&gt;"",MAXIFS(Token!$B:$B,Token!$A:$A,$D176),)</f>
        <v/>
      </c>
    </row>
    <row r="177">
      <c r="A177" s="39" t="str">
        <f>IF(AND($L177*1&gt;=$G$3,$L177*1&lt;=$G$4,$I177*$J177&gt;0,OR($I177&lt;&gt;$I178,$L177-$L178&gt;25),$I177/POW(10,$J177)*MAXIFS(Token!$B:$B,Token!$A:$A,$K177)&gt;0.01),$L177/86400+DATE(1970,1,1)+$G$6,)</f>
        <v/>
      </c>
      <c r="B177" s="27" t="str">
        <f t="shared" si="1"/>
        <v/>
      </c>
      <c r="C177" s="14" t="str">
        <f>IF($A177&lt;&gt;"",MINIFS(Merchant!$A:$A,Merchant!$B:$B,$G$2),)</f>
        <v/>
      </c>
      <c r="D177" s="14" t="str">
        <f t="shared" si="2"/>
        <v/>
      </c>
      <c r="E177" s="14" t="str">
        <f t="shared" si="3"/>
        <v/>
      </c>
      <c r="F177" s="7" t="str">
        <f>IF($A177&lt;&gt;"",MAXIFS(Token!$B:$B,Token!$A:$A,$D177),)</f>
        <v/>
      </c>
    </row>
    <row r="178">
      <c r="A178" s="39" t="str">
        <f>IF(AND($L178*1&gt;=$G$3,$L178*1&lt;=$G$4,$I178*$J178&gt;0,OR($I178&lt;&gt;$I179,$L178-$L179&gt;25),$I178/POW(10,$J178)*MAXIFS(Token!$B:$B,Token!$A:$A,$K178)&gt;0.01),$L178/86400+DATE(1970,1,1)+$G$6,)</f>
        <v/>
      </c>
      <c r="B178" s="27" t="str">
        <f t="shared" si="1"/>
        <v/>
      </c>
      <c r="C178" s="14" t="str">
        <f>IF($A178&lt;&gt;"",MINIFS(Merchant!$A:$A,Merchant!$B:$B,$G$2),)</f>
        <v/>
      </c>
      <c r="D178" s="14" t="str">
        <f t="shared" si="2"/>
        <v/>
      </c>
      <c r="E178" s="14" t="str">
        <f t="shared" si="3"/>
        <v/>
      </c>
      <c r="F178" s="7" t="str">
        <f>IF($A178&lt;&gt;"",MAXIFS(Token!$B:$B,Token!$A:$A,$D178),)</f>
        <v/>
      </c>
    </row>
    <row r="179">
      <c r="A179" s="39" t="str">
        <f>IF(AND($L179*1&gt;=$G$3,$L179*1&lt;=$G$4,$I179*$J179&gt;0,OR($I179&lt;&gt;$I180,$L179-$L180&gt;25),$I179/POW(10,$J179)*MAXIFS(Token!$B:$B,Token!$A:$A,$K179)&gt;0.01),$L179/86400+DATE(1970,1,1)+$G$6,)</f>
        <v/>
      </c>
      <c r="B179" s="27" t="str">
        <f t="shared" si="1"/>
        <v/>
      </c>
      <c r="C179" s="14" t="str">
        <f>IF($A179&lt;&gt;"",MINIFS(Merchant!$A:$A,Merchant!$B:$B,$G$2),)</f>
        <v/>
      </c>
      <c r="D179" s="14" t="str">
        <f t="shared" si="2"/>
        <v/>
      </c>
      <c r="E179" s="14" t="str">
        <f t="shared" si="3"/>
        <v/>
      </c>
      <c r="F179" s="7" t="str">
        <f>IF($A179&lt;&gt;"",MAXIFS(Token!$B:$B,Token!$A:$A,$D179),)</f>
        <v/>
      </c>
    </row>
    <row r="180">
      <c r="A180" s="39" t="str">
        <f>IF(AND($L180*1&gt;=$G$3,$L180*1&lt;=$G$4,$I180*$J180&gt;0,OR($I180&lt;&gt;$I181,$L180-$L181&gt;25),$I180/POW(10,$J180)*MAXIFS(Token!$B:$B,Token!$A:$A,$K180)&gt;0.01),$L180/86400+DATE(1970,1,1)+$G$6,)</f>
        <v/>
      </c>
      <c r="B180" s="27" t="str">
        <f t="shared" si="1"/>
        <v/>
      </c>
      <c r="C180" s="14" t="str">
        <f>IF($A180&lt;&gt;"",MINIFS(Merchant!$A:$A,Merchant!$B:$B,$G$2),)</f>
        <v/>
      </c>
      <c r="D180" s="14" t="str">
        <f t="shared" si="2"/>
        <v/>
      </c>
      <c r="E180" s="14" t="str">
        <f t="shared" si="3"/>
        <v/>
      </c>
      <c r="F180" s="7" t="str">
        <f>IF($A180&lt;&gt;"",MAXIFS(Token!$B:$B,Token!$A:$A,$D180),)</f>
        <v/>
      </c>
    </row>
    <row r="181">
      <c r="A181" s="39" t="str">
        <f>IF(AND($L181*1&gt;=$G$3,$L181*1&lt;=$G$4,$I181*$J181&gt;0,OR($I181&lt;&gt;$I182,$L181-$L182&gt;25),$I181/POW(10,$J181)*MAXIFS(Token!$B:$B,Token!$A:$A,$K181)&gt;0.01),$L181/86400+DATE(1970,1,1)+$G$6,)</f>
        <v/>
      </c>
      <c r="B181" s="27" t="str">
        <f t="shared" si="1"/>
        <v/>
      </c>
      <c r="C181" s="14" t="str">
        <f>IF($A181&lt;&gt;"",MINIFS(Merchant!$A:$A,Merchant!$B:$B,$G$2),)</f>
        <v/>
      </c>
      <c r="D181" s="14" t="str">
        <f t="shared" si="2"/>
        <v/>
      </c>
      <c r="E181" s="14" t="str">
        <f t="shared" si="3"/>
        <v/>
      </c>
      <c r="F181" s="7" t="str">
        <f>IF($A181&lt;&gt;"",MAXIFS(Token!$B:$B,Token!$A:$A,$D181),)</f>
        <v/>
      </c>
    </row>
    <row r="182">
      <c r="A182" s="39" t="str">
        <f>IF(AND($L182*1&gt;=$G$3,$L182*1&lt;=$G$4,$I182*$J182&gt;0,OR($I182&lt;&gt;$I183,$L182-$L183&gt;25),$I182/POW(10,$J182)*MAXIFS(Token!$B:$B,Token!$A:$A,$K182)&gt;0.01),$L182/86400+DATE(1970,1,1)+$G$6,)</f>
        <v/>
      </c>
      <c r="B182" s="27" t="str">
        <f t="shared" si="1"/>
        <v/>
      </c>
      <c r="C182" s="14" t="str">
        <f>IF($A182&lt;&gt;"",MINIFS(Merchant!$A:$A,Merchant!$B:$B,$G$2),)</f>
        <v/>
      </c>
      <c r="D182" s="14" t="str">
        <f t="shared" si="2"/>
        <v/>
      </c>
      <c r="E182" s="14" t="str">
        <f t="shared" si="3"/>
        <v/>
      </c>
      <c r="F182" s="7" t="str">
        <f>IF($A182&lt;&gt;"",MAXIFS(Token!$B:$B,Token!$A:$A,$D182),)</f>
        <v/>
      </c>
    </row>
    <row r="183">
      <c r="A183" s="39" t="str">
        <f>IF(AND($L183*1&gt;=$G$3,$L183*1&lt;=$G$4,$I183*$J183&gt;0,OR($I183&lt;&gt;$I184,$L183-$L184&gt;25),$I183/POW(10,$J183)*MAXIFS(Token!$B:$B,Token!$A:$A,$K183)&gt;0.01),$L183/86400+DATE(1970,1,1)+$G$6,)</f>
        <v/>
      </c>
      <c r="B183" s="27" t="str">
        <f t="shared" si="1"/>
        <v/>
      </c>
      <c r="C183" s="14" t="str">
        <f>IF($A183&lt;&gt;"",MINIFS(Merchant!$A:$A,Merchant!$B:$B,$G$2),)</f>
        <v/>
      </c>
      <c r="D183" s="14" t="str">
        <f t="shared" si="2"/>
        <v/>
      </c>
      <c r="E183" s="14" t="str">
        <f t="shared" si="3"/>
        <v/>
      </c>
      <c r="F183" s="7" t="str">
        <f>IF($A183&lt;&gt;"",MAXIFS(Token!$B:$B,Token!$A:$A,$D183),)</f>
        <v/>
      </c>
    </row>
    <row r="184">
      <c r="A184" s="39" t="str">
        <f>IF(AND($L184*1&gt;=$G$3,$L184*1&lt;=$G$4,$I184*$J184&gt;0,OR($I184&lt;&gt;$I185,$L184-$L185&gt;25),$I184/POW(10,$J184)*MAXIFS(Token!$B:$B,Token!$A:$A,$K184)&gt;0.01),$L184/86400+DATE(1970,1,1)+$G$6,)</f>
        <v/>
      </c>
      <c r="B184" s="27" t="str">
        <f t="shared" si="1"/>
        <v/>
      </c>
      <c r="C184" s="14" t="str">
        <f>IF($A184&lt;&gt;"",MINIFS(Merchant!$A:$A,Merchant!$B:$B,$G$2),)</f>
        <v/>
      </c>
      <c r="D184" s="14" t="str">
        <f t="shared" si="2"/>
        <v/>
      </c>
      <c r="E184" s="14" t="str">
        <f t="shared" si="3"/>
        <v/>
      </c>
      <c r="F184" s="7" t="str">
        <f>IF($A184&lt;&gt;"",MAXIFS(Token!$B:$B,Token!$A:$A,$D184),)</f>
        <v/>
      </c>
    </row>
    <row r="185">
      <c r="A185" s="39" t="str">
        <f>IF(AND($L185*1&gt;=$G$3,$L185*1&lt;=$G$4,$I185*$J185&gt;0,OR($I185&lt;&gt;$I186,$L185-$L186&gt;25),$I185/POW(10,$J185)*MAXIFS(Token!$B:$B,Token!$A:$A,$K185)&gt;0.01),$L185/86400+DATE(1970,1,1)+$G$6,)</f>
        <v/>
      </c>
      <c r="B185" s="27" t="str">
        <f t="shared" si="1"/>
        <v/>
      </c>
      <c r="C185" s="14" t="str">
        <f>IF($A185&lt;&gt;"",MINIFS(Merchant!$A:$A,Merchant!$B:$B,$G$2),)</f>
        <v/>
      </c>
      <c r="D185" s="14" t="str">
        <f t="shared" si="2"/>
        <v/>
      </c>
      <c r="E185" s="14" t="str">
        <f t="shared" si="3"/>
        <v/>
      </c>
      <c r="F185" s="7" t="str">
        <f>IF($A185&lt;&gt;"",MAXIFS(Token!$B:$B,Token!$A:$A,$D185),)</f>
        <v/>
      </c>
    </row>
    <row r="186">
      <c r="A186" s="39" t="str">
        <f>IF(AND($L186*1&gt;=$G$3,$L186*1&lt;=$G$4,$I186*$J186&gt;0,OR($I186&lt;&gt;$I187,$L186-$L187&gt;25),$I186/POW(10,$J186)*MAXIFS(Token!$B:$B,Token!$A:$A,$K186)&gt;0.01),$L186/86400+DATE(1970,1,1)+$G$6,)</f>
        <v/>
      </c>
      <c r="B186" s="27" t="str">
        <f t="shared" si="1"/>
        <v/>
      </c>
      <c r="C186" s="14" t="str">
        <f>IF($A186&lt;&gt;"",MINIFS(Merchant!$A:$A,Merchant!$B:$B,$G$2),)</f>
        <v/>
      </c>
      <c r="D186" s="14" t="str">
        <f t="shared" si="2"/>
        <v/>
      </c>
      <c r="E186" s="14" t="str">
        <f t="shared" si="3"/>
        <v/>
      </c>
      <c r="F186" s="7" t="str">
        <f>IF($A186&lt;&gt;"",MAXIFS(Token!$B:$B,Token!$A:$A,$D186),)</f>
        <v/>
      </c>
    </row>
    <row r="187">
      <c r="A187" s="39" t="str">
        <f>IF(AND($L187*1&gt;=$G$3,$L187*1&lt;=$G$4,$I187*$J187&gt;0,OR($I187&lt;&gt;$I188,$L187-$L188&gt;25),$I187/POW(10,$J187)*MAXIFS(Token!$B:$B,Token!$A:$A,$K187)&gt;0.01),$L187/86400+DATE(1970,1,1)+$G$6,)</f>
        <v/>
      </c>
      <c r="B187" s="27" t="str">
        <f t="shared" si="1"/>
        <v/>
      </c>
      <c r="C187" s="14" t="str">
        <f>IF($A187&lt;&gt;"",MINIFS(Merchant!$A:$A,Merchant!$B:$B,$G$2),)</f>
        <v/>
      </c>
      <c r="D187" s="14" t="str">
        <f t="shared" si="2"/>
        <v/>
      </c>
      <c r="E187" s="14" t="str">
        <f t="shared" si="3"/>
        <v/>
      </c>
      <c r="F187" s="7" t="str">
        <f>IF($A187&lt;&gt;"",MAXIFS(Token!$B:$B,Token!$A:$A,$D187),)</f>
        <v/>
      </c>
    </row>
    <row r="188">
      <c r="A188" s="39" t="str">
        <f>IF(AND($L188*1&gt;=$G$3,$L188*1&lt;=$G$4,$I188*$J188&gt;0,OR($I188&lt;&gt;$I189,$L188-$L189&gt;25),$I188/POW(10,$J188)*MAXIFS(Token!$B:$B,Token!$A:$A,$K188)&gt;0.01),$L188/86400+DATE(1970,1,1)+$G$6,)</f>
        <v/>
      </c>
      <c r="B188" s="27" t="str">
        <f t="shared" si="1"/>
        <v/>
      </c>
      <c r="C188" s="14" t="str">
        <f>IF($A188&lt;&gt;"",MINIFS(Merchant!$A:$A,Merchant!$B:$B,$G$2),)</f>
        <v/>
      </c>
      <c r="D188" s="14" t="str">
        <f t="shared" si="2"/>
        <v/>
      </c>
      <c r="E188" s="14" t="str">
        <f t="shared" si="3"/>
        <v/>
      </c>
      <c r="F188" s="7" t="str">
        <f>IF($A188&lt;&gt;"",MAXIFS(Token!$B:$B,Token!$A:$A,$D188),)</f>
        <v/>
      </c>
    </row>
    <row r="189">
      <c r="A189" s="39" t="str">
        <f>IF(AND($L189*1&gt;=$G$3,$L189*1&lt;=$G$4,$I189*$J189&gt;0,OR($I189&lt;&gt;$I190,$L189-$L190&gt;25),$I189/POW(10,$J189)*MAXIFS(Token!$B:$B,Token!$A:$A,$K189)&gt;0.01),$L189/86400+DATE(1970,1,1)+$G$6,)</f>
        <v/>
      </c>
      <c r="B189" s="27" t="str">
        <f t="shared" si="1"/>
        <v/>
      </c>
      <c r="C189" s="14" t="str">
        <f>IF($A189&lt;&gt;"",MINIFS(Merchant!$A:$A,Merchant!$B:$B,$G$2),)</f>
        <v/>
      </c>
      <c r="D189" s="14" t="str">
        <f t="shared" si="2"/>
        <v/>
      </c>
      <c r="E189" s="14" t="str">
        <f t="shared" si="3"/>
        <v/>
      </c>
      <c r="F189" s="7" t="str">
        <f>IF($A189&lt;&gt;"",MAXIFS(Token!$B:$B,Token!$A:$A,$D189),)</f>
        <v/>
      </c>
    </row>
    <row r="190">
      <c r="A190" s="39" t="str">
        <f>IF(AND($L190*1&gt;=$G$3,$L190*1&lt;=$G$4,$I190*$J190&gt;0,OR($I190&lt;&gt;$I191,$L190-$L191&gt;25),$I190/POW(10,$J190)*MAXIFS(Token!$B:$B,Token!$A:$A,$K190)&gt;0.01),$L190/86400+DATE(1970,1,1)+$G$6,)</f>
        <v/>
      </c>
      <c r="B190" s="27" t="str">
        <f t="shared" si="1"/>
        <v/>
      </c>
      <c r="C190" s="14" t="str">
        <f>IF($A190&lt;&gt;"",MINIFS(Merchant!$A:$A,Merchant!$B:$B,$G$2),)</f>
        <v/>
      </c>
      <c r="D190" s="14" t="str">
        <f t="shared" si="2"/>
        <v/>
      </c>
      <c r="E190" s="14" t="str">
        <f t="shared" si="3"/>
        <v/>
      </c>
      <c r="F190" s="7" t="str">
        <f>IF($A190&lt;&gt;"",MAXIFS(Token!$B:$B,Token!$A:$A,$D190),)</f>
        <v/>
      </c>
    </row>
    <row r="191">
      <c r="A191" s="39" t="str">
        <f>IF(AND($L191*1&gt;=$G$3,$L191*1&lt;=$G$4,$I191*$J191&gt;0,OR($I191&lt;&gt;$I192,$L191-$L192&gt;25),$I191/POW(10,$J191)*MAXIFS(Token!$B:$B,Token!$A:$A,$K191)&gt;0.01),$L191/86400+DATE(1970,1,1)+$G$6,)</f>
        <v/>
      </c>
      <c r="B191" s="27" t="str">
        <f t="shared" si="1"/>
        <v/>
      </c>
      <c r="C191" s="14" t="str">
        <f>IF($A191&lt;&gt;"",MINIFS(Merchant!$A:$A,Merchant!$B:$B,$G$2),)</f>
        <v/>
      </c>
      <c r="D191" s="14" t="str">
        <f t="shared" si="2"/>
        <v/>
      </c>
      <c r="E191" s="14" t="str">
        <f t="shared" si="3"/>
        <v/>
      </c>
      <c r="F191" s="7" t="str">
        <f>IF($A191&lt;&gt;"",MAXIFS(Token!$B:$B,Token!$A:$A,$D191),)</f>
        <v/>
      </c>
    </row>
    <row r="192">
      <c r="A192" s="39" t="str">
        <f>IF(AND($L192*1&gt;=$G$3,$L192*1&lt;=$G$4,$I192*$J192&gt;0,OR($I192&lt;&gt;$I193,$L192-$L193&gt;25),$I192/POW(10,$J192)*MAXIFS(Token!$B:$B,Token!$A:$A,$K192)&gt;0.01),$L192/86400+DATE(1970,1,1)+$G$6,)</f>
        <v/>
      </c>
      <c r="B192" s="27" t="str">
        <f t="shared" si="1"/>
        <v/>
      </c>
      <c r="C192" s="14" t="str">
        <f>IF($A192&lt;&gt;"",MINIFS(Merchant!$A:$A,Merchant!$B:$B,$G$2),)</f>
        <v/>
      </c>
      <c r="D192" s="14" t="str">
        <f t="shared" si="2"/>
        <v/>
      </c>
      <c r="E192" s="14" t="str">
        <f t="shared" si="3"/>
        <v/>
      </c>
      <c r="F192" s="7" t="str">
        <f>IF($A192&lt;&gt;"",MAXIFS(Token!$B:$B,Token!$A:$A,$D192),)</f>
        <v/>
      </c>
    </row>
    <row r="193">
      <c r="A193" s="39" t="str">
        <f>IF(AND($L193*1&gt;=$G$3,$L193*1&lt;=$G$4,$I193*$J193&gt;0,OR($I193&lt;&gt;$I194,$L193-$L194&gt;25),$I193/POW(10,$J193)*MAXIFS(Token!$B:$B,Token!$A:$A,$K193)&gt;0.01),$L193/86400+DATE(1970,1,1)+$G$6,)</f>
        <v/>
      </c>
      <c r="B193" s="27" t="str">
        <f t="shared" si="1"/>
        <v/>
      </c>
      <c r="C193" s="14" t="str">
        <f>IF($A193&lt;&gt;"",MINIFS(Merchant!$A:$A,Merchant!$B:$B,$G$2),)</f>
        <v/>
      </c>
      <c r="D193" s="14" t="str">
        <f t="shared" si="2"/>
        <v/>
      </c>
      <c r="E193" s="14" t="str">
        <f t="shared" si="3"/>
        <v/>
      </c>
      <c r="F193" s="7" t="str">
        <f>IF($A193&lt;&gt;"",MAXIFS(Token!$B:$B,Token!$A:$A,$D193),)</f>
        <v/>
      </c>
    </row>
    <row r="194">
      <c r="A194" s="39" t="str">
        <f>IF(AND($L194*1&gt;=$G$3,$L194*1&lt;=$G$4,$I194*$J194&gt;0,OR($I194&lt;&gt;$I195,$L194-$L195&gt;25),$I194/POW(10,$J194)*MAXIFS(Token!$B:$B,Token!$A:$A,$K194)&gt;0.01),$L194/86400+DATE(1970,1,1)+$G$6,)</f>
        <v/>
      </c>
      <c r="B194" s="27" t="str">
        <f t="shared" si="1"/>
        <v/>
      </c>
      <c r="C194" s="14" t="str">
        <f>IF($A194&lt;&gt;"",MINIFS(Merchant!$A:$A,Merchant!$B:$B,$G$2),)</f>
        <v/>
      </c>
      <c r="D194" s="14" t="str">
        <f t="shared" si="2"/>
        <v/>
      </c>
      <c r="E194" s="14" t="str">
        <f t="shared" si="3"/>
        <v/>
      </c>
      <c r="F194" s="7" t="str">
        <f>IF($A194&lt;&gt;"",MAXIFS(Token!$B:$B,Token!$A:$A,$D194),)</f>
        <v/>
      </c>
    </row>
    <row r="195">
      <c r="A195" s="39" t="str">
        <f>IF(AND($L195*1&gt;=$G$3,$L195*1&lt;=$G$4,$I195*$J195&gt;0,OR($I195&lt;&gt;$I196,$L195-$L196&gt;25),$I195/POW(10,$J195)*MAXIFS(Token!$B:$B,Token!$A:$A,$K195)&gt;0.01),$L195/86400+DATE(1970,1,1)+$G$6,)</f>
        <v/>
      </c>
      <c r="B195" s="27" t="str">
        <f t="shared" si="1"/>
        <v/>
      </c>
      <c r="C195" s="14" t="str">
        <f>IF($A195&lt;&gt;"",MINIFS(Merchant!$A:$A,Merchant!$B:$B,$G$2),)</f>
        <v/>
      </c>
      <c r="D195" s="14" t="str">
        <f t="shared" si="2"/>
        <v/>
      </c>
      <c r="E195" s="14" t="str">
        <f t="shared" si="3"/>
        <v/>
      </c>
      <c r="F195" s="7" t="str">
        <f>IF($A195&lt;&gt;"",MAXIFS(Token!$B:$B,Token!$A:$A,$D195),)</f>
        <v/>
      </c>
    </row>
    <row r="196">
      <c r="A196" s="39" t="str">
        <f>IF(AND($L196*1&gt;=$G$3,$L196*1&lt;=$G$4,$I196*$J196&gt;0,OR($I196&lt;&gt;$I197,$L196-$L197&gt;25),$I196/POW(10,$J196)*MAXIFS(Token!$B:$B,Token!$A:$A,$K196)&gt;0.01),$L196/86400+DATE(1970,1,1)+$G$6,)</f>
        <v/>
      </c>
      <c r="B196" s="27" t="str">
        <f t="shared" si="1"/>
        <v/>
      </c>
      <c r="C196" s="14" t="str">
        <f>IF($A196&lt;&gt;"",MINIFS(Merchant!$A:$A,Merchant!$B:$B,$G$2),)</f>
        <v/>
      </c>
      <c r="D196" s="14" t="str">
        <f t="shared" si="2"/>
        <v/>
      </c>
      <c r="E196" s="14" t="str">
        <f t="shared" si="3"/>
        <v/>
      </c>
      <c r="F196" s="7" t="str">
        <f>IF($A196&lt;&gt;"",MAXIFS(Token!$B:$B,Token!$A:$A,$D196),)</f>
        <v/>
      </c>
    </row>
    <row r="197">
      <c r="A197" s="39" t="str">
        <f>IF(AND($L197*1&gt;=$G$3,$L197*1&lt;=$G$4,$I197*$J197&gt;0,OR($I197&lt;&gt;$I198,$L197-$L198&gt;25),$I197/POW(10,$J197)*MAXIFS(Token!$B:$B,Token!$A:$A,$K197)&gt;0.01),$L197/86400+DATE(1970,1,1)+$G$6,)</f>
        <v/>
      </c>
      <c r="B197" s="27" t="str">
        <f t="shared" si="1"/>
        <v/>
      </c>
      <c r="C197" s="14" t="str">
        <f>IF($A197&lt;&gt;"",MINIFS(Merchant!$A:$A,Merchant!$B:$B,$G$2),)</f>
        <v/>
      </c>
      <c r="D197" s="14" t="str">
        <f t="shared" si="2"/>
        <v/>
      </c>
      <c r="E197" s="14" t="str">
        <f t="shared" si="3"/>
        <v/>
      </c>
      <c r="F197" s="7" t="str">
        <f>IF($A197&lt;&gt;"",MAXIFS(Token!$B:$B,Token!$A:$A,$D197),)</f>
        <v/>
      </c>
    </row>
    <row r="198">
      <c r="A198" s="39" t="str">
        <f>IF(AND($L198*1&gt;=$G$3,$L198*1&lt;=$G$4,$I198*$J198&gt;0,OR($I198&lt;&gt;$I199,$L198-$L199&gt;25),$I198/POW(10,$J198)*MAXIFS(Token!$B:$B,Token!$A:$A,$K198)&gt;0.01),$L198/86400+DATE(1970,1,1)+$G$6,)</f>
        <v/>
      </c>
      <c r="B198" s="27" t="str">
        <f t="shared" si="1"/>
        <v/>
      </c>
      <c r="C198" s="14" t="str">
        <f>IF($A198&lt;&gt;"",MINIFS(Merchant!$A:$A,Merchant!$B:$B,$G$2),)</f>
        <v/>
      </c>
      <c r="D198" s="14" t="str">
        <f t="shared" si="2"/>
        <v/>
      </c>
      <c r="E198" s="14" t="str">
        <f t="shared" si="3"/>
        <v/>
      </c>
      <c r="F198" s="7" t="str">
        <f>IF($A198&lt;&gt;"",MAXIFS(Token!$B:$B,Token!$A:$A,$D198),)</f>
        <v/>
      </c>
    </row>
    <row r="199">
      <c r="A199" s="39" t="str">
        <f>IF(AND($L199*1&gt;=$G$3,$L199*1&lt;=$G$4,$I199*$J199&gt;0,OR($I199&lt;&gt;$I200,$L199-$L200&gt;25),$I199/POW(10,$J199)*MAXIFS(Token!$B:$B,Token!$A:$A,$K199)&gt;0.01),$L199/86400+DATE(1970,1,1)+$G$6,)</f>
        <v/>
      </c>
      <c r="B199" s="27" t="str">
        <f t="shared" si="1"/>
        <v/>
      </c>
      <c r="C199" s="14" t="str">
        <f>IF($A199&lt;&gt;"",MINIFS(Merchant!$A:$A,Merchant!$B:$B,$G$2),)</f>
        <v/>
      </c>
      <c r="D199" s="14" t="str">
        <f t="shared" si="2"/>
        <v/>
      </c>
      <c r="E199" s="14" t="str">
        <f t="shared" si="3"/>
        <v/>
      </c>
      <c r="F199" s="7" t="str">
        <f>IF($A199&lt;&gt;"",MAXIFS(Token!$B:$B,Token!$A:$A,$D199),)</f>
        <v/>
      </c>
    </row>
    <row r="200">
      <c r="A200" s="39" t="str">
        <f>IF(AND($L200*1&gt;=$G$3,$L200*1&lt;=$G$4,$I200*$J200&gt;0,OR($I200&lt;&gt;$I201,$L200-$L201&gt;25),$I200/POW(10,$J200)*MAXIFS(Token!$B:$B,Token!$A:$A,$K200)&gt;0.01),$L200/86400+DATE(1970,1,1)+$G$6,)</f>
        <v/>
      </c>
      <c r="B200" s="27" t="str">
        <f t="shared" si="1"/>
        <v/>
      </c>
      <c r="C200" s="14" t="str">
        <f>IF($A200&lt;&gt;"",MINIFS(Merchant!$A:$A,Merchant!$B:$B,$G$2),)</f>
        <v/>
      </c>
      <c r="D200" s="14" t="str">
        <f t="shared" si="2"/>
        <v/>
      </c>
      <c r="E200" s="14" t="str">
        <f t="shared" si="3"/>
        <v/>
      </c>
      <c r="F200" s="7" t="str">
        <f>IF($A200&lt;&gt;"",MAXIFS(Token!$B:$B,Token!$A:$A,$D200),)</f>
        <v/>
      </c>
    </row>
    <row r="201">
      <c r="A201" s="39" t="str">
        <f>IF(AND($L201*1&gt;=$G$3,$L201*1&lt;=$G$4,$I201*$J201&gt;0,OR($I201&lt;&gt;$I202,$L201-$L202&gt;25),$I201/POW(10,$J201)*MAXIFS(Token!$B:$B,Token!$A:$A,$K201)&gt;0.01),$L201/86400+DATE(1970,1,1)+$G$6,)</f>
        <v/>
      </c>
      <c r="B201" s="27" t="str">
        <f t="shared" si="1"/>
        <v/>
      </c>
      <c r="C201" s="14" t="str">
        <f>IF($A201&lt;&gt;"",MINIFS(Merchant!$A:$A,Merchant!$B:$B,$G$2),)</f>
        <v/>
      </c>
      <c r="D201" s="14" t="str">
        <f t="shared" si="2"/>
        <v/>
      </c>
      <c r="E201" s="14" t="str">
        <f t="shared" si="3"/>
        <v/>
      </c>
      <c r="F201" s="7" t="str">
        <f>IF($A201&lt;&gt;"",MAXIFS(Token!$B:$B,Token!$A:$A,$D201),)</f>
        <v/>
      </c>
    </row>
    <row r="202">
      <c r="A202" s="39" t="str">
        <f>IF(AND($L202*1&gt;=$G$3,$L202*1&lt;=$G$4,$I202*$J202&gt;0,OR($I202&lt;&gt;$I203,$L202-$L203&gt;25),$I202/POW(10,$J202)*MAXIFS(Token!$B:$B,Token!$A:$A,$K202)&gt;0.01),$L202/86400+DATE(1970,1,1)+$G$6,)</f>
        <v/>
      </c>
      <c r="B202" s="27" t="str">
        <f t="shared" si="1"/>
        <v/>
      </c>
      <c r="C202" s="14" t="str">
        <f>IF($A202&lt;&gt;"",MINIFS(Merchant!$A:$A,Merchant!$B:$B,$G$2),)</f>
        <v/>
      </c>
      <c r="D202" s="14" t="str">
        <f t="shared" si="2"/>
        <v/>
      </c>
      <c r="E202" s="14" t="str">
        <f t="shared" si="3"/>
        <v/>
      </c>
      <c r="F202" s="7" t="str">
        <f>IF($A202&lt;&gt;"",MAXIFS(Token!$B:$B,Token!$A:$A,$D202),)</f>
        <v/>
      </c>
    </row>
    <row r="203">
      <c r="A203" s="39" t="str">
        <f>IF(AND($L203*1&gt;=$G$3,$L203*1&lt;=$G$4,$I203*$J203&gt;0,OR($I203&lt;&gt;$I204,$L203-$L204&gt;25),$I203/POW(10,$J203)*MAXIFS(Token!$B:$B,Token!$A:$A,$K203)&gt;0.01),$L203/86400+DATE(1970,1,1)+$G$6,)</f>
        <v/>
      </c>
      <c r="B203" s="27" t="str">
        <f t="shared" si="1"/>
        <v/>
      </c>
      <c r="C203" s="14" t="str">
        <f>IF($A203&lt;&gt;"",MINIFS(Merchant!$A:$A,Merchant!$B:$B,$G$2),)</f>
        <v/>
      </c>
      <c r="D203" s="14" t="str">
        <f t="shared" si="2"/>
        <v/>
      </c>
      <c r="E203" s="14" t="str">
        <f t="shared" si="3"/>
        <v/>
      </c>
      <c r="F203" s="7" t="str">
        <f>IF($A203&lt;&gt;"",MAXIFS(Token!$B:$B,Token!$A:$A,$D203),)</f>
        <v/>
      </c>
    </row>
    <row r="204">
      <c r="A204" s="39" t="str">
        <f>IF(AND($L204*1&gt;=$G$3,$L204*1&lt;=$G$4,$I204*$J204&gt;0,OR($I204&lt;&gt;$I205,$L204-$L205&gt;25),$I204/POW(10,$J204)*MAXIFS(Token!$B:$B,Token!$A:$A,$K204)&gt;0.01),$L204/86400+DATE(1970,1,1)+$G$6,)</f>
        <v/>
      </c>
      <c r="B204" s="27" t="str">
        <f t="shared" si="1"/>
        <v/>
      </c>
      <c r="C204" s="14" t="str">
        <f>IF($A204&lt;&gt;"",MINIFS(Merchant!$A:$A,Merchant!$B:$B,$G$2),)</f>
        <v/>
      </c>
      <c r="D204" s="14" t="str">
        <f t="shared" si="2"/>
        <v/>
      </c>
      <c r="E204" s="14" t="str">
        <f t="shared" si="3"/>
        <v/>
      </c>
      <c r="F204" s="7" t="str">
        <f>IF($A204&lt;&gt;"",MAXIFS(Token!$B:$B,Token!$A:$A,$D204),)</f>
        <v/>
      </c>
    </row>
    <row r="205">
      <c r="A205" s="39" t="str">
        <f>IF(AND($L205*1&gt;=$G$3,$L205*1&lt;=$G$4,$I205*$J205&gt;0,OR($I205&lt;&gt;$I206,$L205-$L206&gt;25),$I205/POW(10,$J205)*MAXIFS(Token!$B:$B,Token!$A:$A,$K205)&gt;0.01),$L205/86400+DATE(1970,1,1)+$G$6,)</f>
        <v/>
      </c>
      <c r="B205" s="27" t="str">
        <f t="shared" si="1"/>
        <v/>
      </c>
      <c r="C205" s="14" t="str">
        <f>IF($A205&lt;&gt;"",MINIFS(Merchant!$A:$A,Merchant!$B:$B,$G$2),)</f>
        <v/>
      </c>
      <c r="D205" s="14" t="str">
        <f t="shared" si="2"/>
        <v/>
      </c>
      <c r="E205" s="14" t="str">
        <f t="shared" si="3"/>
        <v/>
      </c>
      <c r="F205" s="7" t="str">
        <f>IF($A205&lt;&gt;"",MAXIFS(Token!$B:$B,Token!$A:$A,$D205),)</f>
        <v/>
      </c>
    </row>
    <row r="206">
      <c r="A206" s="39" t="str">
        <f>IF(AND($L206*1&gt;=$G$3,$L206*1&lt;=$G$4,$I206*$J206&gt;0,OR($I206&lt;&gt;$I207,$L206-$L207&gt;25),$I206/POW(10,$J206)*MAXIFS(Token!$B:$B,Token!$A:$A,$K206)&gt;0.01),$L206/86400+DATE(1970,1,1)+$G$6,)</f>
        <v/>
      </c>
      <c r="B206" s="27" t="str">
        <f t="shared" si="1"/>
        <v/>
      </c>
      <c r="C206" s="14" t="str">
        <f>IF($A206&lt;&gt;"",MINIFS(Merchant!$A:$A,Merchant!$B:$B,$G$2),)</f>
        <v/>
      </c>
      <c r="D206" s="14" t="str">
        <f t="shared" si="2"/>
        <v/>
      </c>
      <c r="E206" s="14" t="str">
        <f t="shared" si="3"/>
        <v/>
      </c>
      <c r="F206" s="7" t="str">
        <f>IF($A206&lt;&gt;"",MAXIFS(Token!$B:$B,Token!$A:$A,$D206),)</f>
        <v/>
      </c>
    </row>
    <row r="207">
      <c r="A207" s="39" t="str">
        <f>IF(AND($L207*1&gt;=$G$3,$L207*1&lt;=$G$4,$I207*$J207&gt;0,OR($I207&lt;&gt;$I208,$L207-$L208&gt;25),$I207/POW(10,$J207)*MAXIFS(Token!$B:$B,Token!$A:$A,$K207)&gt;0.01),$L207/86400+DATE(1970,1,1)+$G$6,)</f>
        <v/>
      </c>
      <c r="B207" s="27" t="str">
        <f t="shared" si="1"/>
        <v/>
      </c>
      <c r="C207" s="14" t="str">
        <f>IF($A207&lt;&gt;"",MINIFS(Merchant!$A:$A,Merchant!$B:$B,$G$2),)</f>
        <v/>
      </c>
      <c r="D207" s="14" t="str">
        <f t="shared" si="2"/>
        <v/>
      </c>
      <c r="E207" s="14" t="str">
        <f t="shared" si="3"/>
        <v/>
      </c>
      <c r="F207" s="7" t="str">
        <f>IF($A207&lt;&gt;"",MAXIFS(Token!$B:$B,Token!$A:$A,$D207),)</f>
        <v/>
      </c>
    </row>
    <row r="208">
      <c r="A208" s="39" t="str">
        <f>IF(AND($L208*1&gt;=$G$3,$L208*1&lt;=$G$4,$I208*$J208&gt;0,OR($I208&lt;&gt;$I209,$L208-$L209&gt;25),$I208/POW(10,$J208)*MAXIFS(Token!$B:$B,Token!$A:$A,$K208)&gt;0.01),$L208/86400+DATE(1970,1,1)+$G$6,)</f>
        <v/>
      </c>
      <c r="B208" s="27" t="str">
        <f t="shared" si="1"/>
        <v/>
      </c>
      <c r="C208" s="14" t="str">
        <f>IF($A208&lt;&gt;"",MINIFS(Merchant!$A:$A,Merchant!$B:$B,$G$2),)</f>
        <v/>
      </c>
      <c r="D208" s="14" t="str">
        <f t="shared" si="2"/>
        <v/>
      </c>
      <c r="E208" s="14" t="str">
        <f t="shared" si="3"/>
        <v/>
      </c>
      <c r="F208" s="7" t="str">
        <f>IF($A208&lt;&gt;"",MAXIFS(Token!$B:$B,Token!$A:$A,$D208),)</f>
        <v/>
      </c>
    </row>
    <row r="209">
      <c r="A209" s="39" t="str">
        <f>IF(AND($L209*1&gt;=$G$3,$L209*1&lt;=$G$4,$I209*$J209&gt;0,OR($I209&lt;&gt;$I210,$L209-$L210&gt;25),$I209/POW(10,$J209)*MAXIFS(Token!$B:$B,Token!$A:$A,$K209)&gt;0.01),$L209/86400+DATE(1970,1,1)+$G$6,)</f>
        <v/>
      </c>
      <c r="B209" s="27" t="str">
        <f t="shared" si="1"/>
        <v/>
      </c>
      <c r="C209" s="14" t="str">
        <f>IF($A209&lt;&gt;"",MINIFS(Merchant!$A:$A,Merchant!$B:$B,$G$2),)</f>
        <v/>
      </c>
      <c r="D209" s="14" t="str">
        <f t="shared" si="2"/>
        <v/>
      </c>
      <c r="E209" s="14" t="str">
        <f t="shared" si="3"/>
        <v/>
      </c>
      <c r="F209" s="7" t="str">
        <f>IF($A209&lt;&gt;"",MAXIFS(Token!$B:$B,Token!$A:$A,$D209),)</f>
        <v/>
      </c>
    </row>
    <row r="210">
      <c r="A210" s="39" t="str">
        <f>IF(AND($L210*1&gt;=$G$3,$L210*1&lt;=$G$4,$I210*$J210&gt;0,OR($I210&lt;&gt;$I211,$L210-$L211&gt;25),$I210/POW(10,$J210)*MAXIFS(Token!$B:$B,Token!$A:$A,$K210)&gt;0.01),$L210/86400+DATE(1970,1,1)+$G$6,)</f>
        <v/>
      </c>
      <c r="B210" s="27" t="str">
        <f t="shared" si="1"/>
        <v/>
      </c>
      <c r="C210" s="14" t="str">
        <f>IF($A210&lt;&gt;"",MINIFS(Merchant!$A:$A,Merchant!$B:$B,$G$2),)</f>
        <v/>
      </c>
      <c r="D210" s="14" t="str">
        <f t="shared" si="2"/>
        <v/>
      </c>
      <c r="E210" s="14" t="str">
        <f t="shared" si="3"/>
        <v/>
      </c>
      <c r="F210" s="7" t="str">
        <f>IF($A210&lt;&gt;"",MAXIFS(Token!$B:$B,Token!$A:$A,$D210),)</f>
        <v/>
      </c>
    </row>
    <row r="211">
      <c r="A211" s="39" t="str">
        <f>IF(AND($L211*1&gt;=$G$3,$L211*1&lt;=$G$4,$I211*$J211&gt;0,OR($I211&lt;&gt;$I212,$L211-$L212&gt;25),$I211/POW(10,$J211)*MAXIFS(Token!$B:$B,Token!$A:$A,$K211)&gt;0.01),$L211/86400+DATE(1970,1,1)+$G$6,)</f>
        <v/>
      </c>
      <c r="B211" s="27" t="str">
        <f t="shared" si="1"/>
        <v/>
      </c>
      <c r="C211" s="14" t="str">
        <f>IF($A211&lt;&gt;"",MINIFS(Merchant!$A:$A,Merchant!$B:$B,$G$2),)</f>
        <v/>
      </c>
      <c r="D211" s="14" t="str">
        <f t="shared" si="2"/>
        <v/>
      </c>
      <c r="E211" s="14" t="str">
        <f t="shared" si="3"/>
        <v/>
      </c>
      <c r="F211" s="7" t="str">
        <f>IF($A211&lt;&gt;"",MAXIFS(Token!$B:$B,Token!$A:$A,$D211),)</f>
        <v/>
      </c>
    </row>
    <row r="212">
      <c r="A212" s="39" t="str">
        <f>IF(AND($L212*1&gt;=$G$3,$L212*1&lt;=$G$4,$I212*$J212&gt;0,OR($I212&lt;&gt;$I213,$L212-$L213&gt;25),$I212/POW(10,$J212)*MAXIFS(Token!$B:$B,Token!$A:$A,$K212)&gt;0.01),$L212/86400+DATE(1970,1,1)+$G$6,)</f>
        <v/>
      </c>
      <c r="B212" s="27" t="str">
        <f t="shared" si="1"/>
        <v/>
      </c>
      <c r="C212" s="14" t="str">
        <f>IF($A212&lt;&gt;"",MINIFS(Merchant!$A:$A,Merchant!$B:$B,$G$2),)</f>
        <v/>
      </c>
      <c r="D212" s="14" t="str">
        <f t="shared" si="2"/>
        <v/>
      </c>
      <c r="E212" s="14" t="str">
        <f t="shared" si="3"/>
        <v/>
      </c>
      <c r="F212" s="7" t="str">
        <f>IF($A212&lt;&gt;"",MAXIFS(Token!$B:$B,Token!$A:$A,$D212),)</f>
        <v/>
      </c>
    </row>
    <row r="213">
      <c r="A213" s="39" t="str">
        <f>IF(AND($L213*1&gt;=$G$3,$L213*1&lt;=$G$4,$I213*$J213&gt;0,OR($I213&lt;&gt;$I214,$L213-$L214&gt;25),$I213/POW(10,$J213)*MAXIFS(Token!$B:$B,Token!$A:$A,$K213)&gt;0.01),$L213/86400+DATE(1970,1,1)+$G$6,)</f>
        <v/>
      </c>
      <c r="B213" s="27" t="str">
        <f t="shared" si="1"/>
        <v/>
      </c>
      <c r="C213" s="14" t="str">
        <f>IF($A213&lt;&gt;"",MINIFS(Merchant!$A:$A,Merchant!$B:$B,$G$2),)</f>
        <v/>
      </c>
      <c r="D213" s="14" t="str">
        <f t="shared" si="2"/>
        <v/>
      </c>
      <c r="E213" s="14" t="str">
        <f t="shared" si="3"/>
        <v/>
      </c>
      <c r="F213" s="7" t="str">
        <f>IF($A213&lt;&gt;"",MAXIFS(Token!$B:$B,Token!$A:$A,$D213),)</f>
        <v/>
      </c>
    </row>
    <row r="214">
      <c r="A214" s="39" t="str">
        <f>IF(AND($L214*1&gt;=$G$3,$L214*1&lt;=$G$4,$I214*$J214&gt;0,OR($I214&lt;&gt;$I215,$L214-$L215&gt;25),$I214/POW(10,$J214)*MAXIFS(Token!$B:$B,Token!$A:$A,$K214)&gt;0.01),$L214/86400+DATE(1970,1,1)+$G$6,)</f>
        <v/>
      </c>
      <c r="B214" s="27" t="str">
        <f t="shared" si="1"/>
        <v/>
      </c>
      <c r="C214" s="14" t="str">
        <f>IF($A214&lt;&gt;"",MINIFS(Merchant!$A:$A,Merchant!$B:$B,$G$2),)</f>
        <v/>
      </c>
      <c r="D214" s="14" t="str">
        <f t="shared" si="2"/>
        <v/>
      </c>
      <c r="E214" s="14" t="str">
        <f t="shared" si="3"/>
        <v/>
      </c>
      <c r="F214" s="7" t="str">
        <f>IF($A214&lt;&gt;"",MAXIFS(Token!$B:$B,Token!$A:$A,$D214),)</f>
        <v/>
      </c>
    </row>
    <row r="215">
      <c r="A215" s="39" t="str">
        <f>IF(AND($L215*1&gt;=$G$3,$L215*1&lt;=$G$4,$I215*$J215&gt;0,OR($I215&lt;&gt;$I216,$L215-$L216&gt;25),$I215/POW(10,$J215)*MAXIFS(Token!$B:$B,Token!$A:$A,$K215)&gt;0.01),$L215/86400+DATE(1970,1,1)+$G$6,)</f>
        <v/>
      </c>
      <c r="B215" s="27" t="str">
        <f t="shared" si="1"/>
        <v/>
      </c>
      <c r="C215" s="14" t="str">
        <f>IF($A215&lt;&gt;"",MINIFS(Merchant!$A:$A,Merchant!$B:$B,$G$2),)</f>
        <v/>
      </c>
      <c r="D215" s="14" t="str">
        <f t="shared" si="2"/>
        <v/>
      </c>
      <c r="E215" s="14" t="str">
        <f t="shared" si="3"/>
        <v/>
      </c>
      <c r="F215" s="7" t="str">
        <f>IF($A215&lt;&gt;"",MAXIFS(Token!$B:$B,Token!$A:$A,$D215),)</f>
        <v/>
      </c>
    </row>
    <row r="216">
      <c r="A216" s="39" t="str">
        <f>IF(AND($L216*1&gt;=$G$3,$L216*1&lt;=$G$4,$I216*$J216&gt;0,OR($I216&lt;&gt;$I217,$L216-$L217&gt;25),$I216/POW(10,$J216)*MAXIFS(Token!$B:$B,Token!$A:$A,$K216)&gt;0.01),$L216/86400+DATE(1970,1,1)+$G$6,)</f>
        <v/>
      </c>
      <c r="B216" s="27" t="str">
        <f t="shared" si="1"/>
        <v/>
      </c>
      <c r="C216" s="14" t="str">
        <f>IF($A216&lt;&gt;"",MINIFS(Merchant!$A:$A,Merchant!$B:$B,$G$2),)</f>
        <v/>
      </c>
      <c r="D216" s="14" t="str">
        <f t="shared" si="2"/>
        <v/>
      </c>
      <c r="E216" s="14" t="str">
        <f t="shared" si="3"/>
        <v/>
      </c>
      <c r="F216" s="7" t="str">
        <f>IF($A216&lt;&gt;"",MAXIFS(Token!$B:$B,Token!$A:$A,$D216),)</f>
        <v/>
      </c>
    </row>
    <row r="217">
      <c r="A217" s="39" t="str">
        <f>IF(AND($L217*1&gt;=$G$3,$L217*1&lt;=$G$4,$I217*$J217&gt;0,OR($I217&lt;&gt;$I218,$L217-$L218&gt;25),$I217/POW(10,$J217)*MAXIFS(Token!$B:$B,Token!$A:$A,$K217)&gt;0.01),$L217/86400+DATE(1970,1,1)+$G$6,)</f>
        <v/>
      </c>
      <c r="B217" s="27" t="str">
        <f t="shared" si="1"/>
        <v/>
      </c>
      <c r="C217" s="14" t="str">
        <f>IF($A217&lt;&gt;"",MINIFS(Merchant!$A:$A,Merchant!$B:$B,$G$2),)</f>
        <v/>
      </c>
      <c r="D217" s="14" t="str">
        <f t="shared" si="2"/>
        <v/>
      </c>
      <c r="E217" s="14" t="str">
        <f t="shared" si="3"/>
        <v/>
      </c>
      <c r="F217" s="7" t="str">
        <f>IF($A217&lt;&gt;"",MAXIFS(Token!$B:$B,Token!$A:$A,$D217),)</f>
        <v/>
      </c>
    </row>
    <row r="218">
      <c r="A218" s="39" t="str">
        <f>IF(AND($L218*1&gt;=$G$3,$L218*1&lt;=$G$4,$I218*$J218&gt;0,OR($I218&lt;&gt;$I219,$L218-$L219&gt;25),$I218/POW(10,$J218)*MAXIFS(Token!$B:$B,Token!$A:$A,$K218)&gt;0.01),$L218/86400+DATE(1970,1,1)+$G$6,)</f>
        <v/>
      </c>
      <c r="B218" s="27" t="str">
        <f t="shared" si="1"/>
        <v/>
      </c>
      <c r="C218" s="14" t="str">
        <f>IF($A218&lt;&gt;"",MINIFS(Merchant!$A:$A,Merchant!$B:$B,$G$2),)</f>
        <v/>
      </c>
      <c r="D218" s="14" t="str">
        <f t="shared" si="2"/>
        <v/>
      </c>
      <c r="E218" s="14" t="str">
        <f t="shared" si="3"/>
        <v/>
      </c>
      <c r="F218" s="7" t="str">
        <f>IF($A218&lt;&gt;"",MAXIFS(Token!$B:$B,Token!$A:$A,$D218),)</f>
        <v/>
      </c>
    </row>
    <row r="219">
      <c r="A219" s="39" t="str">
        <f>IF(AND($L219*1&gt;=$G$3,$L219*1&lt;=$G$4,$I219*$J219&gt;0,OR($I219&lt;&gt;$I220,$L219-$L220&gt;25),$I219/POW(10,$J219)*MAXIFS(Token!$B:$B,Token!$A:$A,$K219)&gt;0.01),$L219/86400+DATE(1970,1,1)+$G$6,)</f>
        <v/>
      </c>
      <c r="B219" s="27" t="str">
        <f t="shared" si="1"/>
        <v/>
      </c>
      <c r="C219" s="14" t="str">
        <f>IF($A219&lt;&gt;"",MINIFS(Merchant!$A:$A,Merchant!$B:$B,$G$2),)</f>
        <v/>
      </c>
      <c r="D219" s="14" t="str">
        <f t="shared" si="2"/>
        <v/>
      </c>
      <c r="E219" s="14" t="str">
        <f t="shared" si="3"/>
        <v/>
      </c>
      <c r="F219" s="7" t="str">
        <f>IF($A219&lt;&gt;"",MAXIFS(Token!$B:$B,Token!$A:$A,$D219),)</f>
        <v/>
      </c>
    </row>
    <row r="220">
      <c r="A220" s="39" t="str">
        <f>IF(AND($L220*1&gt;=$G$3,$L220*1&lt;=$G$4,$I220*$J220&gt;0,OR($I220&lt;&gt;$I221,$L220-$L221&gt;25),$I220/POW(10,$J220)*MAXIFS(Token!$B:$B,Token!$A:$A,$K220)&gt;0.01),$L220/86400+DATE(1970,1,1)+$G$6,)</f>
        <v/>
      </c>
      <c r="B220" s="27" t="str">
        <f t="shared" si="1"/>
        <v/>
      </c>
      <c r="C220" s="14" t="str">
        <f>IF($A220&lt;&gt;"",MINIFS(Merchant!$A:$A,Merchant!$B:$B,$G$2),)</f>
        <v/>
      </c>
      <c r="D220" s="14" t="str">
        <f t="shared" si="2"/>
        <v/>
      </c>
      <c r="E220" s="14" t="str">
        <f t="shared" si="3"/>
        <v/>
      </c>
      <c r="F220" s="7" t="str">
        <f>IF($A220&lt;&gt;"",MAXIFS(Token!$B:$B,Token!$A:$A,$D220),)</f>
        <v/>
      </c>
    </row>
    <row r="221">
      <c r="A221" s="39" t="str">
        <f>IF(AND($L221*1&gt;=$G$3,$L221*1&lt;=$G$4,$I221*$J221&gt;0,OR($I221&lt;&gt;$I222,$L221-$L222&gt;25),$I221/POW(10,$J221)*MAXIFS(Token!$B:$B,Token!$A:$A,$K221)&gt;0.01),$L221/86400+DATE(1970,1,1)+$G$6,)</f>
        <v/>
      </c>
      <c r="B221" s="27" t="str">
        <f t="shared" si="1"/>
        <v/>
      </c>
      <c r="C221" s="14" t="str">
        <f>IF($A221&lt;&gt;"",MINIFS(Merchant!$A:$A,Merchant!$B:$B,$G$2),)</f>
        <v/>
      </c>
      <c r="D221" s="14" t="str">
        <f t="shared" si="2"/>
        <v/>
      </c>
      <c r="E221" s="14" t="str">
        <f t="shared" si="3"/>
        <v/>
      </c>
      <c r="F221" s="7" t="str">
        <f>IF($A221&lt;&gt;"",MAXIFS(Token!$B:$B,Token!$A:$A,$D221),)</f>
        <v/>
      </c>
    </row>
    <row r="222">
      <c r="A222" s="39" t="str">
        <f>IF(AND($L222*1&gt;=$G$3,$L222*1&lt;=$G$4,$I222*$J222&gt;0,OR($I222&lt;&gt;$I223,$L222-$L223&gt;25),$I222/POW(10,$J222)*MAXIFS(Token!$B:$B,Token!$A:$A,$K222)&gt;0.01),$L222/86400+DATE(1970,1,1)+$G$6,)</f>
        <v/>
      </c>
      <c r="B222" s="27" t="str">
        <f t="shared" si="1"/>
        <v/>
      </c>
      <c r="C222" s="14" t="str">
        <f>IF($A222&lt;&gt;"",MINIFS(Merchant!$A:$A,Merchant!$B:$B,$G$2),)</f>
        <v/>
      </c>
      <c r="D222" s="14" t="str">
        <f t="shared" si="2"/>
        <v/>
      </c>
      <c r="E222" s="14" t="str">
        <f t="shared" si="3"/>
        <v/>
      </c>
      <c r="F222" s="7" t="str">
        <f>IF($A222&lt;&gt;"",MAXIFS(Token!$B:$B,Token!$A:$A,$D222),)</f>
        <v/>
      </c>
    </row>
    <row r="223">
      <c r="A223" s="39" t="str">
        <f>IF(AND($L223*1&gt;=$G$3,$L223*1&lt;=$G$4,$I223*$J223&gt;0,OR($I223&lt;&gt;$I224,$L223-$L224&gt;25),$I223/POW(10,$J223)*MAXIFS(Token!$B:$B,Token!$A:$A,$K223)&gt;0.01),$L223/86400+DATE(1970,1,1)+$G$6,)</f>
        <v/>
      </c>
      <c r="B223" s="27" t="str">
        <f t="shared" si="1"/>
        <v/>
      </c>
      <c r="C223" s="14" t="str">
        <f>IF($A223&lt;&gt;"",MINIFS(Merchant!$A:$A,Merchant!$B:$B,$G$2),)</f>
        <v/>
      </c>
      <c r="D223" s="14" t="str">
        <f t="shared" si="2"/>
        <v/>
      </c>
      <c r="E223" s="14" t="str">
        <f t="shared" si="3"/>
        <v/>
      </c>
      <c r="F223" s="7" t="str">
        <f>IF($A223&lt;&gt;"",MAXIFS(Token!$B:$B,Token!$A:$A,$D223),)</f>
        <v/>
      </c>
    </row>
    <row r="224">
      <c r="A224" s="39" t="str">
        <f>IF(AND($L224*1&gt;=$G$3,$L224*1&lt;=$G$4,$I224*$J224&gt;0,OR($I224&lt;&gt;$I225,$L224-$L225&gt;25),$I224/POW(10,$J224)*MAXIFS(Token!$B:$B,Token!$A:$A,$K224)&gt;0.01),$L224/86400+DATE(1970,1,1)+$G$6,)</f>
        <v/>
      </c>
      <c r="B224" s="27" t="str">
        <f t="shared" si="1"/>
        <v/>
      </c>
      <c r="C224" s="14" t="str">
        <f>IF($A224&lt;&gt;"",MINIFS(Merchant!$A:$A,Merchant!$B:$B,$G$2),)</f>
        <v/>
      </c>
      <c r="D224" s="14" t="str">
        <f t="shared" si="2"/>
        <v/>
      </c>
      <c r="E224" s="14" t="str">
        <f t="shared" si="3"/>
        <v/>
      </c>
      <c r="F224" s="7" t="str">
        <f>IF($A224&lt;&gt;"",MAXIFS(Token!$B:$B,Token!$A:$A,$D224),)</f>
        <v/>
      </c>
    </row>
    <row r="225">
      <c r="A225" s="39" t="str">
        <f>IF(AND($L225*1&gt;=$G$3,$L225*1&lt;=$G$4,$I225*$J225&gt;0,OR($I225&lt;&gt;$I226,$L225-$L226&gt;25),$I225/POW(10,$J225)*MAXIFS(Token!$B:$B,Token!$A:$A,$K225)&gt;0.01),$L225/86400+DATE(1970,1,1)+$G$6,)</f>
        <v/>
      </c>
      <c r="B225" s="27" t="str">
        <f t="shared" si="1"/>
        <v/>
      </c>
      <c r="C225" s="14" t="str">
        <f>IF($A225&lt;&gt;"",MINIFS(Merchant!$A:$A,Merchant!$B:$B,$G$2),)</f>
        <v/>
      </c>
      <c r="D225" s="14" t="str">
        <f t="shared" si="2"/>
        <v/>
      </c>
      <c r="E225" s="14" t="str">
        <f t="shared" si="3"/>
        <v/>
      </c>
      <c r="F225" s="7" t="str">
        <f>IF($A225&lt;&gt;"",MAXIFS(Token!$B:$B,Token!$A:$A,$D225),)</f>
        <v/>
      </c>
    </row>
    <row r="226">
      <c r="A226" s="39" t="str">
        <f>IF(AND($L226*1&gt;=$G$3,$L226*1&lt;=$G$4,$I226*$J226&gt;0,OR($I226&lt;&gt;$I227,$L226-$L227&gt;25),$I226/POW(10,$J226)*MAXIFS(Token!$B:$B,Token!$A:$A,$K226)&gt;0.01),$L226/86400+DATE(1970,1,1)+$G$6,)</f>
        <v/>
      </c>
      <c r="B226" s="27" t="str">
        <f t="shared" si="1"/>
        <v/>
      </c>
      <c r="C226" s="14" t="str">
        <f>IF($A226&lt;&gt;"",MINIFS(Merchant!$A:$A,Merchant!$B:$B,$G$2),)</f>
        <v/>
      </c>
      <c r="D226" s="14" t="str">
        <f t="shared" si="2"/>
        <v/>
      </c>
      <c r="E226" s="14" t="str">
        <f t="shared" si="3"/>
        <v/>
      </c>
      <c r="F226" s="7" t="str">
        <f>IF($A226&lt;&gt;"",MAXIFS(Token!$B:$B,Token!$A:$A,$D226),)</f>
        <v/>
      </c>
    </row>
    <row r="227">
      <c r="A227" s="39" t="str">
        <f>IF(AND($L227*1&gt;=$G$3,$L227*1&lt;=$G$4,$I227*$J227&gt;0,OR($I227&lt;&gt;$I228,$L227-$L228&gt;25),$I227/POW(10,$J227)*MAXIFS(Token!$B:$B,Token!$A:$A,$K227)&gt;0.01),$L227/86400+DATE(1970,1,1)+$G$6,)</f>
        <v/>
      </c>
      <c r="B227" s="27" t="str">
        <f t="shared" si="1"/>
        <v/>
      </c>
      <c r="C227" s="14" t="str">
        <f>IF($A227&lt;&gt;"",MINIFS(Merchant!$A:$A,Merchant!$B:$B,$G$2),)</f>
        <v/>
      </c>
      <c r="D227" s="14" t="str">
        <f t="shared" si="2"/>
        <v/>
      </c>
      <c r="E227" s="14" t="str">
        <f t="shared" si="3"/>
        <v/>
      </c>
      <c r="F227" s="7" t="str">
        <f>IF($A227&lt;&gt;"",MAXIFS(Token!$B:$B,Token!$A:$A,$D227),)</f>
        <v/>
      </c>
    </row>
    <row r="228">
      <c r="A228" s="39" t="str">
        <f>IF(AND($L228*1&gt;=$G$3,$L228*1&lt;=$G$4,$I228*$J228&gt;0,OR($I228&lt;&gt;$I229,$L228-$L229&gt;25),$I228/POW(10,$J228)*MAXIFS(Token!$B:$B,Token!$A:$A,$K228)&gt;0.01),$L228/86400+DATE(1970,1,1)+$G$6,)</f>
        <v/>
      </c>
      <c r="B228" s="27" t="str">
        <f t="shared" si="1"/>
        <v/>
      </c>
      <c r="C228" s="14" t="str">
        <f>IF($A228&lt;&gt;"",MINIFS(Merchant!$A:$A,Merchant!$B:$B,$G$2),)</f>
        <v/>
      </c>
      <c r="D228" s="14" t="str">
        <f t="shared" si="2"/>
        <v/>
      </c>
      <c r="E228" s="14" t="str">
        <f t="shared" si="3"/>
        <v/>
      </c>
      <c r="F228" s="7" t="str">
        <f>IF($A228&lt;&gt;"",MAXIFS(Token!$B:$B,Token!$A:$A,$D228),)</f>
        <v/>
      </c>
    </row>
    <row r="229">
      <c r="A229" s="39" t="str">
        <f>IF(AND($L229*1&gt;=$G$3,$L229*1&lt;=$G$4,$I229*$J229&gt;0,OR($I229&lt;&gt;$I230,$L229-$L230&gt;25),$I229/POW(10,$J229)*MAXIFS(Token!$B:$B,Token!$A:$A,$K229)&gt;0.01),$L229/86400+DATE(1970,1,1)+$G$6,)</f>
        <v/>
      </c>
      <c r="B229" s="27" t="str">
        <f t="shared" si="1"/>
        <v/>
      </c>
      <c r="C229" s="14" t="str">
        <f>IF($A229&lt;&gt;"",MINIFS(Merchant!$A:$A,Merchant!$B:$B,$G$2),)</f>
        <v/>
      </c>
      <c r="D229" s="14" t="str">
        <f t="shared" si="2"/>
        <v/>
      </c>
      <c r="E229" s="14" t="str">
        <f t="shared" si="3"/>
        <v/>
      </c>
      <c r="F229" s="7" t="str">
        <f>IF($A229&lt;&gt;"",MAXIFS(Token!$B:$B,Token!$A:$A,$D229),)</f>
        <v/>
      </c>
    </row>
    <row r="230">
      <c r="A230" s="39" t="str">
        <f>IF(AND($L230*1&gt;=$G$3,$L230*1&lt;=$G$4,$I230*$J230&gt;0,OR($I230&lt;&gt;$I231,$L230-$L231&gt;25),$I230/POW(10,$J230)*MAXIFS(Token!$B:$B,Token!$A:$A,$K230)&gt;0.01),$L230/86400+DATE(1970,1,1)+$G$6,)</f>
        <v/>
      </c>
      <c r="B230" s="27" t="str">
        <f t="shared" si="1"/>
        <v/>
      </c>
      <c r="C230" s="14" t="str">
        <f>IF($A230&lt;&gt;"",MINIFS(Merchant!$A:$A,Merchant!$B:$B,$G$2),)</f>
        <v/>
      </c>
      <c r="D230" s="14" t="str">
        <f t="shared" si="2"/>
        <v/>
      </c>
      <c r="E230" s="14" t="str">
        <f t="shared" si="3"/>
        <v/>
      </c>
      <c r="F230" s="7" t="str">
        <f>IF($A230&lt;&gt;"",MAXIFS(Token!$B:$B,Token!$A:$A,$D230),)</f>
        <v/>
      </c>
    </row>
    <row r="231">
      <c r="A231" s="39" t="str">
        <f>IF(AND($L231*1&gt;=$G$3,$L231*1&lt;=$G$4,$I231*$J231&gt;0,OR($I231&lt;&gt;$I232,$L231-$L232&gt;25),$I231/POW(10,$J231)*MAXIFS(Token!$B:$B,Token!$A:$A,$K231)&gt;0.01),$L231/86400+DATE(1970,1,1)+$G$6,)</f>
        <v/>
      </c>
      <c r="B231" s="27" t="str">
        <f t="shared" si="1"/>
        <v/>
      </c>
      <c r="C231" s="14" t="str">
        <f>IF($A231&lt;&gt;"",MINIFS(Merchant!$A:$A,Merchant!$B:$B,$G$2),)</f>
        <v/>
      </c>
      <c r="D231" s="14" t="str">
        <f t="shared" si="2"/>
        <v/>
      </c>
      <c r="E231" s="14" t="str">
        <f t="shared" si="3"/>
        <v/>
      </c>
      <c r="F231" s="7" t="str">
        <f>IF($A231&lt;&gt;"",MAXIFS(Token!$B:$B,Token!$A:$A,$D231),)</f>
        <v/>
      </c>
    </row>
    <row r="232">
      <c r="A232" s="39" t="str">
        <f>IF(AND($L232*1&gt;=$G$3,$L232*1&lt;=$G$4,$I232*$J232&gt;0,OR($I232&lt;&gt;$I233,$L232-$L233&gt;25),$I232/POW(10,$J232)*MAXIFS(Token!$B:$B,Token!$A:$A,$K232)&gt;0.01),$L232/86400+DATE(1970,1,1)+$G$6,)</f>
        <v/>
      </c>
      <c r="B232" s="27" t="str">
        <f t="shared" si="1"/>
        <v/>
      </c>
      <c r="C232" s="14" t="str">
        <f>IF($A232&lt;&gt;"",MINIFS(Merchant!$A:$A,Merchant!$B:$B,$G$2),)</f>
        <v/>
      </c>
      <c r="D232" s="14" t="str">
        <f t="shared" si="2"/>
        <v/>
      </c>
      <c r="E232" s="14" t="str">
        <f t="shared" si="3"/>
        <v/>
      </c>
      <c r="F232" s="7" t="str">
        <f>IF($A232&lt;&gt;"",MAXIFS(Token!$B:$B,Token!$A:$A,$D232),)</f>
        <v/>
      </c>
    </row>
    <row r="233">
      <c r="A233" s="39" t="str">
        <f>IF(AND($L233*1&gt;=$G$3,$L233*1&lt;=$G$4,$I233*$J233&gt;0,OR($I233&lt;&gt;$I234,$L233-$L234&gt;25),$I233/POW(10,$J233)*MAXIFS(Token!$B:$B,Token!$A:$A,$K233)&gt;0.01),$L233/86400+DATE(1970,1,1)+$G$6,)</f>
        <v/>
      </c>
      <c r="B233" s="27" t="str">
        <f t="shared" si="1"/>
        <v/>
      </c>
      <c r="C233" s="14" t="str">
        <f>IF($A233&lt;&gt;"",MINIFS(Merchant!$A:$A,Merchant!$B:$B,$G$2),)</f>
        <v/>
      </c>
      <c r="D233" s="14" t="str">
        <f t="shared" si="2"/>
        <v/>
      </c>
      <c r="E233" s="14" t="str">
        <f t="shared" si="3"/>
        <v/>
      </c>
      <c r="F233" s="7" t="str">
        <f>IF($A233&lt;&gt;"",MAXIFS(Token!$B:$B,Token!$A:$A,$D233),)</f>
        <v/>
      </c>
    </row>
    <row r="234">
      <c r="A234" s="39" t="str">
        <f>IF(AND($L234*1&gt;=$G$3,$L234*1&lt;=$G$4,$I234*$J234&gt;0,OR($I234&lt;&gt;$I235,$L234-$L235&gt;25),$I234/POW(10,$J234)*MAXIFS(Token!$B:$B,Token!$A:$A,$K234)&gt;0.01),$L234/86400+DATE(1970,1,1)+$G$6,)</f>
        <v/>
      </c>
      <c r="B234" s="27" t="str">
        <f t="shared" si="1"/>
        <v/>
      </c>
      <c r="C234" s="14" t="str">
        <f>IF($A234&lt;&gt;"",MINIFS(Merchant!$A:$A,Merchant!$B:$B,$G$2),)</f>
        <v/>
      </c>
      <c r="D234" s="14" t="str">
        <f t="shared" si="2"/>
        <v/>
      </c>
      <c r="E234" s="14" t="str">
        <f t="shared" si="3"/>
        <v/>
      </c>
      <c r="F234" s="7" t="str">
        <f>IF($A234&lt;&gt;"",MAXIFS(Token!$B:$B,Token!$A:$A,$D234),)</f>
        <v/>
      </c>
    </row>
    <row r="235">
      <c r="A235" s="39" t="str">
        <f>IF(AND($L235*1&gt;=$G$3,$L235*1&lt;=$G$4,$I235*$J235&gt;0,OR($I235&lt;&gt;$I236,$L235-$L236&gt;25),$I235/POW(10,$J235)*MAXIFS(Token!$B:$B,Token!$A:$A,$K235)&gt;0.01),$L235/86400+DATE(1970,1,1)+$G$6,)</f>
        <v/>
      </c>
      <c r="B235" s="27" t="str">
        <f t="shared" si="1"/>
        <v/>
      </c>
      <c r="C235" s="14" t="str">
        <f>IF($A235&lt;&gt;"",MINIFS(Merchant!$A:$A,Merchant!$B:$B,$G$2),)</f>
        <v/>
      </c>
      <c r="D235" s="14" t="str">
        <f t="shared" si="2"/>
        <v/>
      </c>
      <c r="E235" s="14" t="str">
        <f t="shared" si="3"/>
        <v/>
      </c>
      <c r="F235" s="7" t="str">
        <f>IF($A235&lt;&gt;"",MAXIFS(Token!$B:$B,Token!$A:$A,$D235),)</f>
        <v/>
      </c>
    </row>
    <row r="236">
      <c r="A236" s="39" t="str">
        <f>IF(AND($L236*1&gt;=$G$3,$L236*1&lt;=$G$4,$I236*$J236&gt;0,OR($I236&lt;&gt;$I237,$L236-$L237&gt;25),$I236/POW(10,$J236)*MAXIFS(Token!$B:$B,Token!$A:$A,$K236)&gt;0.01),$L236/86400+DATE(1970,1,1)+$G$6,)</f>
        <v/>
      </c>
      <c r="B236" s="27" t="str">
        <f t="shared" si="1"/>
        <v/>
      </c>
      <c r="C236" s="14" t="str">
        <f>IF($A236&lt;&gt;"",MINIFS(Merchant!$A:$A,Merchant!$B:$B,$G$2),)</f>
        <v/>
      </c>
      <c r="D236" s="14" t="str">
        <f t="shared" si="2"/>
        <v/>
      </c>
      <c r="E236" s="14" t="str">
        <f t="shared" si="3"/>
        <v/>
      </c>
      <c r="F236" s="7" t="str">
        <f>IF($A236&lt;&gt;"",MAXIFS(Token!$B:$B,Token!$A:$A,$D236),)</f>
        <v/>
      </c>
    </row>
    <row r="237">
      <c r="A237" s="39" t="str">
        <f>IF(AND($L237*1&gt;=$G$3,$L237*1&lt;=$G$4,$I237*$J237&gt;0,OR($I237&lt;&gt;$I238,$L237-$L238&gt;25),$I237/POW(10,$J237)*MAXIFS(Token!$B:$B,Token!$A:$A,$K237)&gt;0.01),$L237/86400+DATE(1970,1,1)+$G$6,)</f>
        <v/>
      </c>
      <c r="B237" s="27" t="str">
        <f t="shared" si="1"/>
        <v/>
      </c>
      <c r="C237" s="14" t="str">
        <f>IF($A237&lt;&gt;"",MINIFS(Merchant!$A:$A,Merchant!$B:$B,$G$2),)</f>
        <v/>
      </c>
      <c r="D237" s="14" t="str">
        <f t="shared" si="2"/>
        <v/>
      </c>
      <c r="E237" s="14" t="str">
        <f t="shared" si="3"/>
        <v/>
      </c>
      <c r="F237" s="7" t="str">
        <f>IF($A237&lt;&gt;"",MAXIFS(Token!$B:$B,Token!$A:$A,$D237),)</f>
        <v/>
      </c>
    </row>
    <row r="238">
      <c r="A238" s="39" t="str">
        <f>IF(AND($L238*1&gt;=$G$3,$L238*1&lt;=$G$4,$I238*$J238&gt;0,OR($I238&lt;&gt;$I239,$L238-$L239&gt;25),$I238/POW(10,$J238)*MAXIFS(Token!$B:$B,Token!$A:$A,$K238)&gt;0.01),$L238/86400+DATE(1970,1,1)+$G$6,)</f>
        <v/>
      </c>
      <c r="B238" s="27" t="str">
        <f t="shared" si="1"/>
        <v/>
      </c>
      <c r="C238" s="14" t="str">
        <f>IF($A238&lt;&gt;"",MINIFS(Merchant!$A:$A,Merchant!$B:$B,$G$2),)</f>
        <v/>
      </c>
      <c r="D238" s="14" t="str">
        <f t="shared" si="2"/>
        <v/>
      </c>
      <c r="E238" s="14" t="str">
        <f t="shared" si="3"/>
        <v/>
      </c>
      <c r="F238" s="7" t="str">
        <f>IF($A238&lt;&gt;"",MAXIFS(Token!$B:$B,Token!$A:$A,$D238),)</f>
        <v/>
      </c>
    </row>
    <row r="239">
      <c r="A239" s="39" t="str">
        <f>IF(AND($L239*1&gt;=$G$3,$L239*1&lt;=$G$4,$I239*$J239&gt;0,OR($I239&lt;&gt;$I240,$L239-$L240&gt;25),$I239/POW(10,$J239)*MAXIFS(Token!$B:$B,Token!$A:$A,$K239)&gt;0.01),$L239/86400+DATE(1970,1,1)+$G$6,)</f>
        <v/>
      </c>
      <c r="B239" s="27" t="str">
        <f t="shared" si="1"/>
        <v/>
      </c>
      <c r="C239" s="14" t="str">
        <f>IF($A239&lt;&gt;"",MINIFS(Merchant!$A:$A,Merchant!$B:$B,$G$2),)</f>
        <v/>
      </c>
      <c r="D239" s="14" t="str">
        <f t="shared" si="2"/>
        <v/>
      </c>
      <c r="E239" s="14" t="str">
        <f t="shared" si="3"/>
        <v/>
      </c>
      <c r="F239" s="7" t="str">
        <f>IF($A239&lt;&gt;"",MAXIFS(Token!$B:$B,Token!$A:$A,$D239),)</f>
        <v/>
      </c>
    </row>
    <row r="240">
      <c r="A240" s="39" t="str">
        <f>IF(AND($L240*1&gt;=$G$3,$L240*1&lt;=$G$4,$I240*$J240&gt;0,OR($I240&lt;&gt;$I241,$L240-$L241&gt;25),$I240/POW(10,$J240)*MAXIFS(Token!$B:$B,Token!$A:$A,$K240)&gt;0.01),$L240/86400+DATE(1970,1,1)+$G$6,)</f>
        <v/>
      </c>
      <c r="B240" s="27" t="str">
        <f t="shared" si="1"/>
        <v/>
      </c>
      <c r="C240" s="14" t="str">
        <f>IF($A240&lt;&gt;"",MINIFS(Merchant!$A:$A,Merchant!$B:$B,$G$2),)</f>
        <v/>
      </c>
      <c r="D240" s="14" t="str">
        <f t="shared" si="2"/>
        <v/>
      </c>
      <c r="E240" s="14" t="str">
        <f t="shared" si="3"/>
        <v/>
      </c>
      <c r="F240" s="7" t="str">
        <f>IF($A240&lt;&gt;"",MAXIFS(Token!$B:$B,Token!$A:$A,$D240),)</f>
        <v/>
      </c>
    </row>
    <row r="241">
      <c r="A241" s="39" t="str">
        <f>IF(AND($L241*1&gt;=$G$3,$L241*1&lt;=$G$4,$I241*$J241&gt;0,OR($I241&lt;&gt;$I242,$L241-$L242&gt;25),$I241/POW(10,$J241)*MAXIFS(Token!$B:$B,Token!$A:$A,$K241)&gt;0.01),$L241/86400+DATE(1970,1,1)+$G$6,)</f>
        <v/>
      </c>
      <c r="B241" s="27" t="str">
        <f t="shared" si="1"/>
        <v/>
      </c>
      <c r="C241" s="14" t="str">
        <f>IF($A241&lt;&gt;"",MINIFS(Merchant!$A:$A,Merchant!$B:$B,$G$2),)</f>
        <v/>
      </c>
      <c r="D241" s="14" t="str">
        <f t="shared" si="2"/>
        <v/>
      </c>
      <c r="E241" s="14" t="str">
        <f t="shared" si="3"/>
        <v/>
      </c>
      <c r="F241" s="7" t="str">
        <f>IF($A241&lt;&gt;"",MAXIFS(Token!$B:$B,Token!$A:$A,$D241),)</f>
        <v/>
      </c>
    </row>
    <row r="242">
      <c r="A242" s="39" t="str">
        <f>IF(AND($L242*1&gt;=$G$3,$L242*1&lt;=$G$4,$I242*$J242&gt;0,OR($I242&lt;&gt;$I243,$L242-$L243&gt;25),$I242/POW(10,$J242)*MAXIFS(Token!$B:$B,Token!$A:$A,$K242)&gt;0.01),$L242/86400+DATE(1970,1,1)+$G$6,)</f>
        <v/>
      </c>
      <c r="B242" s="27" t="str">
        <f t="shared" si="1"/>
        <v/>
      </c>
      <c r="C242" s="14" t="str">
        <f>IF($A242&lt;&gt;"",MINIFS(Merchant!$A:$A,Merchant!$B:$B,$G$2),)</f>
        <v/>
      </c>
      <c r="D242" s="14" t="str">
        <f t="shared" si="2"/>
        <v/>
      </c>
      <c r="E242" s="14" t="str">
        <f t="shared" si="3"/>
        <v/>
      </c>
      <c r="F242" s="7" t="str">
        <f>IF($A242&lt;&gt;"",MAXIFS(Token!$B:$B,Token!$A:$A,$D242),)</f>
        <v/>
      </c>
    </row>
    <row r="243">
      <c r="A243" s="39" t="str">
        <f>IF(AND($L243*1&gt;=$G$3,$L243*1&lt;=$G$4,$I243*$J243&gt;0,OR($I243&lt;&gt;$I244,$L243-$L244&gt;25),$I243/POW(10,$J243)*MAXIFS(Token!$B:$B,Token!$A:$A,$K243)&gt;0.01),$L243/86400+DATE(1970,1,1)+$G$6,)</f>
        <v/>
      </c>
      <c r="B243" s="27" t="str">
        <f t="shared" si="1"/>
        <v/>
      </c>
      <c r="C243" s="14" t="str">
        <f>IF($A243&lt;&gt;"",MINIFS(Merchant!$A:$A,Merchant!$B:$B,$G$2),)</f>
        <v/>
      </c>
      <c r="D243" s="14" t="str">
        <f t="shared" si="2"/>
        <v/>
      </c>
      <c r="E243" s="14" t="str">
        <f t="shared" si="3"/>
        <v/>
      </c>
      <c r="F243" s="7" t="str">
        <f>IF($A243&lt;&gt;"",MAXIFS(Token!$B:$B,Token!$A:$A,$D243),)</f>
        <v/>
      </c>
    </row>
    <row r="244">
      <c r="A244" s="39" t="str">
        <f>IF(AND($L244*1&gt;=$G$3,$L244*1&lt;=$G$4,$I244*$J244&gt;0,OR($I244&lt;&gt;$I245,$L244-$L245&gt;25),$I244/POW(10,$J244)*MAXIFS(Token!$B:$B,Token!$A:$A,$K244)&gt;0.01),$L244/86400+DATE(1970,1,1)+$G$6,)</f>
        <v/>
      </c>
      <c r="B244" s="27" t="str">
        <f t="shared" si="1"/>
        <v/>
      </c>
      <c r="C244" s="14" t="str">
        <f>IF($A244&lt;&gt;"",MINIFS(Merchant!$A:$A,Merchant!$B:$B,$G$2),)</f>
        <v/>
      </c>
      <c r="D244" s="14" t="str">
        <f t="shared" si="2"/>
        <v/>
      </c>
      <c r="E244" s="14" t="str">
        <f t="shared" si="3"/>
        <v/>
      </c>
      <c r="F244" s="7" t="str">
        <f>IF($A244&lt;&gt;"",MAXIFS(Token!$B:$B,Token!$A:$A,$D244),)</f>
        <v/>
      </c>
    </row>
    <row r="245">
      <c r="A245" s="39" t="str">
        <f>IF(AND($L245*1&gt;=$G$3,$L245*1&lt;=$G$4,$I245*$J245&gt;0,OR($I245&lt;&gt;$I246,$L245-$L246&gt;25),$I245/POW(10,$J245)*MAXIFS(Token!$B:$B,Token!$A:$A,$K245)&gt;0.01),$L245/86400+DATE(1970,1,1)+$G$6,)</f>
        <v/>
      </c>
      <c r="B245" s="27" t="str">
        <f t="shared" si="1"/>
        <v/>
      </c>
      <c r="C245" s="14" t="str">
        <f>IF($A245&lt;&gt;"",MINIFS(Merchant!$A:$A,Merchant!$B:$B,$G$2),)</f>
        <v/>
      </c>
      <c r="D245" s="14" t="str">
        <f t="shared" si="2"/>
        <v/>
      </c>
      <c r="E245" s="14" t="str">
        <f t="shared" si="3"/>
        <v/>
      </c>
      <c r="F245" s="7" t="str">
        <f>IF($A245&lt;&gt;"",MAXIFS(Token!$B:$B,Token!$A:$A,$D245),)</f>
        <v/>
      </c>
    </row>
    <row r="246">
      <c r="A246" s="39" t="str">
        <f>IF(AND($L246*1&gt;=$G$3,$L246*1&lt;=$G$4,$I246*$J246&gt;0,OR($I246&lt;&gt;$I247,$L246-$L247&gt;25),$I246/POW(10,$J246)*MAXIFS(Token!$B:$B,Token!$A:$A,$K246)&gt;0.01),$L246/86400+DATE(1970,1,1)+$G$6,)</f>
        <v/>
      </c>
      <c r="B246" s="27" t="str">
        <f t="shared" si="1"/>
        <v/>
      </c>
      <c r="C246" s="14" t="str">
        <f>IF($A246&lt;&gt;"",MINIFS(Merchant!$A:$A,Merchant!$B:$B,$G$2),)</f>
        <v/>
      </c>
      <c r="D246" s="14" t="str">
        <f t="shared" si="2"/>
        <v/>
      </c>
      <c r="E246" s="14" t="str">
        <f t="shared" si="3"/>
        <v/>
      </c>
      <c r="F246" s="7" t="str">
        <f>IF($A246&lt;&gt;"",MAXIFS(Token!$B:$B,Token!$A:$A,$D246),)</f>
        <v/>
      </c>
    </row>
    <row r="247">
      <c r="A247" s="39" t="str">
        <f>IF(AND($L247*1&gt;=$G$3,$L247*1&lt;=$G$4,$I247*$J247&gt;0,OR($I247&lt;&gt;$I248,$L247-$L248&gt;25),$I247/POW(10,$J247)*MAXIFS(Token!$B:$B,Token!$A:$A,$K247)&gt;0.01),$L247/86400+DATE(1970,1,1)+$G$6,)</f>
        <v/>
      </c>
      <c r="B247" s="27" t="str">
        <f t="shared" si="1"/>
        <v/>
      </c>
      <c r="C247" s="14" t="str">
        <f>IF($A247&lt;&gt;"",MINIFS(Merchant!$A:$A,Merchant!$B:$B,$G$2),)</f>
        <v/>
      </c>
      <c r="D247" s="14" t="str">
        <f t="shared" si="2"/>
        <v/>
      </c>
      <c r="E247" s="14" t="str">
        <f t="shared" si="3"/>
        <v/>
      </c>
      <c r="F247" s="7" t="str">
        <f>IF($A247&lt;&gt;"",MAXIFS(Token!$B:$B,Token!$A:$A,$D247),)</f>
        <v/>
      </c>
    </row>
    <row r="248">
      <c r="A248" s="39" t="str">
        <f>IF(AND($L248*1&gt;=$G$3,$L248*1&lt;=$G$4,$I248*$J248&gt;0,OR($I248&lt;&gt;$I249,$L248-$L249&gt;25),$I248/POW(10,$J248)*MAXIFS(Token!$B:$B,Token!$A:$A,$K248)&gt;0.01),$L248/86400+DATE(1970,1,1)+$G$6,)</f>
        <v/>
      </c>
      <c r="B248" s="27" t="str">
        <f t="shared" si="1"/>
        <v/>
      </c>
      <c r="C248" s="14" t="str">
        <f>IF($A248&lt;&gt;"",MINIFS(Merchant!$A:$A,Merchant!$B:$B,$G$2),)</f>
        <v/>
      </c>
      <c r="D248" s="14" t="str">
        <f t="shared" si="2"/>
        <v/>
      </c>
      <c r="E248" s="14" t="str">
        <f t="shared" si="3"/>
        <v/>
      </c>
      <c r="F248" s="7" t="str">
        <f>IF($A248&lt;&gt;"",MAXIFS(Token!$B:$B,Token!$A:$A,$D248),)</f>
        <v/>
      </c>
    </row>
    <row r="249">
      <c r="A249" s="39" t="str">
        <f>IF(AND($L249*1&gt;=$G$3,$L249*1&lt;=$G$4,$I249*$J249&gt;0,OR($I249&lt;&gt;$I250,$L249-$L250&gt;25),$I249/POW(10,$J249)*MAXIFS(Token!$B:$B,Token!$A:$A,$K249)&gt;0.01),$L249/86400+DATE(1970,1,1)+$G$6,)</f>
        <v/>
      </c>
      <c r="B249" s="27" t="str">
        <f t="shared" si="1"/>
        <v/>
      </c>
      <c r="C249" s="14" t="str">
        <f>IF($A249&lt;&gt;"",MINIFS(Merchant!$A:$A,Merchant!$B:$B,$G$2),)</f>
        <v/>
      </c>
      <c r="D249" s="14" t="str">
        <f t="shared" si="2"/>
        <v/>
      </c>
      <c r="E249" s="14" t="str">
        <f t="shared" si="3"/>
        <v/>
      </c>
      <c r="F249" s="7" t="str">
        <f>IF($A249&lt;&gt;"",MAXIFS(Token!$B:$B,Token!$A:$A,$D249),)</f>
        <v/>
      </c>
    </row>
    <row r="250">
      <c r="A250" s="39" t="str">
        <f>IF(AND($L250*1&gt;=$G$3,$L250*1&lt;=$G$4,$I250*$J250&gt;0,OR($I250&lt;&gt;$I251,$L250-$L251&gt;25),$I250/POW(10,$J250)*MAXIFS(Token!$B:$B,Token!$A:$A,$K250)&gt;0.01),$L250/86400+DATE(1970,1,1)+$G$6,)</f>
        <v/>
      </c>
      <c r="B250" s="27" t="str">
        <f t="shared" si="1"/>
        <v/>
      </c>
      <c r="C250" s="14" t="str">
        <f>IF($A250&lt;&gt;"",MINIFS(Merchant!$A:$A,Merchant!$B:$B,$G$2),)</f>
        <v/>
      </c>
      <c r="D250" s="14" t="str">
        <f t="shared" si="2"/>
        <v/>
      </c>
      <c r="E250" s="14" t="str">
        <f t="shared" si="3"/>
        <v/>
      </c>
      <c r="F250" s="7" t="str">
        <f>IF($A250&lt;&gt;"",MAXIFS(Token!$B:$B,Token!$A:$A,$D250),)</f>
        <v/>
      </c>
    </row>
    <row r="251">
      <c r="A251" s="39" t="str">
        <f>IF(AND($L251*1&gt;=$G$3,$L251*1&lt;=$G$4,$I251*$J251&gt;0,OR($I251&lt;&gt;$I252,$L251-$L252&gt;25),$I251/POW(10,$J251)*MAXIFS(Token!$B:$B,Token!$A:$A,$K251)&gt;0.01),$L251/86400+DATE(1970,1,1)+$G$6,)</f>
        <v/>
      </c>
      <c r="B251" s="27" t="str">
        <f t="shared" si="1"/>
        <v/>
      </c>
      <c r="C251" s="14" t="str">
        <f>IF($A251&lt;&gt;"",MINIFS(Merchant!$A:$A,Merchant!$B:$B,$G$2),)</f>
        <v/>
      </c>
      <c r="D251" s="14" t="str">
        <f t="shared" si="2"/>
        <v/>
      </c>
      <c r="E251" s="14" t="str">
        <f t="shared" si="3"/>
        <v/>
      </c>
      <c r="F251" s="7" t="str">
        <f>IF($A251&lt;&gt;"",MAXIFS(Token!$B:$B,Token!$A:$A,$D251),)</f>
        <v/>
      </c>
    </row>
    <row r="252">
      <c r="A252" s="39" t="str">
        <f>IF(AND($L252*1&gt;=$G$3,$L252*1&lt;=$G$4,$I252*$J252&gt;0,OR($I252&lt;&gt;$I253,$L252-$L253&gt;25),$I252/POW(10,$J252)*MAXIFS(Token!$B:$B,Token!$A:$A,$K252)&gt;0.01),$L252/86400+DATE(1970,1,1)+$G$6,)</f>
        <v/>
      </c>
      <c r="B252" s="27" t="str">
        <f t="shared" si="1"/>
        <v/>
      </c>
      <c r="C252" s="14" t="str">
        <f>IF($A252&lt;&gt;"",MINIFS(Merchant!$A:$A,Merchant!$B:$B,$G$2),)</f>
        <v/>
      </c>
      <c r="D252" s="14" t="str">
        <f t="shared" si="2"/>
        <v/>
      </c>
      <c r="E252" s="14" t="str">
        <f t="shared" si="3"/>
        <v/>
      </c>
      <c r="F252" s="7" t="str">
        <f>IF($A252&lt;&gt;"",MAXIFS(Token!$B:$B,Token!$A:$A,$D252),)</f>
        <v/>
      </c>
    </row>
    <row r="253">
      <c r="A253" s="39" t="str">
        <f>IF(AND($L253*1&gt;=$G$3,$L253*1&lt;=$G$4,$I253*$J253&gt;0,OR($I253&lt;&gt;$I254,$L253-$L254&gt;25),$I253/POW(10,$J253)*MAXIFS(Token!$B:$B,Token!$A:$A,$K253)&gt;0.01),$L253/86400+DATE(1970,1,1)+$G$6,)</f>
        <v/>
      </c>
      <c r="B253" s="27" t="str">
        <f t="shared" si="1"/>
        <v/>
      </c>
      <c r="C253" s="14" t="str">
        <f>IF($A253&lt;&gt;"",MINIFS(Merchant!$A:$A,Merchant!$B:$B,$G$2),)</f>
        <v/>
      </c>
      <c r="D253" s="14" t="str">
        <f t="shared" si="2"/>
        <v/>
      </c>
      <c r="E253" s="14" t="str">
        <f t="shared" si="3"/>
        <v/>
      </c>
      <c r="F253" s="7" t="str">
        <f>IF($A253&lt;&gt;"",MAXIFS(Token!$B:$B,Token!$A:$A,$D253),)</f>
        <v/>
      </c>
    </row>
    <row r="254">
      <c r="A254" s="39" t="str">
        <f>IF(AND($L254*1&gt;=$G$3,$L254*1&lt;=$G$4,$I254*$J254&gt;0,OR($I254&lt;&gt;$I255,$L254-$L255&gt;25),$I254/POW(10,$J254)*MAXIFS(Token!$B:$B,Token!$A:$A,$K254)&gt;0.01),$L254/86400+DATE(1970,1,1)+$G$6,)</f>
        <v/>
      </c>
      <c r="B254" s="27" t="str">
        <f t="shared" si="1"/>
        <v/>
      </c>
      <c r="C254" s="14" t="str">
        <f>IF($A254&lt;&gt;"",MINIFS(Merchant!$A:$A,Merchant!$B:$B,$G$2),)</f>
        <v/>
      </c>
      <c r="D254" s="14" t="str">
        <f t="shared" si="2"/>
        <v/>
      </c>
      <c r="E254" s="14" t="str">
        <f t="shared" si="3"/>
        <v/>
      </c>
      <c r="F254" s="7" t="str">
        <f>IF($A254&lt;&gt;"",MAXIFS(Token!$B:$B,Token!$A:$A,$D254),)</f>
        <v/>
      </c>
    </row>
    <row r="255">
      <c r="A255" s="39" t="str">
        <f>IF(AND($L255*1&gt;=$G$3,$L255*1&lt;=$G$4,$I255*$J255&gt;0,OR($I255&lt;&gt;$I256,$L255-$L256&gt;25),$I255/POW(10,$J255)*MAXIFS(Token!$B:$B,Token!$A:$A,$K255)&gt;0.01),$L255/86400+DATE(1970,1,1)+$G$6,)</f>
        <v/>
      </c>
      <c r="B255" s="27" t="str">
        <f t="shared" si="1"/>
        <v/>
      </c>
      <c r="C255" s="14" t="str">
        <f>IF($A255&lt;&gt;"",MINIFS(Merchant!$A:$A,Merchant!$B:$B,$G$2),)</f>
        <v/>
      </c>
      <c r="D255" s="14" t="str">
        <f t="shared" si="2"/>
        <v/>
      </c>
      <c r="E255" s="14" t="str">
        <f t="shared" si="3"/>
        <v/>
      </c>
      <c r="F255" s="7" t="str">
        <f>IF($A255&lt;&gt;"",MAXIFS(Token!$B:$B,Token!$A:$A,$D255),)</f>
        <v/>
      </c>
    </row>
    <row r="256">
      <c r="A256" s="39" t="str">
        <f>IF(AND($L256*1&gt;=$G$3,$L256*1&lt;=$G$4,$I256*$J256&gt;0,OR($I256&lt;&gt;$I257,$L256-$L257&gt;25),$I256/POW(10,$J256)*MAXIFS(Token!$B:$B,Token!$A:$A,$K256)&gt;0.01),$L256/86400+DATE(1970,1,1)+$G$6,)</f>
        <v/>
      </c>
      <c r="B256" s="27" t="str">
        <f t="shared" si="1"/>
        <v/>
      </c>
      <c r="C256" s="14" t="str">
        <f>IF($A256&lt;&gt;"",MINIFS(Merchant!$A:$A,Merchant!$B:$B,$G$2),)</f>
        <v/>
      </c>
      <c r="D256" s="14" t="str">
        <f t="shared" si="2"/>
        <v/>
      </c>
      <c r="E256" s="14" t="str">
        <f t="shared" si="3"/>
        <v/>
      </c>
      <c r="F256" s="7" t="str">
        <f>IF($A256&lt;&gt;"",MAXIFS(Token!$B:$B,Token!$A:$A,$D256),)</f>
        <v/>
      </c>
    </row>
    <row r="257">
      <c r="A257" s="39" t="str">
        <f>IF(AND($L257*1&gt;=$G$3,$L257*1&lt;=$G$4,$I257*$J257&gt;0,OR($I257&lt;&gt;$I258,$L257-$L258&gt;25),$I257/POW(10,$J257)*MAXIFS(Token!$B:$B,Token!$A:$A,$K257)&gt;0.01),$L257/86400+DATE(1970,1,1)+$G$6,)</f>
        <v/>
      </c>
      <c r="B257" s="27" t="str">
        <f t="shared" si="1"/>
        <v/>
      </c>
      <c r="C257" s="14" t="str">
        <f>IF($A257&lt;&gt;"",MINIFS(Merchant!$A:$A,Merchant!$B:$B,$G$2),)</f>
        <v/>
      </c>
      <c r="D257" s="14" t="str">
        <f t="shared" si="2"/>
        <v/>
      </c>
      <c r="E257" s="14" t="str">
        <f t="shared" si="3"/>
        <v/>
      </c>
      <c r="F257" s="7" t="str">
        <f>IF($A257&lt;&gt;"",MAXIFS(Token!$B:$B,Token!$A:$A,$D257),)</f>
        <v/>
      </c>
    </row>
    <row r="258">
      <c r="A258" s="39" t="str">
        <f>IF(AND($L258*1&gt;=$G$3,$L258*1&lt;=$G$4,$I258*$J258&gt;0,OR($I258&lt;&gt;$I259,$L258-$L259&gt;25),$I258/POW(10,$J258)*MAXIFS(Token!$B:$B,Token!$A:$A,$K258)&gt;0.01),$L258/86400+DATE(1970,1,1)+$G$6,)</f>
        <v/>
      </c>
      <c r="B258" s="27" t="str">
        <f t="shared" si="1"/>
        <v/>
      </c>
      <c r="C258" s="14" t="str">
        <f>IF($A258&lt;&gt;"",MINIFS(Merchant!$A:$A,Merchant!$B:$B,$G$2),)</f>
        <v/>
      </c>
      <c r="D258" s="14" t="str">
        <f t="shared" si="2"/>
        <v/>
      </c>
      <c r="E258" s="14" t="str">
        <f t="shared" si="3"/>
        <v/>
      </c>
      <c r="F258" s="7" t="str">
        <f>IF($A258&lt;&gt;"",MAXIFS(Token!$B:$B,Token!$A:$A,$D258),)</f>
        <v/>
      </c>
    </row>
    <row r="259">
      <c r="A259" s="39" t="str">
        <f>IF(AND($L259*1&gt;=$G$3,$L259*1&lt;=$G$4,$I259*$J259&gt;0,OR($I259&lt;&gt;$I260,$L259-$L260&gt;25),$I259/POW(10,$J259)*MAXIFS(Token!$B:$B,Token!$A:$A,$K259)&gt;0.01),$L259/86400+DATE(1970,1,1)+$G$6,)</f>
        <v/>
      </c>
      <c r="B259" s="27" t="str">
        <f t="shared" si="1"/>
        <v/>
      </c>
      <c r="C259" s="14" t="str">
        <f>IF($A259&lt;&gt;"",MINIFS(Merchant!$A:$A,Merchant!$B:$B,$G$2),)</f>
        <v/>
      </c>
      <c r="D259" s="14" t="str">
        <f t="shared" si="2"/>
        <v/>
      </c>
      <c r="E259" s="14" t="str">
        <f t="shared" si="3"/>
        <v/>
      </c>
      <c r="F259" s="7" t="str">
        <f>IF($A259&lt;&gt;"",MAXIFS(Token!$B:$B,Token!$A:$A,$D259),)</f>
        <v/>
      </c>
    </row>
    <row r="260">
      <c r="A260" s="39" t="str">
        <f>IF(AND($L260*1&gt;=$G$3,$L260*1&lt;=$G$4,$I260*$J260&gt;0,OR($I260&lt;&gt;$I261,$L260-$L261&gt;25),$I260/POW(10,$J260)*MAXIFS(Token!$B:$B,Token!$A:$A,$K260)&gt;0.01),$L260/86400+DATE(1970,1,1)+$G$6,)</f>
        <v/>
      </c>
      <c r="B260" s="27" t="str">
        <f t="shared" si="1"/>
        <v/>
      </c>
      <c r="C260" s="14" t="str">
        <f>IF($A260&lt;&gt;"",MINIFS(Merchant!$A:$A,Merchant!$B:$B,$G$2),)</f>
        <v/>
      </c>
      <c r="D260" s="14" t="str">
        <f t="shared" si="2"/>
        <v/>
      </c>
      <c r="E260" s="14" t="str">
        <f t="shared" si="3"/>
        <v/>
      </c>
      <c r="F260" s="7" t="str">
        <f>IF($A260&lt;&gt;"",MAXIFS(Token!$B:$B,Token!$A:$A,$D260),)</f>
        <v/>
      </c>
    </row>
    <row r="261">
      <c r="A261" s="39" t="str">
        <f>IF(AND($L261*1&gt;=$G$3,$L261*1&lt;=$G$4,$I261*$J261&gt;0,OR($I261&lt;&gt;$I262,$L261-$L262&gt;25),$I261/POW(10,$J261)*MAXIFS(Token!$B:$B,Token!$A:$A,$K261)&gt;0.01),$L261/86400+DATE(1970,1,1)+$G$6,)</f>
        <v/>
      </c>
      <c r="B261" s="27" t="str">
        <f t="shared" si="1"/>
        <v/>
      </c>
      <c r="C261" s="14" t="str">
        <f>IF($A261&lt;&gt;"",MINIFS(Merchant!$A:$A,Merchant!$B:$B,$G$2),)</f>
        <v/>
      </c>
      <c r="D261" s="14" t="str">
        <f t="shared" si="2"/>
        <v/>
      </c>
      <c r="E261" s="14" t="str">
        <f t="shared" si="3"/>
        <v/>
      </c>
      <c r="F261" s="7" t="str">
        <f>IF($A261&lt;&gt;"",MAXIFS(Token!$B:$B,Token!$A:$A,$D261),)</f>
        <v/>
      </c>
    </row>
    <row r="262">
      <c r="A262" s="39" t="str">
        <f>IF(AND($L262*1&gt;=$G$3,$L262*1&lt;=$G$4,$I262*$J262&gt;0,OR($I262&lt;&gt;$I263,$L262-$L263&gt;25),$I262/POW(10,$J262)*MAXIFS(Token!$B:$B,Token!$A:$A,$K262)&gt;0.01),$L262/86400+DATE(1970,1,1)+$G$6,)</f>
        <v/>
      </c>
      <c r="B262" s="27" t="str">
        <f t="shared" si="1"/>
        <v/>
      </c>
      <c r="C262" s="14" t="str">
        <f>IF($A262&lt;&gt;"",MINIFS(Merchant!$A:$A,Merchant!$B:$B,$G$2),)</f>
        <v/>
      </c>
      <c r="D262" s="14" t="str">
        <f t="shared" si="2"/>
        <v/>
      </c>
      <c r="E262" s="14" t="str">
        <f t="shared" si="3"/>
        <v/>
      </c>
      <c r="F262" s="7" t="str">
        <f>IF($A262&lt;&gt;"",MAXIFS(Token!$B:$B,Token!$A:$A,$D262),)</f>
        <v/>
      </c>
    </row>
    <row r="263">
      <c r="A263" s="39" t="str">
        <f>IF(AND($L263*1&gt;=$G$3,$L263*1&lt;=$G$4,$I263*$J263&gt;0,OR($I263&lt;&gt;$I264,$L263-$L264&gt;25),$I263/POW(10,$J263)*MAXIFS(Token!$B:$B,Token!$A:$A,$K263)&gt;0.01),$L263/86400+DATE(1970,1,1)+$G$6,)</f>
        <v/>
      </c>
      <c r="B263" s="27" t="str">
        <f t="shared" si="1"/>
        <v/>
      </c>
      <c r="C263" s="14" t="str">
        <f>IF($A263&lt;&gt;"",MINIFS(Merchant!$A:$A,Merchant!$B:$B,$G$2),)</f>
        <v/>
      </c>
      <c r="D263" s="14" t="str">
        <f t="shared" si="2"/>
        <v/>
      </c>
      <c r="E263" s="14" t="str">
        <f t="shared" si="3"/>
        <v/>
      </c>
      <c r="F263" s="7" t="str">
        <f>IF($A263&lt;&gt;"",MAXIFS(Token!$B:$B,Token!$A:$A,$D263),)</f>
        <v/>
      </c>
    </row>
    <row r="264">
      <c r="A264" s="39" t="str">
        <f>IF(AND($L264*1&gt;=$G$3,$L264*1&lt;=$G$4,$I264*$J264&gt;0,OR($I264&lt;&gt;$I265,$L264-$L265&gt;25),$I264/POW(10,$J264)*MAXIFS(Token!$B:$B,Token!$A:$A,$K264)&gt;0.01),$L264/86400+DATE(1970,1,1)+$G$6,)</f>
        <v/>
      </c>
      <c r="B264" s="27" t="str">
        <f t="shared" si="1"/>
        <v/>
      </c>
      <c r="C264" s="14" t="str">
        <f>IF($A264&lt;&gt;"",MINIFS(Merchant!$A:$A,Merchant!$B:$B,$G$2),)</f>
        <v/>
      </c>
      <c r="D264" s="14" t="str">
        <f t="shared" si="2"/>
        <v/>
      </c>
      <c r="E264" s="14" t="str">
        <f t="shared" si="3"/>
        <v/>
      </c>
      <c r="F264" s="7" t="str">
        <f>IF($A264&lt;&gt;"",MAXIFS(Token!$B:$B,Token!$A:$A,$D264),)</f>
        <v/>
      </c>
    </row>
    <row r="265">
      <c r="A265" s="39" t="str">
        <f>IF(AND($L265*1&gt;=$G$3,$L265*1&lt;=$G$4,$I265*$J265&gt;0,OR($I265&lt;&gt;$I266,$L265-$L266&gt;25),$I265/POW(10,$J265)*MAXIFS(Token!$B:$B,Token!$A:$A,$K265)&gt;0.01),$L265/86400+DATE(1970,1,1)+$G$6,)</f>
        <v/>
      </c>
      <c r="B265" s="27" t="str">
        <f t="shared" si="1"/>
        <v/>
      </c>
      <c r="C265" s="14" t="str">
        <f>IF($A265&lt;&gt;"",MINIFS(Merchant!$A:$A,Merchant!$B:$B,$G$2),)</f>
        <v/>
      </c>
      <c r="D265" s="14" t="str">
        <f t="shared" si="2"/>
        <v/>
      </c>
      <c r="E265" s="14" t="str">
        <f t="shared" si="3"/>
        <v/>
      </c>
      <c r="F265" s="7" t="str">
        <f>IF($A265&lt;&gt;"",MAXIFS(Token!$B:$B,Token!$A:$A,$D265),)</f>
        <v/>
      </c>
    </row>
    <row r="266">
      <c r="A266" s="39" t="str">
        <f>IF(AND($L266*1&gt;=$G$3,$L266*1&lt;=$G$4,$I266*$J266&gt;0,OR($I266&lt;&gt;$I267,$L266-$L267&gt;25),$I266/POW(10,$J266)*MAXIFS(Token!$B:$B,Token!$A:$A,$K266)&gt;0.01),$L266/86400+DATE(1970,1,1)+$G$6,)</f>
        <v/>
      </c>
      <c r="B266" s="27" t="str">
        <f t="shared" si="1"/>
        <v/>
      </c>
      <c r="C266" s="14" t="str">
        <f>IF($A266&lt;&gt;"",MINIFS(Merchant!$A:$A,Merchant!$B:$B,$G$2),)</f>
        <v/>
      </c>
      <c r="D266" s="14" t="str">
        <f t="shared" si="2"/>
        <v/>
      </c>
      <c r="E266" s="14" t="str">
        <f t="shared" si="3"/>
        <v/>
      </c>
      <c r="F266" s="7" t="str">
        <f>IF($A266&lt;&gt;"",MAXIFS(Token!$B:$B,Token!$A:$A,$D266),)</f>
        <v/>
      </c>
    </row>
    <row r="267">
      <c r="A267" s="39" t="str">
        <f>IF(AND($L267*1&gt;=$G$3,$L267*1&lt;=$G$4,$I267*$J267&gt;0,OR($I267&lt;&gt;$I268,$L267-$L268&gt;25),$I267/POW(10,$J267)*MAXIFS(Token!$B:$B,Token!$A:$A,$K267)&gt;0.01),$L267/86400+DATE(1970,1,1)+$G$6,)</f>
        <v/>
      </c>
      <c r="B267" s="27" t="str">
        <f t="shared" si="1"/>
        <v/>
      </c>
      <c r="C267" s="14" t="str">
        <f>IF($A267&lt;&gt;"",MINIFS(Merchant!$A:$A,Merchant!$B:$B,$G$2),)</f>
        <v/>
      </c>
      <c r="D267" s="14" t="str">
        <f t="shared" si="2"/>
        <v/>
      </c>
      <c r="E267" s="14" t="str">
        <f t="shared" si="3"/>
        <v/>
      </c>
      <c r="F267" s="7" t="str">
        <f>IF($A267&lt;&gt;"",MAXIFS(Token!$B:$B,Token!$A:$A,$D267),)</f>
        <v/>
      </c>
    </row>
    <row r="268">
      <c r="A268" s="39" t="str">
        <f>IF(AND($L268*1&gt;=$G$3,$L268*1&lt;=$G$4,$I268*$J268&gt;0,OR($I268&lt;&gt;$I269,$L268-$L269&gt;25),$I268/POW(10,$J268)*MAXIFS(Token!$B:$B,Token!$A:$A,$K268)&gt;0.01),$L268/86400+DATE(1970,1,1)+$G$6,)</f>
        <v/>
      </c>
      <c r="B268" s="27" t="str">
        <f t="shared" si="1"/>
        <v/>
      </c>
      <c r="C268" s="14" t="str">
        <f>IF($A268&lt;&gt;"",MINIFS(Merchant!$A:$A,Merchant!$B:$B,$G$2),)</f>
        <v/>
      </c>
      <c r="D268" s="14" t="str">
        <f t="shared" si="2"/>
        <v/>
      </c>
      <c r="E268" s="14" t="str">
        <f t="shared" si="3"/>
        <v/>
      </c>
      <c r="F268" s="7" t="str">
        <f>IF($A268&lt;&gt;"",MAXIFS(Token!$B:$B,Token!$A:$A,$D268),)</f>
        <v/>
      </c>
    </row>
    <row r="269">
      <c r="A269" s="39" t="str">
        <f>IF(AND($L269*1&gt;=$G$3,$L269*1&lt;=$G$4,$I269*$J269&gt;0,OR($I269&lt;&gt;$I270,$L269-$L270&gt;25),$I269/POW(10,$J269)*MAXIFS(Token!$B:$B,Token!$A:$A,$K269)&gt;0.01),$L269/86400+DATE(1970,1,1)+$G$6,)</f>
        <v/>
      </c>
      <c r="B269" s="27" t="str">
        <f t="shared" si="1"/>
        <v/>
      </c>
      <c r="C269" s="14" t="str">
        <f>IF($A269&lt;&gt;"",MINIFS(Merchant!$A:$A,Merchant!$B:$B,$G$2),)</f>
        <v/>
      </c>
      <c r="D269" s="14" t="str">
        <f t="shared" si="2"/>
        <v/>
      </c>
      <c r="E269" s="14" t="str">
        <f t="shared" si="3"/>
        <v/>
      </c>
      <c r="F269" s="7" t="str">
        <f>IF($A269&lt;&gt;"",MAXIFS(Token!$B:$B,Token!$A:$A,$D269),)</f>
        <v/>
      </c>
    </row>
    <row r="270">
      <c r="A270" s="39" t="str">
        <f>IF(AND($L270*1&gt;=$G$3,$L270*1&lt;=$G$4,$I270*$J270&gt;0,OR($I270&lt;&gt;$I271,$L270-$L271&gt;25),$I270/POW(10,$J270)*MAXIFS(Token!$B:$B,Token!$A:$A,$K270)&gt;0.01),$L270/86400+DATE(1970,1,1)+$G$6,)</f>
        <v/>
      </c>
      <c r="B270" s="27" t="str">
        <f t="shared" si="1"/>
        <v/>
      </c>
      <c r="C270" s="14" t="str">
        <f>IF($A270&lt;&gt;"",MINIFS(Merchant!$A:$A,Merchant!$B:$B,$G$2),)</f>
        <v/>
      </c>
      <c r="D270" s="14" t="str">
        <f t="shared" si="2"/>
        <v/>
      </c>
      <c r="E270" s="14" t="str">
        <f t="shared" si="3"/>
        <v/>
      </c>
      <c r="F270" s="7" t="str">
        <f>IF($A270&lt;&gt;"",MAXIFS(Token!$B:$B,Token!$A:$A,$D270),)</f>
        <v/>
      </c>
    </row>
    <row r="271">
      <c r="A271" s="39" t="str">
        <f>IF(AND($L271*1&gt;=$G$3,$L271*1&lt;=$G$4,$I271*$J271&gt;0,OR($I271&lt;&gt;$I272,$L271-$L272&gt;25),$I271/POW(10,$J271)*MAXIFS(Token!$B:$B,Token!$A:$A,$K271)&gt;0.01),$L271/86400+DATE(1970,1,1)+$G$6,)</f>
        <v/>
      </c>
      <c r="B271" s="27" t="str">
        <f t="shared" si="1"/>
        <v/>
      </c>
      <c r="C271" s="14" t="str">
        <f>IF($A271&lt;&gt;"",MINIFS(Merchant!$A:$A,Merchant!$B:$B,$G$2),)</f>
        <v/>
      </c>
      <c r="D271" s="14" t="str">
        <f t="shared" si="2"/>
        <v/>
      </c>
      <c r="E271" s="14" t="str">
        <f t="shared" si="3"/>
        <v/>
      </c>
      <c r="F271" s="7" t="str">
        <f>IF($A271&lt;&gt;"",MAXIFS(Token!$B:$B,Token!$A:$A,$D271),)</f>
        <v/>
      </c>
    </row>
    <row r="272">
      <c r="A272" s="39" t="str">
        <f>IF(AND($L272*1&gt;=$G$3,$L272*1&lt;=$G$4,$I272*$J272&gt;0,OR($I272&lt;&gt;$I273,$L272-$L273&gt;25),$I272/POW(10,$J272)*MAXIFS(Token!$B:$B,Token!$A:$A,$K272)&gt;0.01),$L272/86400+DATE(1970,1,1)+$G$6,)</f>
        <v/>
      </c>
      <c r="B272" s="27" t="str">
        <f t="shared" si="1"/>
        <v/>
      </c>
      <c r="C272" s="14" t="str">
        <f>IF($A272&lt;&gt;"",MINIFS(Merchant!$A:$A,Merchant!$B:$B,$G$2),)</f>
        <v/>
      </c>
      <c r="D272" s="14" t="str">
        <f t="shared" si="2"/>
        <v/>
      </c>
      <c r="E272" s="14" t="str">
        <f t="shared" si="3"/>
        <v/>
      </c>
      <c r="F272" s="7" t="str">
        <f>IF($A272&lt;&gt;"",MAXIFS(Token!$B:$B,Token!$A:$A,$D272),)</f>
        <v/>
      </c>
    </row>
    <row r="273">
      <c r="A273" s="39" t="str">
        <f>IF(AND($L273*1&gt;=$G$3,$L273*1&lt;=$G$4,$I273*$J273&gt;0,OR($I273&lt;&gt;$I274,$L273-$L274&gt;25),$I273/POW(10,$J273)*MAXIFS(Token!$B:$B,Token!$A:$A,$K273)&gt;0.01),$L273/86400+DATE(1970,1,1)+$G$6,)</f>
        <v/>
      </c>
      <c r="B273" s="27" t="str">
        <f t="shared" si="1"/>
        <v/>
      </c>
      <c r="C273" s="14" t="str">
        <f>IF($A273&lt;&gt;"",MINIFS(Merchant!$A:$A,Merchant!$B:$B,$G$2),)</f>
        <v/>
      </c>
      <c r="D273" s="14" t="str">
        <f t="shared" si="2"/>
        <v/>
      </c>
      <c r="E273" s="14" t="str">
        <f t="shared" si="3"/>
        <v/>
      </c>
      <c r="F273" s="7" t="str">
        <f>IF($A273&lt;&gt;"",MAXIFS(Token!$B:$B,Token!$A:$A,$D273),)</f>
        <v/>
      </c>
    </row>
    <row r="274">
      <c r="A274" s="39" t="str">
        <f>IF(AND($L274*1&gt;=$G$3,$L274*1&lt;=$G$4,$I274*$J274&gt;0,OR($I274&lt;&gt;$I275,$L274-$L275&gt;25),$I274/POW(10,$J274)*MAXIFS(Token!$B:$B,Token!$A:$A,$K274)&gt;0.01),$L274/86400+DATE(1970,1,1)+$G$6,)</f>
        <v/>
      </c>
      <c r="B274" s="27" t="str">
        <f t="shared" si="1"/>
        <v/>
      </c>
      <c r="C274" s="14" t="str">
        <f>IF($A274&lt;&gt;"",MINIFS(Merchant!$A:$A,Merchant!$B:$B,$G$2),)</f>
        <v/>
      </c>
      <c r="D274" s="14" t="str">
        <f t="shared" si="2"/>
        <v/>
      </c>
      <c r="E274" s="14" t="str">
        <f t="shared" si="3"/>
        <v/>
      </c>
      <c r="F274" s="7" t="str">
        <f>IF($A274&lt;&gt;"",MAXIFS(Token!$B:$B,Token!$A:$A,$D274),)</f>
        <v/>
      </c>
    </row>
    <row r="275">
      <c r="A275" s="39" t="str">
        <f>IF(AND($L275*1&gt;=$G$3,$L275*1&lt;=$G$4,$I275*$J275&gt;0,OR($I275&lt;&gt;$I276,$L275-$L276&gt;25),$I275/POW(10,$J275)*MAXIFS(Token!$B:$B,Token!$A:$A,$K275)&gt;0.01),$L275/86400+DATE(1970,1,1)+$G$6,)</f>
        <v/>
      </c>
      <c r="B275" s="27" t="str">
        <f t="shared" si="1"/>
        <v/>
      </c>
      <c r="C275" s="14" t="str">
        <f>IF($A275&lt;&gt;"",MINIFS(Merchant!$A:$A,Merchant!$B:$B,$G$2),)</f>
        <v/>
      </c>
      <c r="D275" s="14" t="str">
        <f t="shared" si="2"/>
        <v/>
      </c>
      <c r="E275" s="14" t="str">
        <f t="shared" si="3"/>
        <v/>
      </c>
      <c r="F275" s="7" t="str">
        <f>IF($A275&lt;&gt;"",MAXIFS(Token!$B:$B,Token!$A:$A,$D275),)</f>
        <v/>
      </c>
    </row>
    <row r="276">
      <c r="A276" s="39" t="str">
        <f>IF(AND($L276*1&gt;=$G$3,$L276*1&lt;=$G$4,$I276*$J276&gt;0,OR($I276&lt;&gt;$I277,$L276-$L277&gt;25),$I276/POW(10,$J276)*MAXIFS(Token!$B:$B,Token!$A:$A,$K276)&gt;0.01),$L276/86400+DATE(1970,1,1)+$G$6,)</f>
        <v/>
      </c>
      <c r="B276" s="27" t="str">
        <f t="shared" si="1"/>
        <v/>
      </c>
      <c r="C276" s="14" t="str">
        <f>IF($A276&lt;&gt;"",MINIFS(Merchant!$A:$A,Merchant!$B:$B,$G$2),)</f>
        <v/>
      </c>
      <c r="D276" s="14" t="str">
        <f t="shared" si="2"/>
        <v/>
      </c>
      <c r="E276" s="14" t="str">
        <f t="shared" si="3"/>
        <v/>
      </c>
      <c r="F276" s="7" t="str">
        <f>IF($A276&lt;&gt;"",MAXIFS(Token!$B:$B,Token!$A:$A,$D276),)</f>
        <v/>
      </c>
    </row>
    <row r="277">
      <c r="A277" s="39" t="str">
        <f>IF(AND($L277*1&gt;=$G$3,$L277*1&lt;=$G$4,$I277*$J277&gt;0,OR($I277&lt;&gt;$I278,$L277-$L278&gt;25),$I277/POW(10,$J277)*MAXIFS(Token!$B:$B,Token!$A:$A,$K277)&gt;0.01),$L277/86400+DATE(1970,1,1)+$G$6,)</f>
        <v/>
      </c>
      <c r="B277" s="27" t="str">
        <f t="shared" si="1"/>
        <v/>
      </c>
      <c r="C277" s="14" t="str">
        <f>IF($A277&lt;&gt;"",MINIFS(Merchant!$A:$A,Merchant!$B:$B,$G$2),)</f>
        <v/>
      </c>
      <c r="D277" s="14" t="str">
        <f t="shared" si="2"/>
        <v/>
      </c>
      <c r="E277" s="14" t="str">
        <f t="shared" si="3"/>
        <v/>
      </c>
      <c r="F277" s="7" t="str">
        <f>IF($A277&lt;&gt;"",MAXIFS(Token!$B:$B,Token!$A:$A,$D277),)</f>
        <v/>
      </c>
    </row>
    <row r="278">
      <c r="A278" s="39" t="str">
        <f>IF(AND($L278*1&gt;=$G$3,$L278*1&lt;=$G$4,$I278*$J278&gt;0,OR($I278&lt;&gt;$I279,$L278-$L279&gt;25),$I278/POW(10,$J278)*MAXIFS(Token!$B:$B,Token!$A:$A,$K278)&gt;0.01),$L278/86400+DATE(1970,1,1)+$G$6,)</f>
        <v/>
      </c>
      <c r="B278" s="27" t="str">
        <f t="shared" si="1"/>
        <v/>
      </c>
      <c r="C278" s="14" t="str">
        <f>IF($A278&lt;&gt;"",MINIFS(Merchant!$A:$A,Merchant!$B:$B,$G$2),)</f>
        <v/>
      </c>
      <c r="D278" s="14" t="str">
        <f t="shared" si="2"/>
        <v/>
      </c>
      <c r="E278" s="14" t="str">
        <f t="shared" si="3"/>
        <v/>
      </c>
      <c r="F278" s="7" t="str">
        <f>IF($A278&lt;&gt;"",MAXIFS(Token!$B:$B,Token!$A:$A,$D278),)</f>
        <v/>
      </c>
    </row>
    <row r="279">
      <c r="A279" s="39" t="str">
        <f>IF(AND($L279*1&gt;=$G$3,$L279*1&lt;=$G$4,$I279*$J279&gt;0,OR($I279&lt;&gt;$I280,$L279-$L280&gt;25),$I279/POW(10,$J279)*MAXIFS(Token!$B:$B,Token!$A:$A,$K279)&gt;0.01),$L279/86400+DATE(1970,1,1)+$G$6,)</f>
        <v/>
      </c>
      <c r="B279" s="27" t="str">
        <f t="shared" si="1"/>
        <v/>
      </c>
      <c r="C279" s="14" t="str">
        <f>IF($A279&lt;&gt;"",MINIFS(Merchant!$A:$A,Merchant!$B:$B,$G$2),)</f>
        <v/>
      </c>
      <c r="D279" s="14" t="str">
        <f t="shared" si="2"/>
        <v/>
      </c>
      <c r="E279" s="14" t="str">
        <f t="shared" si="3"/>
        <v/>
      </c>
      <c r="F279" s="7" t="str">
        <f>IF($A279&lt;&gt;"",MAXIFS(Token!$B:$B,Token!$A:$A,$D279),)</f>
        <v/>
      </c>
    </row>
    <row r="280">
      <c r="A280" s="39" t="str">
        <f>IF(AND($L280*1&gt;=$G$3,$L280*1&lt;=$G$4,$I280*$J280&gt;0,OR($I280&lt;&gt;$I281,$L280-$L281&gt;25),$I280/POW(10,$J280)*MAXIFS(Token!$B:$B,Token!$A:$A,$K280)&gt;0.01),$L280/86400+DATE(1970,1,1)+$G$6,)</f>
        <v/>
      </c>
      <c r="B280" s="27" t="str">
        <f t="shared" si="1"/>
        <v/>
      </c>
      <c r="C280" s="14" t="str">
        <f>IF($A280&lt;&gt;"",MINIFS(Merchant!$A:$A,Merchant!$B:$B,$G$2),)</f>
        <v/>
      </c>
      <c r="D280" s="14" t="str">
        <f t="shared" si="2"/>
        <v/>
      </c>
      <c r="E280" s="14" t="str">
        <f t="shared" si="3"/>
        <v/>
      </c>
      <c r="F280" s="7" t="str">
        <f>IF($A280&lt;&gt;"",MAXIFS(Token!$B:$B,Token!$A:$A,$D280),)</f>
        <v/>
      </c>
    </row>
    <row r="281">
      <c r="A281" s="39" t="str">
        <f>IF(AND($L281*1&gt;=$G$3,$L281*1&lt;=$G$4,$I281*$J281&gt;0,OR($I281&lt;&gt;$I282,$L281-$L282&gt;25),$I281/POW(10,$J281)*MAXIFS(Token!$B:$B,Token!$A:$A,$K281)&gt;0.01),$L281/86400+DATE(1970,1,1)+$G$6,)</f>
        <v/>
      </c>
      <c r="B281" s="27" t="str">
        <f t="shared" si="1"/>
        <v/>
      </c>
      <c r="C281" s="14" t="str">
        <f>IF($A281&lt;&gt;"",MINIFS(Merchant!$A:$A,Merchant!$B:$B,$G$2),)</f>
        <v/>
      </c>
      <c r="D281" s="14" t="str">
        <f t="shared" si="2"/>
        <v/>
      </c>
      <c r="E281" s="14" t="str">
        <f t="shared" si="3"/>
        <v/>
      </c>
      <c r="F281" s="7" t="str">
        <f>IF($A281&lt;&gt;"",MAXIFS(Token!$B:$B,Token!$A:$A,$D281),)</f>
        <v/>
      </c>
    </row>
    <row r="282">
      <c r="A282" s="39" t="str">
        <f>IF(AND($L282*1&gt;=$G$3,$L282*1&lt;=$G$4,$I282*$J282&gt;0,OR($I282&lt;&gt;$I283,$L282-$L283&gt;25),$I282/POW(10,$J282)*MAXIFS(Token!$B:$B,Token!$A:$A,$K282)&gt;0.01),$L282/86400+DATE(1970,1,1)+$G$6,)</f>
        <v/>
      </c>
      <c r="B282" s="27" t="str">
        <f t="shared" si="1"/>
        <v/>
      </c>
      <c r="C282" s="14" t="str">
        <f>IF($A282&lt;&gt;"",MINIFS(Merchant!$A:$A,Merchant!$B:$B,$G$2),)</f>
        <v/>
      </c>
      <c r="D282" s="14" t="str">
        <f t="shared" si="2"/>
        <v/>
      </c>
      <c r="E282" s="14" t="str">
        <f t="shared" si="3"/>
        <v/>
      </c>
      <c r="F282" s="7" t="str">
        <f>IF($A282&lt;&gt;"",MAXIFS(Token!$B:$B,Token!$A:$A,$D282),)</f>
        <v/>
      </c>
    </row>
    <row r="283">
      <c r="A283" s="39" t="str">
        <f>IF(AND($L283*1&gt;=$G$3,$L283*1&lt;=$G$4,$I283*$J283&gt;0,OR($I283&lt;&gt;$I284,$L283-$L284&gt;25),$I283/POW(10,$J283)*MAXIFS(Token!$B:$B,Token!$A:$A,$K283)&gt;0.01),$L283/86400+DATE(1970,1,1)+$G$6,)</f>
        <v/>
      </c>
      <c r="B283" s="27" t="str">
        <f t="shared" si="1"/>
        <v/>
      </c>
      <c r="C283" s="14" t="str">
        <f>IF($A283&lt;&gt;"",MINIFS(Merchant!$A:$A,Merchant!$B:$B,$G$2),)</f>
        <v/>
      </c>
      <c r="D283" s="14" t="str">
        <f t="shared" si="2"/>
        <v/>
      </c>
      <c r="E283" s="14" t="str">
        <f t="shared" si="3"/>
        <v/>
      </c>
      <c r="F283" s="7" t="str">
        <f>IF($A283&lt;&gt;"",MAXIFS(Token!$B:$B,Token!$A:$A,$D283),)</f>
        <v/>
      </c>
    </row>
    <row r="284">
      <c r="A284" s="39" t="str">
        <f>IF(AND($L284*1&gt;=$G$3,$L284*1&lt;=$G$4,$I284*$J284&gt;0,OR($I284&lt;&gt;$I285,$L284-$L285&gt;25),$I284/POW(10,$J284)*MAXIFS(Token!$B:$B,Token!$A:$A,$K284)&gt;0.01),$L284/86400+DATE(1970,1,1)+$G$6,)</f>
        <v/>
      </c>
      <c r="B284" s="27" t="str">
        <f t="shared" si="1"/>
        <v/>
      </c>
      <c r="C284" s="14" t="str">
        <f>IF($A284&lt;&gt;"",MINIFS(Merchant!$A:$A,Merchant!$B:$B,$G$2),)</f>
        <v/>
      </c>
      <c r="D284" s="14" t="str">
        <f t="shared" si="2"/>
        <v/>
      </c>
      <c r="E284" s="14" t="str">
        <f t="shared" si="3"/>
        <v/>
      </c>
      <c r="F284" s="7" t="str">
        <f>IF($A284&lt;&gt;"",MAXIFS(Token!$B:$B,Token!$A:$A,$D284),)</f>
        <v/>
      </c>
    </row>
    <row r="285">
      <c r="A285" s="39" t="str">
        <f>IF(AND($L285*1&gt;=$G$3,$L285*1&lt;=$G$4,$I285*$J285&gt;0,OR($I285&lt;&gt;$I286,$L285-$L286&gt;25),$I285/POW(10,$J285)*MAXIFS(Token!$B:$B,Token!$A:$A,$K285)&gt;0.01),$L285/86400+DATE(1970,1,1)+$G$6,)</f>
        <v/>
      </c>
      <c r="B285" s="27" t="str">
        <f t="shared" si="1"/>
        <v/>
      </c>
      <c r="C285" s="14" t="str">
        <f>IF($A285&lt;&gt;"",MINIFS(Merchant!$A:$A,Merchant!$B:$B,$G$2),)</f>
        <v/>
      </c>
      <c r="D285" s="14" t="str">
        <f t="shared" si="2"/>
        <v/>
      </c>
      <c r="E285" s="14" t="str">
        <f t="shared" si="3"/>
        <v/>
      </c>
      <c r="F285" s="7" t="str">
        <f>IF($A285&lt;&gt;"",MAXIFS(Token!$B:$B,Token!$A:$A,$D285),)</f>
        <v/>
      </c>
    </row>
    <row r="286">
      <c r="A286" s="39" t="str">
        <f>IF(AND($L286*1&gt;=$G$3,$L286*1&lt;=$G$4,$I286*$J286&gt;0,OR($I286&lt;&gt;$I287,$L286-$L287&gt;25),$I286/POW(10,$J286)*MAXIFS(Token!$B:$B,Token!$A:$A,$K286)&gt;0.01),$L286/86400+DATE(1970,1,1)+$G$6,)</f>
        <v/>
      </c>
      <c r="B286" s="27" t="str">
        <f t="shared" si="1"/>
        <v/>
      </c>
      <c r="C286" s="14" t="str">
        <f>IF($A286&lt;&gt;"",MINIFS(Merchant!$A:$A,Merchant!$B:$B,$G$2),)</f>
        <v/>
      </c>
      <c r="D286" s="14" t="str">
        <f t="shared" si="2"/>
        <v/>
      </c>
      <c r="E286" s="14" t="str">
        <f t="shared" si="3"/>
        <v/>
      </c>
      <c r="F286" s="7" t="str">
        <f>IF($A286&lt;&gt;"",MAXIFS(Token!$B:$B,Token!$A:$A,$D286),)</f>
        <v/>
      </c>
    </row>
    <row r="287">
      <c r="A287" s="39" t="str">
        <f>IF(AND($L287*1&gt;=$G$3,$L287*1&lt;=$G$4,$I287*$J287&gt;0,OR($I287&lt;&gt;$I288,$L287-$L288&gt;25),$I287/POW(10,$J287)*MAXIFS(Token!$B:$B,Token!$A:$A,$K287)&gt;0.01),$L287/86400+DATE(1970,1,1)+$G$6,)</f>
        <v/>
      </c>
      <c r="B287" s="27" t="str">
        <f t="shared" si="1"/>
        <v/>
      </c>
      <c r="C287" s="14" t="str">
        <f>IF($A287&lt;&gt;"",MINIFS(Merchant!$A:$A,Merchant!$B:$B,$G$2),)</f>
        <v/>
      </c>
      <c r="D287" s="14" t="str">
        <f t="shared" si="2"/>
        <v/>
      </c>
      <c r="E287" s="14" t="str">
        <f t="shared" si="3"/>
        <v/>
      </c>
      <c r="F287" s="7" t="str">
        <f>IF($A287&lt;&gt;"",MAXIFS(Token!$B:$B,Token!$A:$A,$D287),)</f>
        <v/>
      </c>
    </row>
    <row r="288">
      <c r="A288" s="39" t="str">
        <f>IF(AND($L288*1&gt;=$G$3,$L288*1&lt;=$G$4,$I288*$J288&gt;0,OR($I288&lt;&gt;$I289,$L288-$L289&gt;25),$I288/POW(10,$J288)*MAXIFS(Token!$B:$B,Token!$A:$A,$K288)&gt;0.01),$L288/86400+DATE(1970,1,1)+$G$6,)</f>
        <v/>
      </c>
      <c r="B288" s="27" t="str">
        <f t="shared" si="1"/>
        <v/>
      </c>
      <c r="C288" s="14" t="str">
        <f>IF($A288&lt;&gt;"",MINIFS(Merchant!$A:$A,Merchant!$B:$B,$G$2),)</f>
        <v/>
      </c>
      <c r="D288" s="14" t="str">
        <f t="shared" si="2"/>
        <v/>
      </c>
      <c r="E288" s="14" t="str">
        <f t="shared" si="3"/>
        <v/>
      </c>
      <c r="F288" s="7" t="str">
        <f>IF($A288&lt;&gt;"",MAXIFS(Token!$B:$B,Token!$A:$A,$D288),)</f>
        <v/>
      </c>
    </row>
    <row r="289">
      <c r="A289" s="39" t="str">
        <f>IF(AND($L289*1&gt;=$G$3,$L289*1&lt;=$G$4,$I289*$J289&gt;0,OR($I289&lt;&gt;$I290,$L289-$L290&gt;25),$I289/POW(10,$J289)*MAXIFS(Token!$B:$B,Token!$A:$A,$K289)&gt;0.01),$L289/86400+DATE(1970,1,1)+$G$6,)</f>
        <v/>
      </c>
      <c r="B289" s="27" t="str">
        <f t="shared" si="1"/>
        <v/>
      </c>
      <c r="C289" s="14" t="str">
        <f>IF($A289&lt;&gt;"",MINIFS(Merchant!$A:$A,Merchant!$B:$B,$G$2),)</f>
        <v/>
      </c>
      <c r="D289" s="14" t="str">
        <f t="shared" si="2"/>
        <v/>
      </c>
      <c r="E289" s="14" t="str">
        <f t="shared" si="3"/>
        <v/>
      </c>
      <c r="F289" s="7" t="str">
        <f>IF($A289&lt;&gt;"",MAXIFS(Token!$B:$B,Token!$A:$A,$D289),)</f>
        <v/>
      </c>
    </row>
    <row r="290">
      <c r="A290" s="39" t="str">
        <f>IF(AND($L290*1&gt;=$G$3,$L290*1&lt;=$G$4,$I290*$J290&gt;0,OR($I290&lt;&gt;$I291,$L290-$L291&gt;25),$I290/POW(10,$J290)*MAXIFS(Token!$B:$B,Token!$A:$A,$K290)&gt;0.01),$L290/86400+DATE(1970,1,1)+$G$6,)</f>
        <v/>
      </c>
      <c r="B290" s="27" t="str">
        <f t="shared" si="1"/>
        <v/>
      </c>
      <c r="C290" s="14" t="str">
        <f>IF($A290&lt;&gt;"",MINIFS(Merchant!$A:$A,Merchant!$B:$B,$G$2),)</f>
        <v/>
      </c>
      <c r="D290" s="14" t="str">
        <f t="shared" si="2"/>
        <v/>
      </c>
      <c r="E290" s="14" t="str">
        <f t="shared" si="3"/>
        <v/>
      </c>
      <c r="F290" s="7" t="str">
        <f>IF($A290&lt;&gt;"",MAXIFS(Token!$B:$B,Token!$A:$A,$D290),)</f>
        <v/>
      </c>
    </row>
    <row r="291">
      <c r="A291" s="39" t="str">
        <f>IF(AND($L291*1&gt;=$G$3,$L291*1&lt;=$G$4,$I291*$J291&gt;0,OR($I291&lt;&gt;$I292,$L291-$L292&gt;25),$I291/POW(10,$J291)*MAXIFS(Token!$B:$B,Token!$A:$A,$K291)&gt;0.01),$L291/86400+DATE(1970,1,1)+$G$6,)</f>
        <v/>
      </c>
      <c r="B291" s="27" t="str">
        <f t="shared" si="1"/>
        <v/>
      </c>
      <c r="C291" s="14" t="str">
        <f>IF($A291&lt;&gt;"",MINIFS(Merchant!$A:$A,Merchant!$B:$B,$G$2),)</f>
        <v/>
      </c>
      <c r="D291" s="14" t="str">
        <f t="shared" si="2"/>
        <v/>
      </c>
      <c r="E291" s="14" t="str">
        <f t="shared" si="3"/>
        <v/>
      </c>
      <c r="F291" s="7" t="str">
        <f>IF($A291&lt;&gt;"",MAXIFS(Token!$B:$B,Token!$A:$A,$D291),)</f>
        <v/>
      </c>
    </row>
    <row r="292">
      <c r="A292" s="39" t="str">
        <f>IF(AND($L292*1&gt;=$G$3,$L292*1&lt;=$G$4,$I292*$J292&gt;0,OR($I292&lt;&gt;$I293,$L292-$L293&gt;25),$I292/POW(10,$J292)*MAXIFS(Token!$B:$B,Token!$A:$A,$K292)&gt;0.01),$L292/86400+DATE(1970,1,1)+$G$6,)</f>
        <v/>
      </c>
      <c r="B292" s="27" t="str">
        <f t="shared" si="1"/>
        <v/>
      </c>
      <c r="C292" s="14" t="str">
        <f>IF($A292&lt;&gt;"",MINIFS(Merchant!$A:$A,Merchant!$B:$B,$G$2),)</f>
        <v/>
      </c>
      <c r="D292" s="14" t="str">
        <f t="shared" si="2"/>
        <v/>
      </c>
      <c r="E292" s="14" t="str">
        <f t="shared" si="3"/>
        <v/>
      </c>
      <c r="F292" s="7" t="str">
        <f>IF($A292&lt;&gt;"",MAXIFS(Token!$B:$B,Token!$A:$A,$D292),)</f>
        <v/>
      </c>
    </row>
    <row r="293">
      <c r="A293" s="39" t="str">
        <f>IF(AND($L293*1&gt;=$G$3,$L293*1&lt;=$G$4,$I293*$J293&gt;0,OR($I293&lt;&gt;$I294,$L293-$L294&gt;25),$I293/POW(10,$J293)*MAXIFS(Token!$B:$B,Token!$A:$A,$K293)&gt;0.01),$L293/86400+DATE(1970,1,1)+$G$6,)</f>
        <v/>
      </c>
      <c r="B293" s="27" t="str">
        <f t="shared" si="1"/>
        <v/>
      </c>
      <c r="C293" s="14" t="str">
        <f>IF($A293&lt;&gt;"",MINIFS(Merchant!$A:$A,Merchant!$B:$B,$G$2),)</f>
        <v/>
      </c>
      <c r="D293" s="14" t="str">
        <f t="shared" si="2"/>
        <v/>
      </c>
      <c r="E293" s="14" t="str">
        <f t="shared" si="3"/>
        <v/>
      </c>
      <c r="F293" s="7" t="str">
        <f>IF($A293&lt;&gt;"",MAXIFS(Token!$B:$B,Token!$A:$A,$D293),)</f>
        <v/>
      </c>
    </row>
    <row r="294">
      <c r="A294" s="39" t="str">
        <f>IF(AND($L294*1&gt;=$G$3,$L294*1&lt;=$G$4,$I294*$J294&gt;0,OR($I294&lt;&gt;$I295,$L294-$L295&gt;25),$I294/POW(10,$J294)*MAXIFS(Token!$B:$B,Token!$A:$A,$K294)&gt;0.01),$L294/86400+DATE(1970,1,1)+$G$6,)</f>
        <v/>
      </c>
      <c r="B294" s="27" t="str">
        <f t="shared" si="1"/>
        <v/>
      </c>
      <c r="C294" s="14" t="str">
        <f>IF($A294&lt;&gt;"",MINIFS(Merchant!$A:$A,Merchant!$B:$B,$G$2),)</f>
        <v/>
      </c>
      <c r="D294" s="14" t="str">
        <f t="shared" si="2"/>
        <v/>
      </c>
      <c r="E294" s="14" t="str">
        <f t="shared" si="3"/>
        <v/>
      </c>
      <c r="F294" s="7" t="str">
        <f>IF($A294&lt;&gt;"",MAXIFS(Token!$B:$B,Token!$A:$A,$D294),)</f>
        <v/>
      </c>
    </row>
    <row r="295">
      <c r="A295" s="39" t="str">
        <f>IF(AND($L295*1&gt;=$G$3,$L295*1&lt;=$G$4,$I295*$J295&gt;0,OR($I295&lt;&gt;$I296,$L295-$L296&gt;25),$I295/POW(10,$J295)*MAXIFS(Token!$B:$B,Token!$A:$A,$K295)&gt;0.01),$L295/86400+DATE(1970,1,1)+$G$6,)</f>
        <v/>
      </c>
      <c r="B295" s="27" t="str">
        <f t="shared" si="1"/>
        <v/>
      </c>
      <c r="C295" s="14" t="str">
        <f>IF($A295&lt;&gt;"",MINIFS(Merchant!$A:$A,Merchant!$B:$B,$G$2),)</f>
        <v/>
      </c>
      <c r="D295" s="14" t="str">
        <f t="shared" si="2"/>
        <v/>
      </c>
      <c r="E295" s="14" t="str">
        <f t="shared" si="3"/>
        <v/>
      </c>
      <c r="F295" s="7" t="str">
        <f>IF($A295&lt;&gt;"",MAXIFS(Token!$B:$B,Token!$A:$A,$D295),)</f>
        <v/>
      </c>
    </row>
    <row r="296">
      <c r="A296" s="39" t="str">
        <f>IF(AND($L296*1&gt;=$G$3,$L296*1&lt;=$G$4,$I296*$J296&gt;0,OR($I296&lt;&gt;$I297,$L296-$L297&gt;25),$I296/POW(10,$J296)*MAXIFS(Token!$B:$B,Token!$A:$A,$K296)&gt;0.01),$L296/86400+DATE(1970,1,1)+$G$6,)</f>
        <v/>
      </c>
      <c r="B296" s="27" t="str">
        <f t="shared" si="1"/>
        <v/>
      </c>
      <c r="C296" s="14" t="str">
        <f>IF($A296&lt;&gt;"",MINIFS(Merchant!$A:$A,Merchant!$B:$B,$G$2),)</f>
        <v/>
      </c>
      <c r="D296" s="14" t="str">
        <f t="shared" si="2"/>
        <v/>
      </c>
      <c r="E296" s="14" t="str">
        <f t="shared" si="3"/>
        <v/>
      </c>
      <c r="F296" s="7" t="str">
        <f>IF($A296&lt;&gt;"",MAXIFS(Token!$B:$B,Token!$A:$A,$D296),)</f>
        <v/>
      </c>
    </row>
    <row r="297">
      <c r="A297" s="39" t="str">
        <f>IF(AND($L297*1&gt;=$G$3,$L297*1&lt;=$G$4,$I297*$J297&gt;0,OR($I297&lt;&gt;$I298,$L297-$L298&gt;25),$I297/POW(10,$J297)*MAXIFS(Token!$B:$B,Token!$A:$A,$K297)&gt;0.01),$L297/86400+DATE(1970,1,1)+$G$6,)</f>
        <v/>
      </c>
      <c r="B297" s="27" t="str">
        <f t="shared" si="1"/>
        <v/>
      </c>
      <c r="C297" s="14" t="str">
        <f>IF($A297&lt;&gt;"",MINIFS(Merchant!$A:$A,Merchant!$B:$B,$G$2),)</f>
        <v/>
      </c>
      <c r="D297" s="14" t="str">
        <f t="shared" si="2"/>
        <v/>
      </c>
      <c r="E297" s="14" t="str">
        <f t="shared" si="3"/>
        <v/>
      </c>
      <c r="F297" s="7" t="str">
        <f>IF($A297&lt;&gt;"",MAXIFS(Token!$B:$B,Token!$A:$A,$D297),)</f>
        <v/>
      </c>
    </row>
    <row r="298">
      <c r="A298" s="39" t="str">
        <f>IF(AND($L298*1&gt;=$G$3,$L298*1&lt;=$G$4,$I298*$J298&gt;0,OR($I298&lt;&gt;$I299,$L298-$L299&gt;25),$I298/POW(10,$J298)*MAXIFS(Token!$B:$B,Token!$A:$A,$K298)&gt;0.01),$L298/86400+DATE(1970,1,1)+$G$6,)</f>
        <v/>
      </c>
      <c r="B298" s="27" t="str">
        <f t="shared" si="1"/>
        <v/>
      </c>
      <c r="C298" s="14" t="str">
        <f>IF($A298&lt;&gt;"",MINIFS(Merchant!$A:$A,Merchant!$B:$B,$G$2),)</f>
        <v/>
      </c>
      <c r="D298" s="14" t="str">
        <f t="shared" si="2"/>
        <v/>
      </c>
      <c r="E298" s="14" t="str">
        <f t="shared" si="3"/>
        <v/>
      </c>
      <c r="F298" s="7" t="str">
        <f>IF($A298&lt;&gt;"",MAXIFS(Token!$B:$B,Token!$A:$A,$D298),)</f>
        <v/>
      </c>
    </row>
    <row r="299">
      <c r="A299" s="39" t="str">
        <f>IF(AND($L299*1&gt;=$G$3,$L299*1&lt;=$G$4,$I299*$J299&gt;0,OR($I299&lt;&gt;$I300,$L299-$L300&gt;25),$I299/POW(10,$J299)*MAXIFS(Token!$B:$B,Token!$A:$A,$K299)&gt;0.01),$L299/86400+DATE(1970,1,1)+$G$6,)</f>
        <v/>
      </c>
      <c r="B299" s="27" t="str">
        <f t="shared" si="1"/>
        <v/>
      </c>
      <c r="C299" s="14" t="str">
        <f>IF($A299&lt;&gt;"",MINIFS(Merchant!$A:$A,Merchant!$B:$B,$G$2),)</f>
        <v/>
      </c>
      <c r="D299" s="14" t="str">
        <f t="shared" si="2"/>
        <v/>
      </c>
      <c r="E299" s="14" t="str">
        <f t="shared" si="3"/>
        <v/>
      </c>
      <c r="F299" s="7" t="str">
        <f>IF($A299&lt;&gt;"",MAXIFS(Token!$B:$B,Token!$A:$A,$D299),)</f>
        <v/>
      </c>
    </row>
    <row r="300">
      <c r="A300" s="39" t="str">
        <f>IF(AND($L300*1&gt;=$G$3,$L300*1&lt;=$G$4,$I300*$J300&gt;0,OR($I300&lt;&gt;$I301,$L300-$L301&gt;25),$I300/POW(10,$J300)*MAXIFS(Token!$B:$B,Token!$A:$A,$K300)&gt;0.01),$L300/86400+DATE(1970,1,1)+$G$6,)</f>
        <v/>
      </c>
      <c r="B300" s="27" t="str">
        <f t="shared" si="1"/>
        <v/>
      </c>
      <c r="C300" s="14" t="str">
        <f>IF($A300&lt;&gt;"",MINIFS(Merchant!$A:$A,Merchant!$B:$B,$G$2),)</f>
        <v/>
      </c>
      <c r="D300" s="14" t="str">
        <f t="shared" si="2"/>
        <v/>
      </c>
      <c r="E300" s="14" t="str">
        <f t="shared" si="3"/>
        <v/>
      </c>
      <c r="F300" s="7" t="str">
        <f>IF($A300&lt;&gt;"",MAXIFS(Token!$B:$B,Token!$A:$A,$D300),)</f>
        <v/>
      </c>
    </row>
    <row r="301">
      <c r="A301" s="39" t="str">
        <f>IF(AND($L301*1&gt;=$G$3,$L301*1&lt;=$G$4,$I301*$J301&gt;0,OR($I301&lt;&gt;$I302,$L301-$L302&gt;25),$I301/POW(10,$J301)*MAXIFS(Token!$B:$B,Token!$A:$A,$K301)&gt;0.01),$L301/86400+DATE(1970,1,1)+$G$6,)</f>
        <v/>
      </c>
      <c r="B301" s="27" t="str">
        <f t="shared" si="1"/>
        <v/>
      </c>
      <c r="C301" s="14" t="str">
        <f>IF($A301&lt;&gt;"",MINIFS(Merchant!$A:$A,Merchant!$B:$B,$G$2),)</f>
        <v/>
      </c>
      <c r="D301" s="14" t="str">
        <f t="shared" si="2"/>
        <v/>
      </c>
      <c r="E301" s="14" t="str">
        <f t="shared" si="3"/>
        <v/>
      </c>
      <c r="F301" s="7" t="str">
        <f>IF($A301&lt;&gt;"",MAXIFS(Token!$B:$B,Token!$A:$A,$D301),)</f>
        <v/>
      </c>
    </row>
    <row r="302">
      <c r="A302" s="39" t="str">
        <f>IF(AND($L302*1&gt;=$G$3,$L302*1&lt;=$G$4,$I302*$J302&gt;0,OR($I302&lt;&gt;$I303,$L302-$L303&gt;25),$I302/POW(10,$J302)*MAXIFS(Token!$B:$B,Token!$A:$A,$K302)&gt;0.01),$L302/86400+DATE(1970,1,1)+$G$6,)</f>
        <v/>
      </c>
      <c r="B302" s="27" t="str">
        <f t="shared" si="1"/>
        <v/>
      </c>
      <c r="C302" s="14" t="str">
        <f>IF($A302&lt;&gt;"",MINIFS(Merchant!$A:$A,Merchant!$B:$B,$G$2),)</f>
        <v/>
      </c>
      <c r="D302" s="14" t="str">
        <f t="shared" si="2"/>
        <v/>
      </c>
      <c r="E302" s="14" t="str">
        <f t="shared" si="3"/>
        <v/>
      </c>
      <c r="F302" s="7" t="str">
        <f>IF($A302&lt;&gt;"",MAXIFS(Token!$B:$B,Token!$A:$A,$D302),)</f>
        <v/>
      </c>
    </row>
    <row r="303">
      <c r="A303" s="39" t="str">
        <f>IF(AND($L303*1&gt;=$G$3,$L303*1&lt;=$G$4,$I303*$J303&gt;0,OR($I303&lt;&gt;$I304,$L303-$L304&gt;25),$I303/POW(10,$J303)*MAXIFS(Token!$B:$B,Token!$A:$A,$K303)&gt;0.01),$L303/86400+DATE(1970,1,1)+$G$6,)</f>
        <v/>
      </c>
      <c r="B303" s="27" t="str">
        <f t="shared" si="1"/>
        <v/>
      </c>
      <c r="C303" s="14" t="str">
        <f>IF($A303&lt;&gt;"",MINIFS(Merchant!$A:$A,Merchant!$B:$B,$G$2),)</f>
        <v/>
      </c>
      <c r="D303" s="14" t="str">
        <f t="shared" si="2"/>
        <v/>
      </c>
      <c r="E303" s="14" t="str">
        <f t="shared" si="3"/>
        <v/>
      </c>
      <c r="F303" s="7" t="str">
        <f>IF($A303&lt;&gt;"",MAXIFS(Token!$B:$B,Token!$A:$A,$D303),)</f>
        <v/>
      </c>
    </row>
    <row r="304">
      <c r="A304" s="39" t="str">
        <f>IF(AND($L304*1&gt;=$G$3,$L304*1&lt;=$G$4,$I304*$J304&gt;0,OR($I304&lt;&gt;$I305,$L304-$L305&gt;25),$I304/POW(10,$J304)*MAXIFS(Token!$B:$B,Token!$A:$A,$K304)&gt;0.01),$L304/86400+DATE(1970,1,1)+$G$6,)</f>
        <v/>
      </c>
      <c r="B304" s="27" t="str">
        <f t="shared" si="1"/>
        <v/>
      </c>
      <c r="C304" s="14" t="str">
        <f>IF($A304&lt;&gt;"",MINIFS(Merchant!$A:$A,Merchant!$B:$B,$G$2),)</f>
        <v/>
      </c>
      <c r="D304" s="14" t="str">
        <f t="shared" si="2"/>
        <v/>
      </c>
      <c r="E304" s="14" t="str">
        <f t="shared" si="3"/>
        <v/>
      </c>
      <c r="F304" s="7" t="str">
        <f>IF($A304&lt;&gt;"",MAXIFS(Token!$B:$B,Token!$A:$A,$D304),)</f>
        <v/>
      </c>
    </row>
    <row r="305">
      <c r="A305" s="39" t="str">
        <f>IF(AND($L305*1&gt;=$G$3,$L305*1&lt;=$G$4,$I305*$J305&gt;0,OR($I305&lt;&gt;$I306,$L305-$L306&gt;25),$I305/POW(10,$J305)*MAXIFS(Token!$B:$B,Token!$A:$A,$K305)&gt;0.01),$L305/86400+DATE(1970,1,1)+$G$6,)</f>
        <v/>
      </c>
      <c r="B305" s="27" t="str">
        <f t="shared" si="1"/>
        <v/>
      </c>
      <c r="C305" s="14" t="str">
        <f>IF($A305&lt;&gt;"",MINIFS(Merchant!$A:$A,Merchant!$B:$B,$G$2),)</f>
        <v/>
      </c>
      <c r="D305" s="14" t="str">
        <f t="shared" si="2"/>
        <v/>
      </c>
      <c r="E305" s="14" t="str">
        <f t="shared" si="3"/>
        <v/>
      </c>
      <c r="F305" s="7" t="str">
        <f>IF($A305&lt;&gt;"",MAXIFS(Token!$B:$B,Token!$A:$A,$D305),)</f>
        <v/>
      </c>
    </row>
    <row r="306">
      <c r="A306" s="39" t="str">
        <f>IF(AND($L306*1&gt;=$G$3,$L306*1&lt;=$G$4,$I306*$J306&gt;0,OR($I306&lt;&gt;$I307,$L306-$L307&gt;25),$I306/POW(10,$J306)*MAXIFS(Token!$B:$B,Token!$A:$A,$K306)&gt;0.01),$L306/86400+DATE(1970,1,1)+$G$6,)</f>
        <v/>
      </c>
      <c r="B306" s="27" t="str">
        <f t="shared" si="1"/>
        <v/>
      </c>
      <c r="C306" s="14" t="str">
        <f>IF($A306&lt;&gt;"",MINIFS(Merchant!$A:$A,Merchant!$B:$B,$G$2),)</f>
        <v/>
      </c>
      <c r="D306" s="14" t="str">
        <f t="shared" si="2"/>
        <v/>
      </c>
      <c r="E306" s="14" t="str">
        <f t="shared" si="3"/>
        <v/>
      </c>
      <c r="F306" s="7" t="str">
        <f>IF($A306&lt;&gt;"",MAXIFS(Token!$B:$B,Token!$A:$A,$D306),)</f>
        <v/>
      </c>
    </row>
    <row r="307">
      <c r="A307" s="39" t="str">
        <f>IF(AND($L307*1&gt;=$G$3,$L307*1&lt;=$G$4,$I307*$J307&gt;0,OR($I307&lt;&gt;$I308,$L307-$L308&gt;25),$I307/POW(10,$J307)*MAXIFS(Token!$B:$B,Token!$A:$A,$K307)&gt;0.01),$L307/86400+DATE(1970,1,1)+$G$6,)</f>
        <v/>
      </c>
      <c r="B307" s="27" t="str">
        <f t="shared" si="1"/>
        <v/>
      </c>
      <c r="C307" s="14" t="str">
        <f>IF($A307&lt;&gt;"",MINIFS(Merchant!$A:$A,Merchant!$B:$B,$G$2),)</f>
        <v/>
      </c>
      <c r="D307" s="14" t="str">
        <f t="shared" si="2"/>
        <v/>
      </c>
      <c r="E307" s="14" t="str">
        <f t="shared" si="3"/>
        <v/>
      </c>
      <c r="F307" s="7" t="str">
        <f>IF($A307&lt;&gt;"",MAXIFS(Token!$B:$B,Token!$A:$A,$D307),)</f>
        <v/>
      </c>
    </row>
    <row r="308">
      <c r="A308" s="39" t="str">
        <f>IF(AND($L308*1&gt;=$G$3,$L308*1&lt;=$G$4,$I308*$J308&gt;0,OR($I308&lt;&gt;$I309,$L308-$L309&gt;25),$I308/POW(10,$J308)*MAXIFS(Token!$B:$B,Token!$A:$A,$K308)&gt;0.01),$L308/86400+DATE(1970,1,1)+$G$6,)</f>
        <v/>
      </c>
      <c r="B308" s="27" t="str">
        <f t="shared" si="1"/>
        <v/>
      </c>
      <c r="C308" s="14" t="str">
        <f>IF($A308&lt;&gt;"",MINIFS(Merchant!$A:$A,Merchant!$B:$B,$G$2),)</f>
        <v/>
      </c>
      <c r="D308" s="14" t="str">
        <f t="shared" si="2"/>
        <v/>
      </c>
      <c r="E308" s="14" t="str">
        <f t="shared" si="3"/>
        <v/>
      </c>
      <c r="F308" s="7" t="str">
        <f>IF($A308&lt;&gt;"",MAXIFS(Token!$B:$B,Token!$A:$A,$D308),)</f>
        <v/>
      </c>
    </row>
    <row r="309">
      <c r="A309" s="39" t="str">
        <f>IF(AND($L309*1&gt;=$G$3,$L309*1&lt;=$G$4,$I309*$J309&gt;0,OR($I309&lt;&gt;$I310,$L309-$L310&gt;25),$I309/POW(10,$J309)*MAXIFS(Token!$B:$B,Token!$A:$A,$K309)&gt;0.01),$L309/86400+DATE(1970,1,1)+$G$6,)</f>
        <v/>
      </c>
      <c r="B309" s="27" t="str">
        <f t="shared" si="1"/>
        <v/>
      </c>
      <c r="C309" s="14" t="str">
        <f>IF($A309&lt;&gt;"",MINIFS(Merchant!$A:$A,Merchant!$B:$B,$G$2),)</f>
        <v/>
      </c>
      <c r="D309" s="14" t="str">
        <f t="shared" si="2"/>
        <v/>
      </c>
      <c r="E309" s="14" t="str">
        <f t="shared" si="3"/>
        <v/>
      </c>
      <c r="F309" s="7" t="str">
        <f>IF($A309&lt;&gt;"",MAXIFS(Token!$B:$B,Token!$A:$A,$D309),)</f>
        <v/>
      </c>
    </row>
    <row r="310">
      <c r="A310" s="39" t="str">
        <f>IF(AND($L310*1&gt;=$G$3,$L310*1&lt;=$G$4,$I310*$J310&gt;0,OR($I310&lt;&gt;$I311,$L310-$L311&gt;25),$I310/POW(10,$J310)*MAXIFS(Token!$B:$B,Token!$A:$A,$K310)&gt;0.01),$L310/86400+DATE(1970,1,1)+$G$6,)</f>
        <v/>
      </c>
      <c r="B310" s="27" t="str">
        <f t="shared" si="1"/>
        <v/>
      </c>
      <c r="C310" s="14" t="str">
        <f>IF($A310&lt;&gt;"",MINIFS(Merchant!$A:$A,Merchant!$B:$B,$G$2),)</f>
        <v/>
      </c>
      <c r="D310" s="14" t="str">
        <f t="shared" si="2"/>
        <v/>
      </c>
      <c r="E310" s="14" t="str">
        <f t="shared" si="3"/>
        <v/>
      </c>
      <c r="F310" s="7" t="str">
        <f>IF($A310&lt;&gt;"",MAXIFS(Token!$B:$B,Token!$A:$A,$D310),)</f>
        <v/>
      </c>
    </row>
    <row r="311">
      <c r="A311" s="39" t="str">
        <f>IF(AND($L311*1&gt;=$G$3,$L311*1&lt;=$G$4,$I311*$J311&gt;0,OR($I311&lt;&gt;$I312,$L311-$L312&gt;25),$I311/POW(10,$J311)*MAXIFS(Token!$B:$B,Token!$A:$A,$K311)&gt;0.01),$L311/86400+DATE(1970,1,1)+$G$6,)</f>
        <v/>
      </c>
      <c r="B311" s="27" t="str">
        <f t="shared" si="1"/>
        <v/>
      </c>
      <c r="C311" s="14" t="str">
        <f>IF($A311&lt;&gt;"",MINIFS(Merchant!$A:$A,Merchant!$B:$B,$G$2),)</f>
        <v/>
      </c>
      <c r="D311" s="14" t="str">
        <f t="shared" si="2"/>
        <v/>
      </c>
      <c r="E311" s="14" t="str">
        <f t="shared" si="3"/>
        <v/>
      </c>
      <c r="F311" s="7" t="str">
        <f>IF($A311&lt;&gt;"",MAXIFS(Token!$B:$B,Token!$A:$A,$D311),)</f>
        <v/>
      </c>
    </row>
    <row r="312">
      <c r="A312" s="39" t="str">
        <f>IF(AND($L312*1&gt;=$G$3,$L312*1&lt;=$G$4,$I312*$J312&gt;0,OR($I312&lt;&gt;$I313,$L312-$L313&gt;25),$I312/POW(10,$J312)*MAXIFS(Token!$B:$B,Token!$A:$A,$K312)&gt;0.01),$L312/86400+DATE(1970,1,1)+$G$6,)</f>
        <v/>
      </c>
      <c r="B312" s="27" t="str">
        <f t="shared" si="1"/>
        <v/>
      </c>
      <c r="C312" s="14" t="str">
        <f>IF($A312&lt;&gt;"",MINIFS(Merchant!$A:$A,Merchant!$B:$B,$G$2),)</f>
        <v/>
      </c>
      <c r="D312" s="14" t="str">
        <f t="shared" si="2"/>
        <v/>
      </c>
      <c r="E312" s="14" t="str">
        <f t="shared" si="3"/>
        <v/>
      </c>
      <c r="F312" s="7" t="str">
        <f>IF($A312&lt;&gt;"",MAXIFS(Token!$B:$B,Token!$A:$A,$D312),)</f>
        <v/>
      </c>
    </row>
    <row r="313">
      <c r="A313" s="39" t="str">
        <f>IF(AND($L313*1&gt;=$G$3,$L313*1&lt;=$G$4,$I313*$J313&gt;0,OR($I313&lt;&gt;$I314,$L313-$L314&gt;25),$I313/POW(10,$J313)*MAXIFS(Token!$B:$B,Token!$A:$A,$K313)&gt;0.01),$L313/86400+DATE(1970,1,1)+$G$6,)</f>
        <v/>
      </c>
      <c r="B313" s="27" t="str">
        <f t="shared" si="1"/>
        <v/>
      </c>
      <c r="C313" s="14" t="str">
        <f>IF($A313&lt;&gt;"",MINIFS(Merchant!$A:$A,Merchant!$B:$B,$G$2),)</f>
        <v/>
      </c>
      <c r="D313" s="14" t="str">
        <f t="shared" si="2"/>
        <v/>
      </c>
      <c r="E313" s="14" t="str">
        <f t="shared" si="3"/>
        <v/>
      </c>
      <c r="F313" s="7" t="str">
        <f>IF($A313&lt;&gt;"",MAXIFS(Token!$B:$B,Token!$A:$A,$D313),)</f>
        <v/>
      </c>
    </row>
    <row r="314">
      <c r="A314" s="39" t="str">
        <f>IF(AND($L314*1&gt;=$G$3,$L314*1&lt;=$G$4,$I314*$J314&gt;0,OR($I314&lt;&gt;$I315,$L314-$L315&gt;25),$I314/POW(10,$J314)*MAXIFS(Token!$B:$B,Token!$A:$A,$K314)&gt;0.01),$L314/86400+DATE(1970,1,1)+$G$6,)</f>
        <v/>
      </c>
      <c r="B314" s="27" t="str">
        <f t="shared" si="1"/>
        <v/>
      </c>
      <c r="C314" s="14" t="str">
        <f>IF($A314&lt;&gt;"",MINIFS(Merchant!$A:$A,Merchant!$B:$B,$G$2),)</f>
        <v/>
      </c>
      <c r="D314" s="14" t="str">
        <f t="shared" si="2"/>
        <v/>
      </c>
      <c r="E314" s="14" t="str">
        <f t="shared" si="3"/>
        <v/>
      </c>
      <c r="F314" s="7" t="str">
        <f>IF($A314&lt;&gt;"",MAXIFS(Token!$B:$B,Token!$A:$A,$D314),)</f>
        <v/>
      </c>
    </row>
    <row r="315">
      <c r="A315" s="39" t="str">
        <f>IF(AND($L315*1&gt;=$G$3,$L315*1&lt;=$G$4,$I315*$J315&gt;0,OR($I315&lt;&gt;$I316,$L315-$L316&gt;25),$I315/POW(10,$J315)*MAXIFS(Token!$B:$B,Token!$A:$A,$K315)&gt;0.01),$L315/86400+DATE(1970,1,1)+$G$6,)</f>
        <v/>
      </c>
      <c r="B315" s="27" t="str">
        <f t="shared" si="1"/>
        <v/>
      </c>
      <c r="C315" s="14" t="str">
        <f>IF($A315&lt;&gt;"",MINIFS(Merchant!$A:$A,Merchant!$B:$B,$G$2),)</f>
        <v/>
      </c>
      <c r="D315" s="14" t="str">
        <f t="shared" si="2"/>
        <v/>
      </c>
      <c r="E315" s="14" t="str">
        <f t="shared" si="3"/>
        <v/>
      </c>
      <c r="F315" s="7" t="str">
        <f>IF($A315&lt;&gt;"",MAXIFS(Token!$B:$B,Token!$A:$A,$D315),)</f>
        <v/>
      </c>
    </row>
    <row r="316">
      <c r="A316" s="39" t="str">
        <f>IF(AND($L316*1&gt;=$G$3,$L316*1&lt;=$G$4,$I316*$J316&gt;0,OR($I316&lt;&gt;$I317,$L316-$L317&gt;25),$I316/POW(10,$J316)*MAXIFS(Token!$B:$B,Token!$A:$A,$K316)&gt;0.01),$L316/86400+DATE(1970,1,1)+$G$6,)</f>
        <v/>
      </c>
      <c r="B316" s="27" t="str">
        <f t="shared" si="1"/>
        <v/>
      </c>
      <c r="C316" s="14" t="str">
        <f>IF($A316&lt;&gt;"",MINIFS(Merchant!$A:$A,Merchant!$B:$B,$G$2),)</f>
        <v/>
      </c>
      <c r="D316" s="14" t="str">
        <f t="shared" si="2"/>
        <v/>
      </c>
      <c r="E316" s="14" t="str">
        <f t="shared" si="3"/>
        <v/>
      </c>
      <c r="F316" s="7" t="str">
        <f>IF($A316&lt;&gt;"",MAXIFS(Token!$B:$B,Token!$A:$A,$D316),)</f>
        <v/>
      </c>
    </row>
    <row r="317">
      <c r="A317" s="39" t="str">
        <f>IF(AND($L317*1&gt;=$G$3,$L317*1&lt;=$G$4,$I317*$J317&gt;0,OR($I317&lt;&gt;$I318,$L317-$L318&gt;25),$I317/POW(10,$J317)*MAXIFS(Token!$B:$B,Token!$A:$A,$K317)&gt;0.01),$L317/86400+DATE(1970,1,1)+$G$6,)</f>
        <v/>
      </c>
      <c r="B317" s="27" t="str">
        <f t="shared" si="1"/>
        <v/>
      </c>
      <c r="C317" s="14" t="str">
        <f>IF($A317&lt;&gt;"",MINIFS(Merchant!$A:$A,Merchant!$B:$B,$G$2),)</f>
        <v/>
      </c>
      <c r="D317" s="14" t="str">
        <f t="shared" si="2"/>
        <v/>
      </c>
      <c r="E317" s="14" t="str">
        <f t="shared" si="3"/>
        <v/>
      </c>
      <c r="F317" s="7" t="str">
        <f>IF($A317&lt;&gt;"",MAXIFS(Token!$B:$B,Token!$A:$A,$D317),)</f>
        <v/>
      </c>
    </row>
    <row r="318">
      <c r="A318" s="39" t="str">
        <f>IF(AND($L318*1&gt;=$G$3,$L318*1&lt;=$G$4,$I318*$J318&gt;0,OR($I318&lt;&gt;$I319,$L318-$L319&gt;25),$I318/POW(10,$J318)*MAXIFS(Token!$B:$B,Token!$A:$A,$K318)&gt;0.01),$L318/86400+DATE(1970,1,1)+$G$6,)</f>
        <v/>
      </c>
      <c r="B318" s="27" t="str">
        <f t="shared" si="1"/>
        <v/>
      </c>
      <c r="C318" s="14" t="str">
        <f>IF($A318&lt;&gt;"",MINIFS(Merchant!$A:$A,Merchant!$B:$B,$G$2),)</f>
        <v/>
      </c>
      <c r="D318" s="14" t="str">
        <f t="shared" si="2"/>
        <v/>
      </c>
      <c r="E318" s="14" t="str">
        <f t="shared" si="3"/>
        <v/>
      </c>
      <c r="F318" s="7" t="str">
        <f>IF($A318&lt;&gt;"",MAXIFS(Token!$B:$B,Token!$A:$A,$D318),)</f>
        <v/>
      </c>
    </row>
    <row r="319">
      <c r="A319" s="39" t="str">
        <f>IF(AND($L319*1&gt;=$G$3,$L319*1&lt;=$G$4,$I319*$J319&gt;0,OR($I319&lt;&gt;$I320,$L319-$L320&gt;25),$I319/POW(10,$J319)*MAXIFS(Token!$B:$B,Token!$A:$A,$K319)&gt;0.01),$L319/86400+DATE(1970,1,1)+$G$6,)</f>
        <v/>
      </c>
      <c r="B319" s="27" t="str">
        <f t="shared" si="1"/>
        <v/>
      </c>
      <c r="C319" s="14" t="str">
        <f>IF($A319&lt;&gt;"",MINIFS(Merchant!$A:$A,Merchant!$B:$B,$G$2),)</f>
        <v/>
      </c>
      <c r="D319" s="14" t="str">
        <f t="shared" si="2"/>
        <v/>
      </c>
      <c r="E319" s="14" t="str">
        <f t="shared" si="3"/>
        <v/>
      </c>
      <c r="F319" s="7" t="str">
        <f>IF($A319&lt;&gt;"",MAXIFS(Token!$B:$B,Token!$A:$A,$D319),)</f>
        <v/>
      </c>
    </row>
    <row r="320">
      <c r="A320" s="39" t="str">
        <f>IF(AND($L320*1&gt;=$G$3,$L320*1&lt;=$G$4,$I320*$J320&gt;0,OR($I320&lt;&gt;$I321,$L320-$L321&gt;25),$I320/POW(10,$J320)*MAXIFS(Token!$B:$B,Token!$A:$A,$K320)&gt;0.01),$L320/86400+DATE(1970,1,1)+$G$6,)</f>
        <v/>
      </c>
      <c r="B320" s="27" t="str">
        <f t="shared" si="1"/>
        <v/>
      </c>
      <c r="C320" s="14" t="str">
        <f>IF($A320&lt;&gt;"",MINIFS(Merchant!$A:$A,Merchant!$B:$B,$G$2),)</f>
        <v/>
      </c>
      <c r="D320" s="14" t="str">
        <f t="shared" si="2"/>
        <v/>
      </c>
      <c r="E320" s="14" t="str">
        <f t="shared" si="3"/>
        <v/>
      </c>
      <c r="F320" s="7" t="str">
        <f>IF($A320&lt;&gt;"",MAXIFS(Token!$B:$B,Token!$A:$A,$D320),)</f>
        <v/>
      </c>
    </row>
    <row r="321">
      <c r="A321" s="39" t="str">
        <f>IF(AND($L321*1&gt;=$G$3,$L321*1&lt;=$G$4,$I321*$J321&gt;0,OR($I321&lt;&gt;$I322,$L321-$L322&gt;25),$I321/POW(10,$J321)*MAXIFS(Token!$B:$B,Token!$A:$A,$K321)&gt;0.01),$L321/86400+DATE(1970,1,1)+$G$6,)</f>
        <v/>
      </c>
      <c r="B321" s="27" t="str">
        <f t="shared" si="1"/>
        <v/>
      </c>
      <c r="C321" s="14" t="str">
        <f>IF($A321&lt;&gt;"",MINIFS(Merchant!$A:$A,Merchant!$B:$B,$G$2),)</f>
        <v/>
      </c>
      <c r="D321" s="14" t="str">
        <f t="shared" si="2"/>
        <v/>
      </c>
      <c r="E321" s="14" t="str">
        <f t="shared" si="3"/>
        <v/>
      </c>
      <c r="F321" s="7" t="str">
        <f>IF($A321&lt;&gt;"",MAXIFS(Token!$B:$B,Token!$A:$A,$D321),)</f>
        <v/>
      </c>
    </row>
    <row r="322">
      <c r="A322" s="39" t="str">
        <f>IF(AND($L322*1&gt;=$G$3,$L322*1&lt;=$G$4,$I322*$J322&gt;0,OR($I322&lt;&gt;$I323,$L322-$L323&gt;25),$I322/POW(10,$J322)*MAXIFS(Token!$B:$B,Token!$A:$A,$K322)&gt;0.01),$L322/86400+DATE(1970,1,1)+$G$6,)</f>
        <v/>
      </c>
      <c r="B322" s="27" t="str">
        <f t="shared" si="1"/>
        <v/>
      </c>
      <c r="C322" s="14" t="str">
        <f>IF($A322&lt;&gt;"",MINIFS(Merchant!$A:$A,Merchant!$B:$B,$G$2),)</f>
        <v/>
      </c>
      <c r="D322" s="14" t="str">
        <f t="shared" si="2"/>
        <v/>
      </c>
      <c r="E322" s="14" t="str">
        <f t="shared" si="3"/>
        <v/>
      </c>
      <c r="F322" s="7" t="str">
        <f>IF($A322&lt;&gt;"",MAXIFS(Token!$B:$B,Token!$A:$A,$D322),)</f>
        <v/>
      </c>
    </row>
    <row r="323">
      <c r="A323" s="39" t="str">
        <f>IF(AND($L323*1&gt;=$G$3,$L323*1&lt;=$G$4,$I323*$J323&gt;0,OR($I323&lt;&gt;$I324,$L323-$L324&gt;25),$I323/POW(10,$J323)*MAXIFS(Token!$B:$B,Token!$A:$A,$K323)&gt;0.01),$L323/86400+DATE(1970,1,1)+$G$6,)</f>
        <v/>
      </c>
      <c r="B323" s="27" t="str">
        <f t="shared" si="1"/>
        <v/>
      </c>
      <c r="C323" s="14" t="str">
        <f>IF($A323&lt;&gt;"",MINIFS(Merchant!$A:$A,Merchant!$B:$B,$G$2),)</f>
        <v/>
      </c>
      <c r="D323" s="14" t="str">
        <f t="shared" si="2"/>
        <v/>
      </c>
      <c r="E323" s="14" t="str">
        <f t="shared" si="3"/>
        <v/>
      </c>
      <c r="F323" s="7" t="str">
        <f>IF($A323&lt;&gt;"",MAXIFS(Token!$B:$B,Token!$A:$A,$D323),)</f>
        <v/>
      </c>
    </row>
    <row r="324">
      <c r="A324" s="39" t="str">
        <f>IF(AND($L324*1&gt;=$G$3,$L324*1&lt;=$G$4,$I324*$J324&gt;0,OR($I324&lt;&gt;$I325,$L324-$L325&gt;25),$I324/POW(10,$J324)*MAXIFS(Token!$B:$B,Token!$A:$A,$K324)&gt;0.01),$L324/86400+DATE(1970,1,1)+$G$6,)</f>
        <v/>
      </c>
      <c r="B324" s="27" t="str">
        <f t="shared" si="1"/>
        <v/>
      </c>
      <c r="C324" s="14" t="str">
        <f>IF($A324&lt;&gt;"",MINIFS(Merchant!$A:$A,Merchant!$B:$B,$G$2),)</f>
        <v/>
      </c>
      <c r="D324" s="14" t="str">
        <f t="shared" si="2"/>
        <v/>
      </c>
      <c r="E324" s="14" t="str">
        <f t="shared" si="3"/>
        <v/>
      </c>
      <c r="F324" s="7" t="str">
        <f>IF($A324&lt;&gt;"",MAXIFS(Token!$B:$B,Token!$A:$A,$D324),)</f>
        <v/>
      </c>
    </row>
    <row r="325">
      <c r="A325" s="39" t="str">
        <f>IF(AND($L325*1&gt;=$G$3,$L325*1&lt;=$G$4,$I325*$J325&gt;0,OR($I325&lt;&gt;$I326,$L325-$L326&gt;25),$I325/POW(10,$J325)*MAXIFS(Token!$B:$B,Token!$A:$A,$K325)&gt;0.01),$L325/86400+DATE(1970,1,1)+$G$6,)</f>
        <v/>
      </c>
      <c r="B325" s="27" t="str">
        <f t="shared" si="1"/>
        <v/>
      </c>
      <c r="C325" s="14" t="str">
        <f>IF($A325&lt;&gt;"",MINIFS(Merchant!$A:$A,Merchant!$B:$B,$G$2),)</f>
        <v/>
      </c>
      <c r="D325" s="14" t="str">
        <f t="shared" si="2"/>
        <v/>
      </c>
      <c r="E325" s="14" t="str">
        <f t="shared" si="3"/>
        <v/>
      </c>
      <c r="F325" s="7" t="str">
        <f>IF($A325&lt;&gt;"",MAXIFS(Token!$B:$B,Token!$A:$A,$D325),)</f>
        <v/>
      </c>
    </row>
    <row r="326">
      <c r="A326" s="39" t="str">
        <f>IF(AND($L326*1&gt;=$G$3,$L326*1&lt;=$G$4,$I326*$J326&gt;0,OR($I326&lt;&gt;$I327,$L326-$L327&gt;25),$I326/POW(10,$J326)*MAXIFS(Token!$B:$B,Token!$A:$A,$K326)&gt;0.01),$L326/86400+DATE(1970,1,1)+$G$6,)</f>
        <v/>
      </c>
      <c r="B326" s="27" t="str">
        <f t="shared" si="1"/>
        <v/>
      </c>
      <c r="C326" s="14" t="str">
        <f>IF($A326&lt;&gt;"",MINIFS(Merchant!$A:$A,Merchant!$B:$B,$G$2),)</f>
        <v/>
      </c>
      <c r="D326" s="14" t="str">
        <f t="shared" si="2"/>
        <v/>
      </c>
      <c r="E326" s="14" t="str">
        <f t="shared" si="3"/>
        <v/>
      </c>
      <c r="F326" s="7" t="str">
        <f>IF($A326&lt;&gt;"",MAXIFS(Token!$B:$B,Token!$A:$A,$D326),)</f>
        <v/>
      </c>
    </row>
    <row r="327">
      <c r="A327" s="39" t="str">
        <f>IF(AND($L327*1&gt;=$G$3,$L327*1&lt;=$G$4,$I327*$J327&gt;0,OR($I327&lt;&gt;$I328,$L327-$L328&gt;25),$I327/POW(10,$J327)*MAXIFS(Token!$B:$B,Token!$A:$A,$K327)&gt;0.01),$L327/86400+DATE(1970,1,1)+$G$6,)</f>
        <v/>
      </c>
      <c r="B327" s="27" t="str">
        <f t="shared" si="1"/>
        <v/>
      </c>
      <c r="C327" s="14" t="str">
        <f>IF($A327&lt;&gt;"",MINIFS(Merchant!$A:$A,Merchant!$B:$B,$G$2),)</f>
        <v/>
      </c>
      <c r="D327" s="14" t="str">
        <f t="shared" si="2"/>
        <v/>
      </c>
      <c r="E327" s="14" t="str">
        <f t="shared" si="3"/>
        <v/>
      </c>
      <c r="F327" s="7" t="str">
        <f>IF($A327&lt;&gt;"",MAXIFS(Token!$B:$B,Token!$A:$A,$D327),)</f>
        <v/>
      </c>
    </row>
    <row r="328">
      <c r="A328" s="39" t="str">
        <f>IF(AND($L328*1&gt;=$G$3,$L328*1&lt;=$G$4,$I328*$J328&gt;0,OR($I328&lt;&gt;$I329,$L328-$L329&gt;25),$I328/POW(10,$J328)*MAXIFS(Token!$B:$B,Token!$A:$A,$K328)&gt;0.01),$L328/86400+DATE(1970,1,1)+$G$6,)</f>
        <v/>
      </c>
      <c r="B328" s="27" t="str">
        <f t="shared" si="1"/>
        <v/>
      </c>
      <c r="C328" s="14" t="str">
        <f>IF($A328&lt;&gt;"",MINIFS(Merchant!$A:$A,Merchant!$B:$B,$G$2),)</f>
        <v/>
      </c>
      <c r="D328" s="14" t="str">
        <f t="shared" si="2"/>
        <v/>
      </c>
      <c r="E328" s="14" t="str">
        <f t="shared" si="3"/>
        <v/>
      </c>
      <c r="F328" s="7" t="str">
        <f>IF($A328&lt;&gt;"",MAXIFS(Token!$B:$B,Token!$A:$A,$D328),)</f>
        <v/>
      </c>
    </row>
    <row r="329">
      <c r="A329" s="39" t="str">
        <f>IF(AND($L329*1&gt;=$G$3,$L329*1&lt;=$G$4,$I329*$J329&gt;0,OR($I329&lt;&gt;$I330,$L329-$L330&gt;25),$I329/POW(10,$J329)*MAXIFS(Token!$B:$B,Token!$A:$A,$K329)&gt;0.01),$L329/86400+DATE(1970,1,1)+$G$6,)</f>
        <v/>
      </c>
      <c r="B329" s="27" t="str">
        <f t="shared" si="1"/>
        <v/>
      </c>
      <c r="C329" s="14" t="str">
        <f>IF($A329&lt;&gt;"",MINIFS(Merchant!$A:$A,Merchant!$B:$B,$G$2),)</f>
        <v/>
      </c>
      <c r="D329" s="14" t="str">
        <f t="shared" si="2"/>
        <v/>
      </c>
      <c r="E329" s="14" t="str">
        <f t="shared" si="3"/>
        <v/>
      </c>
      <c r="F329" s="7" t="str">
        <f>IF($A329&lt;&gt;"",MAXIFS(Token!$B:$B,Token!$A:$A,$D329),)</f>
        <v/>
      </c>
    </row>
    <row r="330">
      <c r="A330" s="39" t="str">
        <f>IF(AND($L330*1&gt;=$G$3,$L330*1&lt;=$G$4,$I330*$J330&gt;0,OR($I330&lt;&gt;$I331,$L330-$L331&gt;25),$I330/POW(10,$J330)*MAXIFS(Token!$B:$B,Token!$A:$A,$K330)&gt;0.01),$L330/86400+DATE(1970,1,1)+$G$6,)</f>
        <v/>
      </c>
      <c r="B330" s="27" t="str">
        <f t="shared" si="1"/>
        <v/>
      </c>
      <c r="C330" s="14" t="str">
        <f>IF($A330&lt;&gt;"",MINIFS(Merchant!$A:$A,Merchant!$B:$B,$G$2),)</f>
        <v/>
      </c>
      <c r="D330" s="14" t="str">
        <f t="shared" si="2"/>
        <v/>
      </c>
      <c r="E330" s="14" t="str">
        <f t="shared" si="3"/>
        <v/>
      </c>
      <c r="F330" s="7" t="str">
        <f>IF($A330&lt;&gt;"",MAXIFS(Token!$B:$B,Token!$A:$A,$D330),)</f>
        <v/>
      </c>
    </row>
    <row r="331">
      <c r="A331" s="39" t="str">
        <f>IF(AND($L331*1&gt;=$G$3,$L331*1&lt;=$G$4,$I331*$J331&gt;0,OR($I331&lt;&gt;$I332,$L331-$L332&gt;25),$I331/POW(10,$J331)*MAXIFS(Token!$B:$B,Token!$A:$A,$K331)&gt;0.01),$L331/86400+DATE(1970,1,1)+$G$6,)</f>
        <v/>
      </c>
      <c r="B331" s="27" t="str">
        <f t="shared" si="1"/>
        <v/>
      </c>
      <c r="C331" s="14" t="str">
        <f>IF($A331&lt;&gt;"",MINIFS(Merchant!$A:$A,Merchant!$B:$B,$G$2),)</f>
        <v/>
      </c>
      <c r="D331" s="14" t="str">
        <f t="shared" si="2"/>
        <v/>
      </c>
      <c r="E331" s="14" t="str">
        <f t="shared" si="3"/>
        <v/>
      </c>
      <c r="F331" s="7" t="str">
        <f>IF($A331&lt;&gt;"",MAXIFS(Token!$B:$B,Token!$A:$A,$D331),)</f>
        <v/>
      </c>
    </row>
    <row r="332">
      <c r="A332" s="39" t="str">
        <f>IF(AND($L332*1&gt;=$G$3,$L332*1&lt;=$G$4,$I332*$J332&gt;0,OR($I332&lt;&gt;$I333,$L332-$L333&gt;25),$I332/POW(10,$J332)*MAXIFS(Token!$B:$B,Token!$A:$A,$K332)&gt;0.01),$L332/86400+DATE(1970,1,1)+$G$6,)</f>
        <v/>
      </c>
      <c r="B332" s="27" t="str">
        <f t="shared" si="1"/>
        <v/>
      </c>
      <c r="C332" s="14" t="str">
        <f>IF($A332&lt;&gt;"",MINIFS(Merchant!$A:$A,Merchant!$B:$B,$G$2),)</f>
        <v/>
      </c>
      <c r="D332" s="14" t="str">
        <f t="shared" si="2"/>
        <v/>
      </c>
      <c r="E332" s="14" t="str">
        <f t="shared" si="3"/>
        <v/>
      </c>
      <c r="F332" s="7" t="str">
        <f>IF($A332&lt;&gt;"",MAXIFS(Token!$B:$B,Token!$A:$A,$D332),)</f>
        <v/>
      </c>
    </row>
    <row r="333">
      <c r="A333" s="39" t="str">
        <f>IF(AND($L333*1&gt;=$G$3,$L333*1&lt;=$G$4,$I333*$J333&gt;0,OR($I333&lt;&gt;$I334,$L333-$L334&gt;25),$I333/POW(10,$J333)*MAXIFS(Token!$B:$B,Token!$A:$A,$K333)&gt;0.01),$L333/86400+DATE(1970,1,1)+$G$6,)</f>
        <v/>
      </c>
      <c r="B333" s="27" t="str">
        <f t="shared" si="1"/>
        <v/>
      </c>
      <c r="C333" s="14" t="str">
        <f>IF($A333&lt;&gt;"",MINIFS(Merchant!$A:$A,Merchant!$B:$B,$G$2),)</f>
        <v/>
      </c>
      <c r="D333" s="14" t="str">
        <f t="shared" si="2"/>
        <v/>
      </c>
      <c r="E333" s="14" t="str">
        <f t="shared" si="3"/>
        <v/>
      </c>
      <c r="F333" s="7" t="str">
        <f>IF($A333&lt;&gt;"",MAXIFS(Token!$B:$B,Token!$A:$A,$D333),)</f>
        <v/>
      </c>
    </row>
    <row r="334">
      <c r="A334" s="39" t="str">
        <f>IF(AND($L334*1&gt;=$G$3,$L334*1&lt;=$G$4,$I334*$J334&gt;0,OR($I334&lt;&gt;$I335,$L334-$L335&gt;25),$I334/POW(10,$J334)*MAXIFS(Token!$B:$B,Token!$A:$A,$K334)&gt;0.01),$L334/86400+DATE(1970,1,1)+$G$6,)</f>
        <v/>
      </c>
      <c r="B334" s="27" t="str">
        <f t="shared" si="1"/>
        <v/>
      </c>
      <c r="C334" s="14" t="str">
        <f>IF($A334&lt;&gt;"",MINIFS(Merchant!$A:$A,Merchant!$B:$B,$G$2),)</f>
        <v/>
      </c>
      <c r="D334" s="14" t="str">
        <f t="shared" si="2"/>
        <v/>
      </c>
      <c r="E334" s="14" t="str">
        <f t="shared" si="3"/>
        <v/>
      </c>
      <c r="F334" s="7" t="str">
        <f>IF($A334&lt;&gt;"",MAXIFS(Token!$B:$B,Token!$A:$A,$D334),)</f>
        <v/>
      </c>
    </row>
    <row r="335">
      <c r="A335" s="39" t="str">
        <f>IF(AND($L335*1&gt;=$G$3,$L335*1&lt;=$G$4,$I335*$J335&gt;0,OR($I335&lt;&gt;$I336,$L335-$L336&gt;25),$I335/POW(10,$J335)*MAXIFS(Token!$B:$B,Token!$A:$A,$K335)&gt;0.01),$L335/86400+DATE(1970,1,1)+$G$6,)</f>
        <v/>
      </c>
      <c r="B335" s="27" t="str">
        <f t="shared" si="1"/>
        <v/>
      </c>
      <c r="C335" s="14" t="str">
        <f>IF($A335&lt;&gt;"",MINIFS(Merchant!$A:$A,Merchant!$B:$B,$G$2),)</f>
        <v/>
      </c>
      <c r="D335" s="14" t="str">
        <f t="shared" si="2"/>
        <v/>
      </c>
      <c r="E335" s="14" t="str">
        <f t="shared" si="3"/>
        <v/>
      </c>
      <c r="F335" s="7" t="str">
        <f>IF($A335&lt;&gt;"",MAXIFS(Token!$B:$B,Token!$A:$A,$D335),)</f>
        <v/>
      </c>
    </row>
    <row r="336">
      <c r="A336" s="39" t="str">
        <f>IF(AND($L336*1&gt;=$G$3,$L336*1&lt;=$G$4,$I336*$J336&gt;0,OR($I336&lt;&gt;$I337,$L336-$L337&gt;25),$I336/POW(10,$J336)*MAXIFS(Token!$B:$B,Token!$A:$A,$K336)&gt;0.01),$L336/86400+DATE(1970,1,1)+$G$6,)</f>
        <v/>
      </c>
      <c r="B336" s="27" t="str">
        <f t="shared" si="1"/>
        <v/>
      </c>
      <c r="C336" s="14" t="str">
        <f>IF($A336&lt;&gt;"",MINIFS(Merchant!$A:$A,Merchant!$B:$B,$G$2),)</f>
        <v/>
      </c>
      <c r="D336" s="14" t="str">
        <f t="shared" si="2"/>
        <v/>
      </c>
      <c r="E336" s="14" t="str">
        <f t="shared" si="3"/>
        <v/>
      </c>
      <c r="F336" s="7" t="str">
        <f>IF($A336&lt;&gt;"",MAXIFS(Token!$B:$B,Token!$A:$A,$D336),)</f>
        <v/>
      </c>
    </row>
    <row r="337">
      <c r="A337" s="39" t="str">
        <f>IF(AND($L337*1&gt;=$G$3,$L337*1&lt;=$G$4,$I337*$J337&gt;0,OR($I337&lt;&gt;$I338,$L337-$L338&gt;25),$I337/POW(10,$J337)*MAXIFS(Token!$B:$B,Token!$A:$A,$K337)&gt;0.01),$L337/86400+DATE(1970,1,1)+$G$6,)</f>
        <v/>
      </c>
      <c r="B337" s="27" t="str">
        <f t="shared" si="1"/>
        <v/>
      </c>
      <c r="C337" s="14" t="str">
        <f>IF($A337&lt;&gt;"",MINIFS(Merchant!$A:$A,Merchant!$B:$B,$G$2),)</f>
        <v/>
      </c>
      <c r="D337" s="14" t="str">
        <f t="shared" si="2"/>
        <v/>
      </c>
      <c r="E337" s="14" t="str">
        <f t="shared" si="3"/>
        <v/>
      </c>
      <c r="F337" s="7" t="str">
        <f>IF($A337&lt;&gt;"",MAXIFS(Token!$B:$B,Token!$A:$A,$D337),)</f>
        <v/>
      </c>
    </row>
    <row r="338">
      <c r="A338" s="39" t="str">
        <f>IF(AND($L338*1&gt;=$G$3,$L338*1&lt;=$G$4,$I338*$J338&gt;0,OR($I338&lt;&gt;$I339,$L338-$L339&gt;25),$I338/POW(10,$J338)*MAXIFS(Token!$B:$B,Token!$A:$A,$K338)&gt;0.01),$L338/86400+DATE(1970,1,1)+$G$6,)</f>
        <v/>
      </c>
      <c r="B338" s="27" t="str">
        <f t="shared" si="1"/>
        <v/>
      </c>
      <c r="C338" s="14" t="str">
        <f>IF($A338&lt;&gt;"",MINIFS(Merchant!$A:$A,Merchant!$B:$B,$G$2),)</f>
        <v/>
      </c>
      <c r="D338" s="14" t="str">
        <f t="shared" si="2"/>
        <v/>
      </c>
      <c r="E338" s="14" t="str">
        <f t="shared" si="3"/>
        <v/>
      </c>
      <c r="F338" s="7" t="str">
        <f>IF($A338&lt;&gt;"",MAXIFS(Token!$B:$B,Token!$A:$A,$D338),)</f>
        <v/>
      </c>
    </row>
    <row r="339">
      <c r="A339" s="39" t="str">
        <f>IF(AND($L339*1&gt;=$G$3,$L339*1&lt;=$G$4,$I339*$J339&gt;0,OR($I339&lt;&gt;$I340,$L339-$L340&gt;25),$I339/POW(10,$J339)*MAXIFS(Token!$B:$B,Token!$A:$A,$K339)&gt;0.01),$L339/86400+DATE(1970,1,1)+$G$6,)</f>
        <v/>
      </c>
      <c r="B339" s="27" t="str">
        <f t="shared" si="1"/>
        <v/>
      </c>
      <c r="C339" s="14" t="str">
        <f>IF($A339&lt;&gt;"",MINIFS(Merchant!$A:$A,Merchant!$B:$B,$G$2),)</f>
        <v/>
      </c>
      <c r="D339" s="14" t="str">
        <f t="shared" si="2"/>
        <v/>
      </c>
      <c r="E339" s="14" t="str">
        <f t="shared" si="3"/>
        <v/>
      </c>
      <c r="F339" s="7" t="str">
        <f>IF($A339&lt;&gt;"",MAXIFS(Token!$B:$B,Token!$A:$A,$D339),)</f>
        <v/>
      </c>
    </row>
    <row r="340">
      <c r="A340" s="39" t="str">
        <f>IF(AND($L340*1&gt;=$G$3,$L340*1&lt;=$G$4,$I340*$J340&gt;0,OR($I340&lt;&gt;$I341,$L340-$L341&gt;25),$I340/POW(10,$J340)*MAXIFS(Token!$B:$B,Token!$A:$A,$K340)&gt;0.01),$L340/86400+DATE(1970,1,1)+$G$6,)</f>
        <v/>
      </c>
      <c r="B340" s="27" t="str">
        <f t="shared" si="1"/>
        <v/>
      </c>
      <c r="C340" s="14" t="str">
        <f>IF($A340&lt;&gt;"",MINIFS(Merchant!$A:$A,Merchant!$B:$B,$G$2),)</f>
        <v/>
      </c>
      <c r="D340" s="14" t="str">
        <f t="shared" si="2"/>
        <v/>
      </c>
      <c r="E340" s="14" t="str">
        <f t="shared" si="3"/>
        <v/>
      </c>
      <c r="F340" s="7" t="str">
        <f>IF($A340&lt;&gt;"",MAXIFS(Token!$B:$B,Token!$A:$A,$D340),)</f>
        <v/>
      </c>
    </row>
    <row r="341">
      <c r="A341" s="39" t="str">
        <f>IF(AND($L341*1&gt;=$G$3,$L341*1&lt;=$G$4,$I341*$J341&gt;0,OR($I341&lt;&gt;$I342,$L341-$L342&gt;25),$I341/POW(10,$J341)*MAXIFS(Token!$B:$B,Token!$A:$A,$K341)&gt;0.01),$L341/86400+DATE(1970,1,1)+$G$6,)</f>
        <v/>
      </c>
      <c r="B341" s="27" t="str">
        <f t="shared" si="1"/>
        <v/>
      </c>
      <c r="C341" s="14" t="str">
        <f>IF($A341&lt;&gt;"",MINIFS(Merchant!$A:$A,Merchant!$B:$B,$G$2),)</f>
        <v/>
      </c>
      <c r="D341" s="14" t="str">
        <f t="shared" si="2"/>
        <v/>
      </c>
      <c r="E341" s="14" t="str">
        <f t="shared" si="3"/>
        <v/>
      </c>
      <c r="F341" s="7" t="str">
        <f>IF($A341&lt;&gt;"",MAXIFS(Token!$B:$B,Token!$A:$A,$D341),)</f>
        <v/>
      </c>
    </row>
    <row r="342">
      <c r="A342" s="39" t="str">
        <f>IF(AND($L342*1&gt;=$G$3,$L342*1&lt;=$G$4,$I342*$J342&gt;0,OR($I342&lt;&gt;$I343,$L342-$L343&gt;25),$I342/POW(10,$J342)*MAXIFS(Token!$B:$B,Token!$A:$A,$K342)&gt;0.01),$L342/86400+DATE(1970,1,1)+$G$6,)</f>
        <v/>
      </c>
      <c r="B342" s="27" t="str">
        <f t="shared" si="1"/>
        <v/>
      </c>
      <c r="C342" s="14" t="str">
        <f>IF($A342&lt;&gt;"",MINIFS(Merchant!$A:$A,Merchant!$B:$B,$G$2),)</f>
        <v/>
      </c>
      <c r="D342" s="14" t="str">
        <f t="shared" si="2"/>
        <v/>
      </c>
      <c r="E342" s="14" t="str">
        <f t="shared" si="3"/>
        <v/>
      </c>
      <c r="F342" s="7" t="str">
        <f>IF($A342&lt;&gt;"",MAXIFS(Token!$B:$B,Token!$A:$A,$D342),)</f>
        <v/>
      </c>
    </row>
    <row r="343">
      <c r="A343" s="39" t="str">
        <f>IF(AND($L343*1&gt;=$G$3,$L343*1&lt;=$G$4,$I343*$J343&gt;0,OR($I343&lt;&gt;$I344,$L343-$L344&gt;25),$I343/POW(10,$J343)*MAXIFS(Token!$B:$B,Token!$A:$A,$K343)&gt;0.01),$L343/86400+DATE(1970,1,1)+$G$6,)</f>
        <v/>
      </c>
      <c r="B343" s="27" t="str">
        <f t="shared" si="1"/>
        <v/>
      </c>
      <c r="C343" s="14" t="str">
        <f>IF($A343&lt;&gt;"",MINIFS(Merchant!$A:$A,Merchant!$B:$B,$G$2),)</f>
        <v/>
      </c>
      <c r="D343" s="14" t="str">
        <f t="shared" si="2"/>
        <v/>
      </c>
      <c r="E343" s="14" t="str">
        <f t="shared" si="3"/>
        <v/>
      </c>
      <c r="F343" s="7" t="str">
        <f>IF($A343&lt;&gt;"",MAXIFS(Token!$B:$B,Token!$A:$A,$D343),)</f>
        <v/>
      </c>
    </row>
    <row r="344">
      <c r="A344" s="39" t="str">
        <f>IF(AND($L344*1&gt;=$G$3,$L344*1&lt;=$G$4,$I344*$J344&gt;0,OR($I344&lt;&gt;$I345,$L344-$L345&gt;25),$I344/POW(10,$J344)*MAXIFS(Token!$B:$B,Token!$A:$A,$K344)&gt;0.01),$L344/86400+DATE(1970,1,1)+$G$6,)</f>
        <v/>
      </c>
      <c r="B344" s="27" t="str">
        <f t="shared" si="1"/>
        <v/>
      </c>
      <c r="C344" s="14" t="str">
        <f>IF($A344&lt;&gt;"",MINIFS(Merchant!$A:$A,Merchant!$B:$B,$G$2),)</f>
        <v/>
      </c>
      <c r="D344" s="14" t="str">
        <f t="shared" si="2"/>
        <v/>
      </c>
      <c r="E344" s="14" t="str">
        <f t="shared" si="3"/>
        <v/>
      </c>
      <c r="F344" s="7" t="str">
        <f>IF($A344&lt;&gt;"",MAXIFS(Token!$B:$B,Token!$A:$A,$D344),)</f>
        <v/>
      </c>
    </row>
    <row r="345">
      <c r="A345" s="39" t="str">
        <f>IF(AND($L345*1&gt;=$G$3,$L345*1&lt;=$G$4,$I345*$J345&gt;0,OR($I345&lt;&gt;$I346,$L345-$L346&gt;25),$I345/POW(10,$J345)*MAXIFS(Token!$B:$B,Token!$A:$A,$K345)&gt;0.01),$L345/86400+DATE(1970,1,1)+$G$6,)</f>
        <v/>
      </c>
      <c r="B345" s="27" t="str">
        <f t="shared" si="1"/>
        <v/>
      </c>
      <c r="C345" s="14" t="str">
        <f>IF($A345&lt;&gt;"",MINIFS(Merchant!$A:$A,Merchant!$B:$B,$G$2),)</f>
        <v/>
      </c>
      <c r="D345" s="14" t="str">
        <f t="shared" si="2"/>
        <v/>
      </c>
      <c r="E345" s="14" t="str">
        <f t="shared" si="3"/>
        <v/>
      </c>
      <c r="F345" s="7" t="str">
        <f>IF($A345&lt;&gt;"",MAXIFS(Token!$B:$B,Token!$A:$A,$D345),)</f>
        <v/>
      </c>
    </row>
    <row r="346">
      <c r="A346" s="39" t="str">
        <f>IF(AND($L346*1&gt;=$G$3,$L346*1&lt;=$G$4,$I346*$J346&gt;0,OR($I346&lt;&gt;$I347,$L346-$L347&gt;25),$I346/POW(10,$J346)*MAXIFS(Token!$B:$B,Token!$A:$A,$K346)&gt;0.01),$L346/86400+DATE(1970,1,1)+$G$6,)</f>
        <v/>
      </c>
      <c r="B346" s="27" t="str">
        <f t="shared" si="1"/>
        <v/>
      </c>
      <c r="C346" s="14" t="str">
        <f>IF($A346&lt;&gt;"",MINIFS(Merchant!$A:$A,Merchant!$B:$B,$G$2),)</f>
        <v/>
      </c>
      <c r="D346" s="14" t="str">
        <f t="shared" si="2"/>
        <v/>
      </c>
      <c r="E346" s="14" t="str">
        <f t="shared" si="3"/>
        <v/>
      </c>
      <c r="F346" s="7" t="str">
        <f>IF($A346&lt;&gt;"",MAXIFS(Token!$B:$B,Token!$A:$A,$D346),)</f>
        <v/>
      </c>
    </row>
    <row r="347">
      <c r="A347" s="39" t="str">
        <f>IF(AND($L347*1&gt;=$G$3,$L347*1&lt;=$G$4,$I347*$J347&gt;0,OR($I347&lt;&gt;$I348,$L347-$L348&gt;25),$I347/POW(10,$J347)*MAXIFS(Token!$B:$B,Token!$A:$A,$K347)&gt;0.01),$L347/86400+DATE(1970,1,1)+$G$6,)</f>
        <v/>
      </c>
      <c r="B347" s="27" t="str">
        <f t="shared" si="1"/>
        <v/>
      </c>
      <c r="C347" s="14" t="str">
        <f>IF($A347&lt;&gt;"",MINIFS(Merchant!$A:$A,Merchant!$B:$B,$G$2),)</f>
        <v/>
      </c>
      <c r="D347" s="14" t="str">
        <f t="shared" si="2"/>
        <v/>
      </c>
      <c r="E347" s="14" t="str">
        <f t="shared" si="3"/>
        <v/>
      </c>
      <c r="F347" s="7" t="str">
        <f>IF($A347&lt;&gt;"",MAXIFS(Token!$B:$B,Token!$A:$A,$D347),)</f>
        <v/>
      </c>
    </row>
    <row r="348">
      <c r="A348" s="39" t="str">
        <f>IF(AND($L348*1&gt;=$G$3,$L348*1&lt;=$G$4,$I348*$J348&gt;0,OR($I348&lt;&gt;$I349,$L348-$L349&gt;25),$I348/POW(10,$J348)*MAXIFS(Token!$B:$B,Token!$A:$A,$K348)&gt;0.01),$L348/86400+DATE(1970,1,1)+$G$6,)</f>
        <v/>
      </c>
      <c r="B348" s="27" t="str">
        <f t="shared" si="1"/>
        <v/>
      </c>
      <c r="C348" s="14" t="str">
        <f>IF($A348&lt;&gt;"",MINIFS(Merchant!$A:$A,Merchant!$B:$B,$G$2),)</f>
        <v/>
      </c>
      <c r="D348" s="14" t="str">
        <f t="shared" si="2"/>
        <v/>
      </c>
      <c r="E348" s="14" t="str">
        <f t="shared" si="3"/>
        <v/>
      </c>
      <c r="F348" s="7" t="str">
        <f>IF($A348&lt;&gt;"",MAXIFS(Token!$B:$B,Token!$A:$A,$D348),)</f>
        <v/>
      </c>
    </row>
    <row r="349">
      <c r="A349" s="39" t="str">
        <f>IF(AND($L349*1&gt;=$G$3,$L349*1&lt;=$G$4,$I349*$J349&gt;0,OR($I349&lt;&gt;$I350,$L349-$L350&gt;25),$I349/POW(10,$J349)*MAXIFS(Token!$B:$B,Token!$A:$A,$K349)&gt;0.01),$L349/86400+DATE(1970,1,1)+$G$6,)</f>
        <v/>
      </c>
      <c r="B349" s="27" t="str">
        <f t="shared" si="1"/>
        <v/>
      </c>
      <c r="C349" s="14" t="str">
        <f>IF($A349&lt;&gt;"",MINIFS(Merchant!$A:$A,Merchant!$B:$B,$G$2),)</f>
        <v/>
      </c>
      <c r="D349" s="14" t="str">
        <f t="shared" si="2"/>
        <v/>
      </c>
      <c r="E349" s="14" t="str">
        <f t="shared" si="3"/>
        <v/>
      </c>
      <c r="F349" s="7" t="str">
        <f>IF($A349&lt;&gt;"",MAXIFS(Token!$B:$B,Token!$A:$A,$D349),)</f>
        <v/>
      </c>
    </row>
    <row r="350">
      <c r="A350" s="39" t="str">
        <f>IF(AND($L350*1&gt;=$G$3,$L350*1&lt;=$G$4,$I350*$J350&gt;0,OR($I350&lt;&gt;$I351,$L350-$L351&gt;25),$I350/POW(10,$J350)*MAXIFS(Token!$B:$B,Token!$A:$A,$K350)&gt;0.01),$L350/86400+DATE(1970,1,1)+$G$6,)</f>
        <v/>
      </c>
      <c r="B350" s="27" t="str">
        <f t="shared" si="1"/>
        <v/>
      </c>
      <c r="C350" s="14" t="str">
        <f>IF($A350&lt;&gt;"",MINIFS(Merchant!$A:$A,Merchant!$B:$B,$G$2),)</f>
        <v/>
      </c>
      <c r="D350" s="14" t="str">
        <f t="shared" si="2"/>
        <v/>
      </c>
      <c r="E350" s="14" t="str">
        <f t="shared" si="3"/>
        <v/>
      </c>
      <c r="F350" s="7" t="str">
        <f>IF($A350&lt;&gt;"",MAXIFS(Token!$B:$B,Token!$A:$A,$D350),)</f>
        <v/>
      </c>
    </row>
    <row r="351">
      <c r="A351" s="39" t="str">
        <f>IF(AND($L351*1&gt;=$G$3,$L351*1&lt;=$G$4,$I351*$J351&gt;0,OR($I351&lt;&gt;$I352,$L351-$L352&gt;25),$I351/POW(10,$J351)*MAXIFS(Token!$B:$B,Token!$A:$A,$K351)&gt;0.01),$L351/86400+DATE(1970,1,1)+$G$6,)</f>
        <v/>
      </c>
      <c r="B351" s="27" t="str">
        <f t="shared" si="1"/>
        <v/>
      </c>
      <c r="C351" s="14" t="str">
        <f>IF($A351&lt;&gt;"",MINIFS(Merchant!$A:$A,Merchant!$B:$B,$G$2),)</f>
        <v/>
      </c>
      <c r="D351" s="14" t="str">
        <f t="shared" si="2"/>
        <v/>
      </c>
      <c r="E351" s="14" t="str">
        <f t="shared" si="3"/>
        <v/>
      </c>
      <c r="F351" s="7" t="str">
        <f>IF($A351&lt;&gt;"",MAXIFS(Token!$B:$B,Token!$A:$A,$D351),)</f>
        <v/>
      </c>
    </row>
    <row r="352">
      <c r="A352" s="39" t="str">
        <f>IF(AND($L352*1&gt;=$G$3,$L352*1&lt;=$G$4,$I352*$J352&gt;0,OR($I352&lt;&gt;$I353,$L352-$L353&gt;25),$I352/POW(10,$J352)*MAXIFS(Token!$B:$B,Token!$A:$A,$K352)&gt;0.01),$L352/86400+DATE(1970,1,1)+$G$6,)</f>
        <v/>
      </c>
      <c r="B352" s="27" t="str">
        <f t="shared" si="1"/>
        <v/>
      </c>
      <c r="C352" s="14" t="str">
        <f>IF($A352&lt;&gt;"",MINIFS(Merchant!$A:$A,Merchant!$B:$B,$G$2),)</f>
        <v/>
      </c>
      <c r="D352" s="14" t="str">
        <f t="shared" si="2"/>
        <v/>
      </c>
      <c r="E352" s="14" t="str">
        <f t="shared" si="3"/>
        <v/>
      </c>
      <c r="F352" s="7" t="str">
        <f>IF($A352&lt;&gt;"",MAXIFS(Token!$B:$B,Token!$A:$A,$D352),)</f>
        <v/>
      </c>
    </row>
    <row r="353">
      <c r="A353" s="39" t="str">
        <f>IF(AND($L353*1&gt;=$G$3,$L353*1&lt;=$G$4,$I353*$J353&gt;0,OR($I353&lt;&gt;$I354,$L353-$L354&gt;25),$I353/POW(10,$J353)*MAXIFS(Token!$B:$B,Token!$A:$A,$K353)&gt;0.01),$L353/86400+DATE(1970,1,1)+$G$6,)</f>
        <v/>
      </c>
      <c r="B353" s="27" t="str">
        <f t="shared" si="1"/>
        <v/>
      </c>
      <c r="C353" s="14" t="str">
        <f>IF($A353&lt;&gt;"",MINIFS(Merchant!$A:$A,Merchant!$B:$B,$G$2),)</f>
        <v/>
      </c>
      <c r="D353" s="14" t="str">
        <f t="shared" si="2"/>
        <v/>
      </c>
      <c r="E353" s="14" t="str">
        <f t="shared" si="3"/>
        <v/>
      </c>
      <c r="F353" s="7" t="str">
        <f>IF($A353&lt;&gt;"",MAXIFS(Token!$B:$B,Token!$A:$A,$D353),)</f>
        <v/>
      </c>
    </row>
    <row r="354">
      <c r="A354" s="39" t="str">
        <f>IF(AND($L354*1&gt;=$G$3,$L354*1&lt;=$G$4,$I354*$J354&gt;0,OR($I354&lt;&gt;$I355,$L354-$L355&gt;25),$I354/POW(10,$J354)*MAXIFS(Token!$B:$B,Token!$A:$A,$K354)&gt;0.01),$L354/86400+DATE(1970,1,1)+$G$6,)</f>
        <v/>
      </c>
      <c r="B354" s="27" t="str">
        <f t="shared" si="1"/>
        <v/>
      </c>
      <c r="C354" s="14" t="str">
        <f>IF($A354&lt;&gt;"",MINIFS(Merchant!$A:$A,Merchant!$B:$B,$G$2),)</f>
        <v/>
      </c>
      <c r="D354" s="14" t="str">
        <f t="shared" si="2"/>
        <v/>
      </c>
      <c r="E354" s="14" t="str">
        <f t="shared" si="3"/>
        <v/>
      </c>
      <c r="F354" s="7" t="str">
        <f>IF($A354&lt;&gt;"",MAXIFS(Token!$B:$B,Token!$A:$A,$D354),)</f>
        <v/>
      </c>
    </row>
    <row r="355">
      <c r="A355" s="39" t="str">
        <f>IF(AND($L355*1&gt;=$G$3,$L355*1&lt;=$G$4,$I355*$J355&gt;0,OR($I355&lt;&gt;$I356,$L355-$L356&gt;25),$I355/POW(10,$J355)*MAXIFS(Token!$B:$B,Token!$A:$A,$K355)&gt;0.01),$L355/86400+DATE(1970,1,1)+$G$6,)</f>
        <v/>
      </c>
      <c r="B355" s="27" t="str">
        <f t="shared" si="1"/>
        <v/>
      </c>
      <c r="C355" s="14" t="str">
        <f>IF($A355&lt;&gt;"",MINIFS(Merchant!$A:$A,Merchant!$B:$B,$G$2),)</f>
        <v/>
      </c>
      <c r="D355" s="14" t="str">
        <f t="shared" si="2"/>
        <v/>
      </c>
      <c r="E355" s="14" t="str">
        <f t="shared" si="3"/>
        <v/>
      </c>
      <c r="F355" s="7" t="str">
        <f>IF($A355&lt;&gt;"",MAXIFS(Token!$B:$B,Token!$A:$A,$D355),)</f>
        <v/>
      </c>
    </row>
    <row r="356">
      <c r="A356" s="39" t="str">
        <f>IF(AND($L356*1&gt;=$G$3,$L356*1&lt;=$G$4,$I356*$J356&gt;0,OR($I356&lt;&gt;$I357,$L356-$L357&gt;25),$I356/POW(10,$J356)*MAXIFS(Token!$B:$B,Token!$A:$A,$K356)&gt;0.01),$L356/86400+DATE(1970,1,1)+$G$6,)</f>
        <v/>
      </c>
      <c r="B356" s="27" t="str">
        <f t="shared" si="1"/>
        <v/>
      </c>
      <c r="C356" s="14" t="str">
        <f>IF($A356&lt;&gt;"",MINIFS(Merchant!$A:$A,Merchant!$B:$B,$G$2),)</f>
        <v/>
      </c>
      <c r="D356" s="14" t="str">
        <f t="shared" si="2"/>
        <v/>
      </c>
      <c r="E356" s="14" t="str">
        <f t="shared" si="3"/>
        <v/>
      </c>
      <c r="F356" s="7" t="str">
        <f>IF($A356&lt;&gt;"",MAXIFS(Token!$B:$B,Token!$A:$A,$D356),)</f>
        <v/>
      </c>
    </row>
    <row r="357">
      <c r="A357" s="39" t="str">
        <f>IF(AND($L357*1&gt;=$G$3,$L357*1&lt;=$G$4,$I357*$J357&gt;0,OR($I357&lt;&gt;$I358,$L357-$L358&gt;25),$I357/POW(10,$J357)*MAXIFS(Token!$B:$B,Token!$A:$A,$K357)&gt;0.01),$L357/86400+DATE(1970,1,1)+$G$6,)</f>
        <v/>
      </c>
      <c r="B357" s="27" t="str">
        <f t="shared" si="1"/>
        <v/>
      </c>
      <c r="C357" s="14" t="str">
        <f>IF($A357&lt;&gt;"",MINIFS(Merchant!$A:$A,Merchant!$B:$B,$G$2),)</f>
        <v/>
      </c>
      <c r="D357" s="14" t="str">
        <f t="shared" si="2"/>
        <v/>
      </c>
      <c r="E357" s="14" t="str">
        <f t="shared" si="3"/>
        <v/>
      </c>
      <c r="F357" s="7" t="str">
        <f>IF($A357&lt;&gt;"",MAXIFS(Token!$B:$B,Token!$A:$A,$D357),)</f>
        <v/>
      </c>
    </row>
    <row r="358">
      <c r="A358" s="39" t="str">
        <f>IF(AND($L358*1&gt;=$G$3,$L358*1&lt;=$G$4,$I358*$J358&gt;0,OR($I358&lt;&gt;$I359,$L358-$L359&gt;25),$I358/POW(10,$J358)*MAXIFS(Token!$B:$B,Token!$A:$A,$K358)&gt;0.01),$L358/86400+DATE(1970,1,1)+$G$6,)</f>
        <v/>
      </c>
      <c r="B358" s="27" t="str">
        <f t="shared" si="1"/>
        <v/>
      </c>
      <c r="C358" s="14" t="str">
        <f>IF($A358&lt;&gt;"",MINIFS(Merchant!$A:$A,Merchant!$B:$B,$G$2),)</f>
        <v/>
      </c>
      <c r="D358" s="14" t="str">
        <f t="shared" si="2"/>
        <v/>
      </c>
      <c r="E358" s="14" t="str">
        <f t="shared" si="3"/>
        <v/>
      </c>
      <c r="F358" s="7" t="str">
        <f>IF($A358&lt;&gt;"",MAXIFS(Token!$B:$B,Token!$A:$A,$D358),)</f>
        <v/>
      </c>
    </row>
    <row r="359">
      <c r="A359" s="39" t="str">
        <f>IF(AND($L359*1&gt;=$G$3,$L359*1&lt;=$G$4,$I359*$J359&gt;0,OR($I359&lt;&gt;$I360,$L359-$L360&gt;25),$I359/POW(10,$J359)*MAXIFS(Token!$B:$B,Token!$A:$A,$K359)&gt;0.01),$L359/86400+DATE(1970,1,1)+$G$6,)</f>
        <v/>
      </c>
      <c r="B359" s="27" t="str">
        <f t="shared" si="1"/>
        <v/>
      </c>
      <c r="C359" s="14" t="str">
        <f>IF($A359&lt;&gt;"",MINIFS(Merchant!$A:$A,Merchant!$B:$B,$G$2),)</f>
        <v/>
      </c>
      <c r="D359" s="14" t="str">
        <f t="shared" si="2"/>
        <v/>
      </c>
      <c r="E359" s="14" t="str">
        <f t="shared" si="3"/>
        <v/>
      </c>
      <c r="F359" s="7" t="str">
        <f>IF($A359&lt;&gt;"",MAXIFS(Token!$B:$B,Token!$A:$A,$D359),)</f>
        <v/>
      </c>
    </row>
    <row r="360">
      <c r="A360" s="39" t="str">
        <f>IF(AND($L360*1&gt;=$G$3,$L360*1&lt;=$G$4,$I360*$J360&gt;0,OR($I360&lt;&gt;$I361,$L360-$L361&gt;25),$I360/POW(10,$J360)*MAXIFS(Token!$B:$B,Token!$A:$A,$K360)&gt;0.01),$L360/86400+DATE(1970,1,1)+$G$6,)</f>
        <v/>
      </c>
      <c r="B360" s="27" t="str">
        <f t="shared" si="1"/>
        <v/>
      </c>
      <c r="C360" s="14" t="str">
        <f>IF($A360&lt;&gt;"",MINIFS(Merchant!$A:$A,Merchant!$B:$B,$G$2),)</f>
        <v/>
      </c>
      <c r="D360" s="14" t="str">
        <f t="shared" si="2"/>
        <v/>
      </c>
      <c r="E360" s="14" t="str">
        <f t="shared" si="3"/>
        <v/>
      </c>
      <c r="F360" s="7" t="str">
        <f>IF($A360&lt;&gt;"",MAXIFS(Token!$B:$B,Token!$A:$A,$D360),)</f>
        <v/>
      </c>
    </row>
    <row r="361">
      <c r="A361" s="39" t="str">
        <f>IF(AND($L361*1&gt;=$G$3,$L361*1&lt;=$G$4,$I361*$J361&gt;0,OR($I361&lt;&gt;$I362,$L361-$L362&gt;25),$I361/POW(10,$J361)*MAXIFS(Token!$B:$B,Token!$A:$A,$K361)&gt;0.01),$L361/86400+DATE(1970,1,1)+$G$6,)</f>
        <v/>
      </c>
      <c r="B361" s="27" t="str">
        <f t="shared" si="1"/>
        <v/>
      </c>
      <c r="C361" s="14" t="str">
        <f>IF($A361&lt;&gt;"",MINIFS(Merchant!$A:$A,Merchant!$B:$B,$G$2),)</f>
        <v/>
      </c>
      <c r="D361" s="14" t="str">
        <f t="shared" si="2"/>
        <v/>
      </c>
      <c r="E361" s="14" t="str">
        <f t="shared" si="3"/>
        <v/>
      </c>
      <c r="F361" s="7" t="str">
        <f>IF($A361&lt;&gt;"",MAXIFS(Token!$B:$B,Token!$A:$A,$D361),)</f>
        <v/>
      </c>
    </row>
    <row r="362">
      <c r="A362" s="39" t="str">
        <f>IF(AND($L362*1&gt;=$G$3,$L362*1&lt;=$G$4,$I362*$J362&gt;0,OR($I362&lt;&gt;$I363,$L362-$L363&gt;25),$I362/POW(10,$J362)*MAXIFS(Token!$B:$B,Token!$A:$A,$K362)&gt;0.01),$L362/86400+DATE(1970,1,1)+$G$6,)</f>
        <v/>
      </c>
      <c r="B362" s="27" t="str">
        <f t="shared" si="1"/>
        <v/>
      </c>
      <c r="C362" s="14" t="str">
        <f>IF($A362&lt;&gt;"",MINIFS(Merchant!$A:$A,Merchant!$B:$B,$G$2),)</f>
        <v/>
      </c>
      <c r="D362" s="14" t="str">
        <f t="shared" si="2"/>
        <v/>
      </c>
      <c r="E362" s="14" t="str">
        <f t="shared" si="3"/>
        <v/>
      </c>
      <c r="F362" s="7" t="str">
        <f>IF($A362&lt;&gt;"",MAXIFS(Token!$B:$B,Token!$A:$A,$D362),)</f>
        <v/>
      </c>
    </row>
    <row r="363">
      <c r="A363" s="39" t="str">
        <f>IF(AND($L363*1&gt;=$G$3,$L363*1&lt;=$G$4,$I363*$J363&gt;0,OR($I363&lt;&gt;$I364,$L363-$L364&gt;25),$I363/POW(10,$J363)*MAXIFS(Token!$B:$B,Token!$A:$A,$K363)&gt;0.01),$L363/86400+DATE(1970,1,1)+$G$6,)</f>
        <v/>
      </c>
      <c r="B363" s="27" t="str">
        <f t="shared" si="1"/>
        <v/>
      </c>
      <c r="C363" s="14" t="str">
        <f>IF($A363&lt;&gt;"",MINIFS(Merchant!$A:$A,Merchant!$B:$B,$G$2),)</f>
        <v/>
      </c>
      <c r="D363" s="14" t="str">
        <f t="shared" si="2"/>
        <v/>
      </c>
      <c r="E363" s="14" t="str">
        <f t="shared" si="3"/>
        <v/>
      </c>
      <c r="F363" s="7" t="str">
        <f>IF($A363&lt;&gt;"",MAXIFS(Token!$B:$B,Token!$A:$A,$D363),)</f>
        <v/>
      </c>
    </row>
    <row r="364">
      <c r="A364" s="39" t="str">
        <f>IF(AND($L364*1&gt;=$G$3,$L364*1&lt;=$G$4,$I364*$J364&gt;0,OR($I364&lt;&gt;$I365,$L364-$L365&gt;25),$I364/POW(10,$J364)*MAXIFS(Token!$B:$B,Token!$A:$A,$K364)&gt;0.01),$L364/86400+DATE(1970,1,1)+$G$6,)</f>
        <v/>
      </c>
      <c r="B364" s="27" t="str">
        <f t="shared" si="1"/>
        <v/>
      </c>
      <c r="C364" s="14" t="str">
        <f>IF($A364&lt;&gt;"",MINIFS(Merchant!$A:$A,Merchant!$B:$B,$G$2),)</f>
        <v/>
      </c>
      <c r="D364" s="14" t="str">
        <f t="shared" si="2"/>
        <v/>
      </c>
      <c r="E364" s="14" t="str">
        <f t="shared" si="3"/>
        <v/>
      </c>
      <c r="F364" s="7" t="str">
        <f>IF($A364&lt;&gt;"",MAXIFS(Token!$B:$B,Token!$A:$A,$D364),)</f>
        <v/>
      </c>
    </row>
    <row r="365">
      <c r="A365" s="39" t="str">
        <f>IF(AND($L365*1&gt;=$G$3,$L365*1&lt;=$G$4,$I365*$J365&gt;0,OR($I365&lt;&gt;$I366,$L365-$L366&gt;25),$I365/POW(10,$J365)*MAXIFS(Token!$B:$B,Token!$A:$A,$K365)&gt;0.01),$L365/86400+DATE(1970,1,1)+$G$6,)</f>
        <v/>
      </c>
      <c r="B365" s="27" t="str">
        <f t="shared" si="1"/>
        <v/>
      </c>
      <c r="C365" s="14" t="str">
        <f>IF($A365&lt;&gt;"",MINIFS(Merchant!$A:$A,Merchant!$B:$B,$G$2),)</f>
        <v/>
      </c>
      <c r="D365" s="14" t="str">
        <f t="shared" si="2"/>
        <v/>
      </c>
      <c r="E365" s="14" t="str">
        <f t="shared" si="3"/>
        <v/>
      </c>
      <c r="F365" s="7" t="str">
        <f>IF($A365&lt;&gt;"",MAXIFS(Token!$B:$B,Token!$A:$A,$D365),)</f>
        <v/>
      </c>
    </row>
    <row r="366">
      <c r="A366" s="39" t="str">
        <f>IF(AND($L366*1&gt;=$G$3,$L366*1&lt;=$G$4,$I366*$J366&gt;0,OR($I366&lt;&gt;$I367,$L366-$L367&gt;25),$I366/POW(10,$J366)*MAXIFS(Token!$B:$B,Token!$A:$A,$K366)&gt;0.01),$L366/86400+DATE(1970,1,1)+$G$6,)</f>
        <v/>
      </c>
      <c r="B366" s="27" t="str">
        <f t="shared" si="1"/>
        <v/>
      </c>
      <c r="C366" s="14" t="str">
        <f>IF($A366&lt;&gt;"",MINIFS(Merchant!$A:$A,Merchant!$B:$B,$G$2),)</f>
        <v/>
      </c>
      <c r="D366" s="14" t="str">
        <f t="shared" si="2"/>
        <v/>
      </c>
      <c r="E366" s="14" t="str">
        <f t="shared" si="3"/>
        <v/>
      </c>
      <c r="F366" s="7" t="str">
        <f>IF($A366&lt;&gt;"",MAXIFS(Token!$B:$B,Token!$A:$A,$D366),)</f>
        <v/>
      </c>
    </row>
    <row r="367">
      <c r="A367" s="39" t="str">
        <f>IF(AND($L367*1&gt;=$G$3,$L367*1&lt;=$G$4,$I367*$J367&gt;0,OR($I367&lt;&gt;$I368,$L367-$L368&gt;25),$I367/POW(10,$J367)*MAXIFS(Token!$B:$B,Token!$A:$A,$K367)&gt;0.01),$L367/86400+DATE(1970,1,1)+$G$6,)</f>
        <v/>
      </c>
      <c r="B367" s="27" t="str">
        <f t="shared" si="1"/>
        <v/>
      </c>
      <c r="C367" s="14" t="str">
        <f>IF($A367&lt;&gt;"",MINIFS(Merchant!$A:$A,Merchant!$B:$B,$G$2),)</f>
        <v/>
      </c>
      <c r="D367" s="14" t="str">
        <f t="shared" si="2"/>
        <v/>
      </c>
      <c r="E367" s="14" t="str">
        <f t="shared" si="3"/>
        <v/>
      </c>
      <c r="F367" s="7" t="str">
        <f>IF($A367&lt;&gt;"",MAXIFS(Token!$B:$B,Token!$A:$A,$D367),)</f>
        <v/>
      </c>
    </row>
    <row r="368">
      <c r="A368" s="39" t="str">
        <f>IF(AND($L368*1&gt;=$G$3,$L368*1&lt;=$G$4,$I368*$J368&gt;0,OR($I368&lt;&gt;$I369,$L368-$L369&gt;25),$I368/POW(10,$J368)*MAXIFS(Token!$B:$B,Token!$A:$A,$K368)&gt;0.01),$L368/86400+DATE(1970,1,1)+$G$6,)</f>
        <v/>
      </c>
      <c r="B368" s="27" t="str">
        <f t="shared" si="1"/>
        <v/>
      </c>
      <c r="C368" s="14" t="str">
        <f>IF($A368&lt;&gt;"",MINIFS(Merchant!$A:$A,Merchant!$B:$B,$G$2),)</f>
        <v/>
      </c>
      <c r="D368" s="14" t="str">
        <f t="shared" si="2"/>
        <v/>
      </c>
      <c r="E368" s="14" t="str">
        <f t="shared" si="3"/>
        <v/>
      </c>
      <c r="F368" s="7" t="str">
        <f>IF($A368&lt;&gt;"",MAXIFS(Token!$B:$B,Token!$A:$A,$D368),)</f>
        <v/>
      </c>
    </row>
    <row r="369">
      <c r="A369" s="39" t="str">
        <f>IF(AND($L369*1&gt;=$G$3,$L369*1&lt;=$G$4,$I369*$J369&gt;0,OR($I369&lt;&gt;$I370,$L369-$L370&gt;25),$I369/POW(10,$J369)*MAXIFS(Token!$B:$B,Token!$A:$A,$K369)&gt;0.01),$L369/86400+DATE(1970,1,1)+$G$6,)</f>
        <v/>
      </c>
      <c r="B369" s="27" t="str">
        <f t="shared" si="1"/>
        <v/>
      </c>
      <c r="C369" s="14" t="str">
        <f>IF($A369&lt;&gt;"",MINIFS(Merchant!$A:$A,Merchant!$B:$B,$G$2),)</f>
        <v/>
      </c>
      <c r="D369" s="14" t="str">
        <f t="shared" si="2"/>
        <v/>
      </c>
      <c r="E369" s="14" t="str">
        <f t="shared" si="3"/>
        <v/>
      </c>
      <c r="F369" s="7" t="str">
        <f>IF($A369&lt;&gt;"",MAXIFS(Token!$B:$B,Token!$A:$A,$D369),)</f>
        <v/>
      </c>
    </row>
    <row r="370">
      <c r="A370" s="39" t="str">
        <f>IF(AND($L370*1&gt;=$G$3,$L370*1&lt;=$G$4,$I370*$J370&gt;0,OR($I370&lt;&gt;$I371,$L370-$L371&gt;25),$I370/POW(10,$J370)*MAXIFS(Token!$B:$B,Token!$A:$A,$K370)&gt;0.01),$L370/86400+DATE(1970,1,1)+$G$6,)</f>
        <v/>
      </c>
      <c r="B370" s="27" t="str">
        <f t="shared" si="1"/>
        <v/>
      </c>
      <c r="C370" s="14" t="str">
        <f>IF($A370&lt;&gt;"",MINIFS(Merchant!$A:$A,Merchant!$B:$B,$G$2),)</f>
        <v/>
      </c>
      <c r="D370" s="14" t="str">
        <f t="shared" si="2"/>
        <v/>
      </c>
      <c r="E370" s="14" t="str">
        <f t="shared" si="3"/>
        <v/>
      </c>
      <c r="F370" s="7" t="str">
        <f>IF($A370&lt;&gt;"",MAXIFS(Token!$B:$B,Token!$A:$A,$D370),)</f>
        <v/>
      </c>
    </row>
    <row r="371">
      <c r="A371" s="39" t="str">
        <f>IF(AND($L371*1&gt;=$G$3,$L371*1&lt;=$G$4,$I371*$J371&gt;0,OR($I371&lt;&gt;$I372,$L371-$L372&gt;25),$I371/POW(10,$J371)*MAXIFS(Token!$B:$B,Token!$A:$A,$K371)&gt;0.01),$L371/86400+DATE(1970,1,1)+$G$6,)</f>
        <v/>
      </c>
      <c r="B371" s="27" t="str">
        <f t="shared" si="1"/>
        <v/>
      </c>
      <c r="C371" s="14" t="str">
        <f>IF($A371&lt;&gt;"",MINIFS(Merchant!$A:$A,Merchant!$B:$B,$G$2),)</f>
        <v/>
      </c>
      <c r="D371" s="14" t="str">
        <f t="shared" si="2"/>
        <v/>
      </c>
      <c r="E371" s="14" t="str">
        <f t="shared" si="3"/>
        <v/>
      </c>
      <c r="F371" s="7" t="str">
        <f>IF($A371&lt;&gt;"",MAXIFS(Token!$B:$B,Token!$A:$A,$D371),)</f>
        <v/>
      </c>
    </row>
    <row r="372">
      <c r="A372" s="39" t="str">
        <f>IF(AND($L372*1&gt;=$G$3,$L372*1&lt;=$G$4,$I372*$J372&gt;0,OR($I372&lt;&gt;$I373,$L372-$L373&gt;25),$I372/POW(10,$J372)*MAXIFS(Token!$B:$B,Token!$A:$A,$K372)&gt;0.01),$L372/86400+DATE(1970,1,1)+$G$6,)</f>
        <v/>
      </c>
      <c r="B372" s="27" t="str">
        <f t="shared" si="1"/>
        <v/>
      </c>
      <c r="C372" s="14" t="str">
        <f>IF($A372&lt;&gt;"",MINIFS(Merchant!$A:$A,Merchant!$B:$B,$G$2),)</f>
        <v/>
      </c>
      <c r="D372" s="14" t="str">
        <f t="shared" si="2"/>
        <v/>
      </c>
      <c r="E372" s="14" t="str">
        <f t="shared" si="3"/>
        <v/>
      </c>
      <c r="F372" s="7" t="str">
        <f>IF($A372&lt;&gt;"",MAXIFS(Token!$B:$B,Token!$A:$A,$D372),)</f>
        <v/>
      </c>
    </row>
    <row r="373">
      <c r="A373" s="39" t="str">
        <f>IF(AND($L373*1&gt;=$G$3,$L373*1&lt;=$G$4,$I373*$J373&gt;0,OR($I373&lt;&gt;$I374,$L373-$L374&gt;25),$I373/POW(10,$J373)*MAXIFS(Token!$B:$B,Token!$A:$A,$K373)&gt;0.01),$L373/86400+DATE(1970,1,1)+$G$6,)</f>
        <v/>
      </c>
      <c r="B373" s="27" t="str">
        <f t="shared" si="1"/>
        <v/>
      </c>
      <c r="C373" s="14" t="str">
        <f>IF($A373&lt;&gt;"",MINIFS(Merchant!$A:$A,Merchant!$B:$B,$G$2),)</f>
        <v/>
      </c>
      <c r="D373" s="14" t="str">
        <f t="shared" si="2"/>
        <v/>
      </c>
      <c r="E373" s="14" t="str">
        <f t="shared" si="3"/>
        <v/>
      </c>
      <c r="F373" s="7" t="str">
        <f>IF($A373&lt;&gt;"",MAXIFS(Token!$B:$B,Token!$A:$A,$D373),)</f>
        <v/>
      </c>
    </row>
    <row r="374">
      <c r="A374" s="39" t="str">
        <f>IF(AND($L374*1&gt;=$G$3,$L374*1&lt;=$G$4,$I374*$J374&gt;0,OR($I374&lt;&gt;$I375,$L374-$L375&gt;25),$I374/POW(10,$J374)*MAXIFS(Token!$B:$B,Token!$A:$A,$K374)&gt;0.01),$L374/86400+DATE(1970,1,1)+$G$6,)</f>
        <v/>
      </c>
      <c r="B374" s="27" t="str">
        <f t="shared" si="1"/>
        <v/>
      </c>
      <c r="C374" s="14" t="str">
        <f>IF($A374&lt;&gt;"",MINIFS(Merchant!$A:$A,Merchant!$B:$B,$G$2),)</f>
        <v/>
      </c>
      <c r="D374" s="14" t="str">
        <f t="shared" si="2"/>
        <v/>
      </c>
      <c r="E374" s="14" t="str">
        <f t="shared" si="3"/>
        <v/>
      </c>
      <c r="F374" s="7" t="str">
        <f>IF($A374&lt;&gt;"",MAXIFS(Token!$B:$B,Token!$A:$A,$D374),)</f>
        <v/>
      </c>
    </row>
    <row r="375">
      <c r="A375" s="39" t="str">
        <f>IF(AND($L375*1&gt;=$G$3,$L375*1&lt;=$G$4,$I375*$J375&gt;0,OR($I375&lt;&gt;$I376,$L375-$L376&gt;25),$I375/POW(10,$J375)*MAXIFS(Token!$B:$B,Token!$A:$A,$K375)&gt;0.01),$L375/86400+DATE(1970,1,1)+$G$6,)</f>
        <v/>
      </c>
      <c r="B375" s="27" t="str">
        <f t="shared" si="1"/>
        <v/>
      </c>
      <c r="C375" s="14" t="str">
        <f>IF($A375&lt;&gt;"",MINIFS(Merchant!$A:$A,Merchant!$B:$B,$G$2),)</f>
        <v/>
      </c>
      <c r="D375" s="14" t="str">
        <f t="shared" si="2"/>
        <v/>
      </c>
      <c r="E375" s="14" t="str">
        <f t="shared" si="3"/>
        <v/>
      </c>
      <c r="F375" s="7" t="str">
        <f>IF($A375&lt;&gt;"",MAXIFS(Token!$B:$B,Token!$A:$A,$D375),)</f>
        <v/>
      </c>
    </row>
    <row r="376">
      <c r="A376" s="39" t="str">
        <f>IF(AND($L376*1&gt;=$G$3,$L376*1&lt;=$G$4,$I376*$J376&gt;0,OR($I376&lt;&gt;$I377,$L376-$L377&gt;25),$I376/POW(10,$J376)*MAXIFS(Token!$B:$B,Token!$A:$A,$K376)&gt;0.01),$L376/86400+DATE(1970,1,1)+$G$6,)</f>
        <v/>
      </c>
      <c r="B376" s="27" t="str">
        <f t="shared" si="1"/>
        <v/>
      </c>
      <c r="C376" s="14" t="str">
        <f>IF($A376&lt;&gt;"",MINIFS(Merchant!$A:$A,Merchant!$B:$B,$G$2),)</f>
        <v/>
      </c>
      <c r="D376" s="14" t="str">
        <f t="shared" si="2"/>
        <v/>
      </c>
      <c r="E376" s="14" t="str">
        <f t="shared" si="3"/>
        <v/>
      </c>
      <c r="F376" s="7" t="str">
        <f>IF($A376&lt;&gt;"",MAXIFS(Token!$B:$B,Token!$A:$A,$D376),)</f>
        <v/>
      </c>
    </row>
    <row r="377">
      <c r="A377" s="39" t="str">
        <f>IF(AND($L377*1&gt;=$G$3,$L377*1&lt;=$G$4,$I377*$J377&gt;0,OR($I377&lt;&gt;$I378,$L377-$L378&gt;25),$I377/POW(10,$J377)*MAXIFS(Token!$B:$B,Token!$A:$A,$K377)&gt;0.01),$L377/86400+DATE(1970,1,1)+$G$6,)</f>
        <v/>
      </c>
      <c r="B377" s="27" t="str">
        <f t="shared" si="1"/>
        <v/>
      </c>
      <c r="C377" s="14" t="str">
        <f>IF($A377&lt;&gt;"",MINIFS(Merchant!$A:$A,Merchant!$B:$B,$G$2),)</f>
        <v/>
      </c>
      <c r="D377" s="14" t="str">
        <f t="shared" si="2"/>
        <v/>
      </c>
      <c r="E377" s="14" t="str">
        <f t="shared" si="3"/>
        <v/>
      </c>
      <c r="F377" s="7" t="str">
        <f>IF($A377&lt;&gt;"",MAXIFS(Token!$B:$B,Token!$A:$A,$D377),)</f>
        <v/>
      </c>
    </row>
    <row r="378">
      <c r="A378" s="39" t="str">
        <f>IF(AND($L378*1&gt;=$G$3,$L378*1&lt;=$G$4,$I378*$J378&gt;0,OR($I378&lt;&gt;$I379,$L378-$L379&gt;25),$I378/POW(10,$J378)*MAXIFS(Token!$B:$B,Token!$A:$A,$K378)&gt;0.01),$L378/86400+DATE(1970,1,1)+$G$6,)</f>
        <v/>
      </c>
      <c r="B378" s="27" t="str">
        <f t="shared" si="1"/>
        <v/>
      </c>
      <c r="C378" s="14" t="str">
        <f>IF($A378&lt;&gt;"",MINIFS(Merchant!$A:$A,Merchant!$B:$B,$G$2),)</f>
        <v/>
      </c>
      <c r="D378" s="14" t="str">
        <f t="shared" si="2"/>
        <v/>
      </c>
      <c r="E378" s="14" t="str">
        <f t="shared" si="3"/>
        <v/>
      </c>
      <c r="F378" s="7" t="str">
        <f>IF($A378&lt;&gt;"",MAXIFS(Token!$B:$B,Token!$A:$A,$D378),)</f>
        <v/>
      </c>
    </row>
    <row r="379">
      <c r="A379" s="39" t="str">
        <f>IF(AND($L379*1&gt;=$G$3,$L379*1&lt;=$G$4,$I379*$J379&gt;0,OR($I379&lt;&gt;$I380,$L379-$L380&gt;25),$I379/POW(10,$J379)*MAXIFS(Token!$B:$B,Token!$A:$A,$K379)&gt;0.01),$L379/86400+DATE(1970,1,1)+$G$6,)</f>
        <v/>
      </c>
      <c r="B379" s="27" t="str">
        <f t="shared" si="1"/>
        <v/>
      </c>
      <c r="C379" s="14" t="str">
        <f>IF($A379&lt;&gt;"",MINIFS(Merchant!$A:$A,Merchant!$B:$B,$G$2),)</f>
        <v/>
      </c>
      <c r="D379" s="14" t="str">
        <f t="shared" si="2"/>
        <v/>
      </c>
      <c r="E379" s="14" t="str">
        <f t="shared" si="3"/>
        <v/>
      </c>
      <c r="F379" s="7" t="str">
        <f>IF($A379&lt;&gt;"",MAXIFS(Token!$B:$B,Token!$A:$A,$D379),)</f>
        <v/>
      </c>
    </row>
    <row r="380">
      <c r="A380" s="39" t="str">
        <f>IF(AND($L380*1&gt;=$G$3,$L380*1&lt;=$G$4,$I380*$J380&gt;0,OR($I380&lt;&gt;$I381,$L380-$L381&gt;25),$I380/POW(10,$J380)*MAXIFS(Token!$B:$B,Token!$A:$A,$K380)&gt;0.01),$L380/86400+DATE(1970,1,1)+$G$6,)</f>
        <v/>
      </c>
      <c r="B380" s="27" t="str">
        <f t="shared" si="1"/>
        <v/>
      </c>
      <c r="C380" s="14" t="str">
        <f>IF($A380&lt;&gt;"",MINIFS(Merchant!$A:$A,Merchant!$B:$B,$G$2),)</f>
        <v/>
      </c>
      <c r="D380" s="14" t="str">
        <f t="shared" si="2"/>
        <v/>
      </c>
      <c r="E380" s="14" t="str">
        <f t="shared" si="3"/>
        <v/>
      </c>
      <c r="F380" s="7" t="str">
        <f>IF($A380&lt;&gt;"",MAXIFS(Token!$B:$B,Token!$A:$A,$D380),)</f>
        <v/>
      </c>
    </row>
    <row r="381">
      <c r="A381" s="39" t="str">
        <f>IF(AND($L381*1&gt;=$G$3,$L381*1&lt;=$G$4,$I381*$J381&gt;0,OR($I381&lt;&gt;$I382,$L381-$L382&gt;25),$I381/POW(10,$J381)*MAXIFS(Token!$B:$B,Token!$A:$A,$K381)&gt;0.01),$L381/86400+DATE(1970,1,1)+$G$6,)</f>
        <v/>
      </c>
      <c r="B381" s="27" t="str">
        <f t="shared" si="1"/>
        <v/>
      </c>
      <c r="C381" s="14" t="str">
        <f>IF($A381&lt;&gt;"",MINIFS(Merchant!$A:$A,Merchant!$B:$B,$G$2),)</f>
        <v/>
      </c>
      <c r="D381" s="14" t="str">
        <f t="shared" si="2"/>
        <v/>
      </c>
      <c r="E381" s="14" t="str">
        <f t="shared" si="3"/>
        <v/>
      </c>
      <c r="F381" s="7" t="str">
        <f>IF($A381&lt;&gt;"",MAXIFS(Token!$B:$B,Token!$A:$A,$D381),)</f>
        <v/>
      </c>
    </row>
    <row r="382">
      <c r="A382" s="39" t="str">
        <f>IF(AND($L382*1&gt;=$G$3,$L382*1&lt;=$G$4,$I382*$J382&gt;0,OR($I382&lt;&gt;$I383,$L382-$L383&gt;25),$I382/POW(10,$J382)*MAXIFS(Token!$B:$B,Token!$A:$A,$K382)&gt;0.01),$L382/86400+DATE(1970,1,1)+$G$6,)</f>
        <v/>
      </c>
      <c r="B382" s="27" t="str">
        <f t="shared" si="1"/>
        <v/>
      </c>
      <c r="C382" s="14" t="str">
        <f>IF($A382&lt;&gt;"",MINIFS(Merchant!$A:$A,Merchant!$B:$B,$G$2),)</f>
        <v/>
      </c>
      <c r="D382" s="14" t="str">
        <f t="shared" si="2"/>
        <v/>
      </c>
      <c r="E382" s="14" t="str">
        <f t="shared" si="3"/>
        <v/>
      </c>
      <c r="F382" s="7" t="str">
        <f>IF($A382&lt;&gt;"",MAXIFS(Token!$B:$B,Token!$A:$A,$D382),)</f>
        <v/>
      </c>
    </row>
    <row r="383">
      <c r="A383" s="39" t="str">
        <f>IF(AND($L383*1&gt;=$G$3,$L383*1&lt;=$G$4,$I383*$J383&gt;0,OR($I383&lt;&gt;$I384,$L383-$L384&gt;25),$I383/POW(10,$J383)*MAXIFS(Token!$B:$B,Token!$A:$A,$K383)&gt;0.01),$L383/86400+DATE(1970,1,1)+$G$6,)</f>
        <v/>
      </c>
      <c r="B383" s="27" t="str">
        <f t="shared" si="1"/>
        <v/>
      </c>
      <c r="C383" s="14" t="str">
        <f>IF($A383&lt;&gt;"",MINIFS(Merchant!$A:$A,Merchant!$B:$B,$G$2),)</f>
        <v/>
      </c>
      <c r="D383" s="14" t="str">
        <f t="shared" si="2"/>
        <v/>
      </c>
      <c r="E383" s="14" t="str">
        <f t="shared" si="3"/>
        <v/>
      </c>
      <c r="F383" s="7" t="str">
        <f>IF($A383&lt;&gt;"",MAXIFS(Token!$B:$B,Token!$A:$A,$D383),)</f>
        <v/>
      </c>
    </row>
    <row r="384">
      <c r="A384" s="39" t="str">
        <f>IF(AND($L384*1&gt;=$G$3,$L384*1&lt;=$G$4,$I384*$J384&gt;0,OR($I384&lt;&gt;$I385,$L384-$L385&gt;25),$I384/POW(10,$J384)*MAXIFS(Token!$B:$B,Token!$A:$A,$K384)&gt;0.01),$L384/86400+DATE(1970,1,1)+$G$6,)</f>
        <v/>
      </c>
      <c r="B384" s="27" t="str">
        <f t="shared" si="1"/>
        <v/>
      </c>
      <c r="C384" s="14" t="str">
        <f>IF($A384&lt;&gt;"",MINIFS(Merchant!$A:$A,Merchant!$B:$B,$G$2),)</f>
        <v/>
      </c>
      <c r="D384" s="14" t="str">
        <f t="shared" si="2"/>
        <v/>
      </c>
      <c r="E384" s="14" t="str">
        <f t="shared" si="3"/>
        <v/>
      </c>
      <c r="F384" s="7" t="str">
        <f>IF($A384&lt;&gt;"",MAXIFS(Token!$B:$B,Token!$A:$A,$D384),)</f>
        <v/>
      </c>
    </row>
    <row r="385">
      <c r="A385" s="39" t="str">
        <f>IF(AND($L385*1&gt;=$G$3,$L385*1&lt;=$G$4,$I385*$J385&gt;0,OR($I385&lt;&gt;$I386,$L385-$L386&gt;25),$I385/POW(10,$J385)*MAXIFS(Token!$B:$B,Token!$A:$A,$K385)&gt;0.01),$L385/86400+DATE(1970,1,1)+$G$6,)</f>
        <v/>
      </c>
      <c r="B385" s="27" t="str">
        <f t="shared" si="1"/>
        <v/>
      </c>
      <c r="C385" s="14" t="str">
        <f>IF($A385&lt;&gt;"",MINIFS(Merchant!$A:$A,Merchant!$B:$B,$G$2),)</f>
        <v/>
      </c>
      <c r="D385" s="14" t="str">
        <f t="shared" si="2"/>
        <v/>
      </c>
      <c r="E385" s="14" t="str">
        <f t="shared" si="3"/>
        <v/>
      </c>
      <c r="F385" s="7" t="str">
        <f>IF($A385&lt;&gt;"",MAXIFS(Token!$B:$B,Token!$A:$A,$D385),)</f>
        <v/>
      </c>
    </row>
    <row r="386">
      <c r="A386" s="39" t="str">
        <f>IF(AND($L386*1&gt;=$G$3,$L386*1&lt;=$G$4,$I386*$J386&gt;0,OR($I386&lt;&gt;$I387,$L386-$L387&gt;25),$I386/POW(10,$J386)*MAXIFS(Token!$B:$B,Token!$A:$A,$K386)&gt;0.01),$L386/86400+DATE(1970,1,1)+$G$6,)</f>
        <v/>
      </c>
      <c r="B386" s="27" t="str">
        <f t="shared" si="1"/>
        <v/>
      </c>
      <c r="C386" s="14" t="str">
        <f>IF($A386&lt;&gt;"",MINIFS(Merchant!$A:$A,Merchant!$B:$B,$G$2),)</f>
        <v/>
      </c>
      <c r="D386" s="14" t="str">
        <f t="shared" si="2"/>
        <v/>
      </c>
      <c r="E386" s="14" t="str">
        <f t="shared" si="3"/>
        <v/>
      </c>
      <c r="F386" s="7" t="str">
        <f>IF($A386&lt;&gt;"",MAXIFS(Token!$B:$B,Token!$A:$A,$D386),)</f>
        <v/>
      </c>
    </row>
    <row r="387">
      <c r="A387" s="39" t="str">
        <f>IF(AND($L387*1&gt;=$G$3,$L387*1&lt;=$G$4,$I387*$J387&gt;0,OR($I387&lt;&gt;$I388,$L387-$L388&gt;25),$I387/POW(10,$J387)*MAXIFS(Token!$B:$B,Token!$A:$A,$K387)&gt;0.01),$L387/86400+DATE(1970,1,1)+$G$6,)</f>
        <v/>
      </c>
      <c r="B387" s="27" t="str">
        <f t="shared" si="1"/>
        <v/>
      </c>
      <c r="C387" s="14" t="str">
        <f>IF($A387&lt;&gt;"",MINIFS(Merchant!$A:$A,Merchant!$B:$B,$G$2),)</f>
        <v/>
      </c>
      <c r="D387" s="14" t="str">
        <f t="shared" si="2"/>
        <v/>
      </c>
      <c r="E387" s="14" t="str">
        <f t="shared" si="3"/>
        <v/>
      </c>
      <c r="F387" s="7" t="str">
        <f>IF($A387&lt;&gt;"",MAXIFS(Token!$B:$B,Token!$A:$A,$D387),)</f>
        <v/>
      </c>
    </row>
    <row r="388">
      <c r="A388" s="39" t="str">
        <f>IF(AND($L388*1&gt;=$G$3,$L388*1&lt;=$G$4,$I388*$J388&gt;0,OR($I388&lt;&gt;$I389,$L388-$L389&gt;25),$I388/POW(10,$J388)*MAXIFS(Token!$B:$B,Token!$A:$A,$K388)&gt;0.01),$L388/86400+DATE(1970,1,1)+$G$6,)</f>
        <v/>
      </c>
      <c r="B388" s="27" t="str">
        <f t="shared" si="1"/>
        <v/>
      </c>
      <c r="C388" s="14" t="str">
        <f>IF($A388&lt;&gt;"",MINIFS(Merchant!$A:$A,Merchant!$B:$B,$G$2),)</f>
        <v/>
      </c>
      <c r="D388" s="14" t="str">
        <f t="shared" si="2"/>
        <v/>
      </c>
      <c r="E388" s="14" t="str">
        <f t="shared" si="3"/>
        <v/>
      </c>
      <c r="F388" s="7" t="str">
        <f>IF($A388&lt;&gt;"",MAXIFS(Token!$B:$B,Token!$A:$A,$D388),)</f>
        <v/>
      </c>
    </row>
    <row r="389">
      <c r="A389" s="39" t="str">
        <f>IF(AND($L389*1&gt;=$G$3,$L389*1&lt;=$G$4,$I389*$J389&gt;0,OR($I389&lt;&gt;$I390,$L389-$L390&gt;25),$I389/POW(10,$J389)*MAXIFS(Token!$B:$B,Token!$A:$A,$K389)&gt;0.01),$L389/86400+DATE(1970,1,1)+$G$6,)</f>
        <v/>
      </c>
      <c r="B389" s="27" t="str">
        <f t="shared" si="1"/>
        <v/>
      </c>
      <c r="C389" s="14" t="str">
        <f>IF($A389&lt;&gt;"",MINIFS(Merchant!$A:$A,Merchant!$B:$B,$G$2),)</f>
        <v/>
      </c>
      <c r="D389" s="14" t="str">
        <f t="shared" si="2"/>
        <v/>
      </c>
      <c r="E389" s="14" t="str">
        <f t="shared" si="3"/>
        <v/>
      </c>
      <c r="F389" s="7" t="str">
        <f>IF($A389&lt;&gt;"",MAXIFS(Token!$B:$B,Token!$A:$A,$D389),)</f>
        <v/>
      </c>
    </row>
    <row r="390">
      <c r="A390" s="39" t="str">
        <f>IF(AND($L390*1&gt;=$G$3,$L390*1&lt;=$G$4,$I390*$J390&gt;0,OR($I390&lt;&gt;$I391,$L390-$L391&gt;25),$I390/POW(10,$J390)*MAXIFS(Token!$B:$B,Token!$A:$A,$K390)&gt;0.01),$L390/86400+DATE(1970,1,1)+$G$6,)</f>
        <v/>
      </c>
      <c r="B390" s="27" t="str">
        <f t="shared" si="1"/>
        <v/>
      </c>
      <c r="C390" s="14" t="str">
        <f>IF($A390&lt;&gt;"",MINIFS(Merchant!$A:$A,Merchant!$B:$B,$G$2),)</f>
        <v/>
      </c>
      <c r="D390" s="14" t="str">
        <f t="shared" si="2"/>
        <v/>
      </c>
      <c r="E390" s="14" t="str">
        <f t="shared" si="3"/>
        <v/>
      </c>
      <c r="F390" s="7" t="str">
        <f>IF($A390&lt;&gt;"",MAXIFS(Token!$B:$B,Token!$A:$A,$D390),)</f>
        <v/>
      </c>
    </row>
    <row r="391">
      <c r="A391" s="39" t="str">
        <f>IF(AND($L391*1&gt;=$G$3,$L391*1&lt;=$G$4,$I391*$J391&gt;0,OR($I391&lt;&gt;$I392,$L391-$L392&gt;25),$I391/POW(10,$J391)*MAXIFS(Token!$B:$B,Token!$A:$A,$K391)&gt;0.01),$L391/86400+DATE(1970,1,1)+$G$6,)</f>
        <v/>
      </c>
      <c r="B391" s="27" t="str">
        <f t="shared" si="1"/>
        <v/>
      </c>
      <c r="C391" s="14" t="str">
        <f>IF($A391&lt;&gt;"",MINIFS(Merchant!$A:$A,Merchant!$B:$B,$G$2),)</f>
        <v/>
      </c>
      <c r="D391" s="14" t="str">
        <f t="shared" si="2"/>
        <v/>
      </c>
      <c r="E391" s="14" t="str">
        <f t="shared" si="3"/>
        <v/>
      </c>
      <c r="F391" s="7" t="str">
        <f>IF($A391&lt;&gt;"",MAXIFS(Token!$B:$B,Token!$A:$A,$D391),)</f>
        <v/>
      </c>
    </row>
    <row r="392">
      <c r="A392" s="39" t="str">
        <f>IF(AND($L392*1&gt;=$G$3,$L392*1&lt;=$G$4,$I392*$J392&gt;0,OR($I392&lt;&gt;$I393,$L392-$L393&gt;25),$I392/POW(10,$J392)*MAXIFS(Token!$B:$B,Token!$A:$A,$K392)&gt;0.01),$L392/86400+DATE(1970,1,1)+$G$6,)</f>
        <v/>
      </c>
      <c r="B392" s="27" t="str">
        <f t="shared" si="1"/>
        <v/>
      </c>
      <c r="C392" s="14" t="str">
        <f>IF($A392&lt;&gt;"",MINIFS(Merchant!$A:$A,Merchant!$B:$B,$G$2),)</f>
        <v/>
      </c>
      <c r="D392" s="14" t="str">
        <f t="shared" si="2"/>
        <v/>
      </c>
      <c r="E392" s="14" t="str">
        <f t="shared" si="3"/>
        <v/>
      </c>
      <c r="F392" s="7" t="str">
        <f>IF($A392&lt;&gt;"",MAXIFS(Token!$B:$B,Token!$A:$A,$D392),)</f>
        <v/>
      </c>
    </row>
    <row r="393">
      <c r="A393" s="39" t="str">
        <f>IF(AND($L393*1&gt;=$G$3,$L393*1&lt;=$G$4,$I393*$J393&gt;0,OR($I393&lt;&gt;$I394,$L393-$L394&gt;25),$I393/POW(10,$J393)*MAXIFS(Token!$B:$B,Token!$A:$A,$K393)&gt;0.01),$L393/86400+DATE(1970,1,1)+$G$6,)</f>
        <v/>
      </c>
      <c r="B393" s="27" t="str">
        <f t="shared" si="1"/>
        <v/>
      </c>
      <c r="C393" s="14" t="str">
        <f>IF($A393&lt;&gt;"",MINIFS(Merchant!$A:$A,Merchant!$B:$B,$G$2),)</f>
        <v/>
      </c>
      <c r="D393" s="14" t="str">
        <f t="shared" si="2"/>
        <v/>
      </c>
      <c r="E393" s="14" t="str">
        <f t="shared" si="3"/>
        <v/>
      </c>
      <c r="F393" s="7" t="str">
        <f>IF($A393&lt;&gt;"",MAXIFS(Token!$B:$B,Token!$A:$A,$D393),)</f>
        <v/>
      </c>
    </row>
    <row r="394">
      <c r="A394" s="39" t="str">
        <f>IF(AND($L394*1&gt;=$G$3,$L394*1&lt;=$G$4,$I394*$J394&gt;0,OR($I394&lt;&gt;$I395,$L394-$L395&gt;25),$I394/POW(10,$J394)*MAXIFS(Token!$B:$B,Token!$A:$A,$K394)&gt;0.01),$L394/86400+DATE(1970,1,1)+$G$6,)</f>
        <v/>
      </c>
      <c r="B394" s="27" t="str">
        <f t="shared" si="1"/>
        <v/>
      </c>
      <c r="C394" s="14" t="str">
        <f>IF($A394&lt;&gt;"",MINIFS(Merchant!$A:$A,Merchant!$B:$B,$G$2),)</f>
        <v/>
      </c>
      <c r="D394" s="14" t="str">
        <f t="shared" si="2"/>
        <v/>
      </c>
      <c r="E394" s="14" t="str">
        <f t="shared" si="3"/>
        <v/>
      </c>
      <c r="F394" s="7" t="str">
        <f>IF($A394&lt;&gt;"",MAXIFS(Token!$B:$B,Token!$A:$A,$D394),)</f>
        <v/>
      </c>
    </row>
    <row r="395">
      <c r="A395" s="39" t="str">
        <f>IF(AND($L395*1&gt;=$G$3,$L395*1&lt;=$G$4,$I395*$J395&gt;0,OR($I395&lt;&gt;$I396,$L395-$L396&gt;25),$I395/POW(10,$J395)*MAXIFS(Token!$B:$B,Token!$A:$A,$K395)&gt;0.01),$L395/86400+DATE(1970,1,1)+$G$6,)</f>
        <v/>
      </c>
      <c r="B395" s="27" t="str">
        <f t="shared" si="1"/>
        <v/>
      </c>
      <c r="C395" s="14" t="str">
        <f>IF($A395&lt;&gt;"",MINIFS(Merchant!$A:$A,Merchant!$B:$B,$G$2),)</f>
        <v/>
      </c>
      <c r="D395" s="14" t="str">
        <f t="shared" si="2"/>
        <v/>
      </c>
      <c r="E395" s="14" t="str">
        <f t="shared" si="3"/>
        <v/>
      </c>
      <c r="F395" s="7" t="str">
        <f>IF($A395&lt;&gt;"",MAXIFS(Token!$B:$B,Token!$A:$A,$D395),)</f>
        <v/>
      </c>
    </row>
    <row r="396">
      <c r="A396" s="39" t="str">
        <f>IF(AND($L396*1&gt;=$G$3,$L396*1&lt;=$G$4,$I396*$J396&gt;0,OR($I396&lt;&gt;$I397,$L396-$L397&gt;25),$I396/POW(10,$J396)*MAXIFS(Token!$B:$B,Token!$A:$A,$K396)&gt;0.01),$L396/86400+DATE(1970,1,1)+$G$6,)</f>
        <v/>
      </c>
      <c r="B396" s="27" t="str">
        <f t="shared" si="1"/>
        <v/>
      </c>
      <c r="C396" s="14" t="str">
        <f>IF($A396&lt;&gt;"",MINIFS(Merchant!$A:$A,Merchant!$B:$B,$G$2),)</f>
        <v/>
      </c>
      <c r="D396" s="14" t="str">
        <f t="shared" si="2"/>
        <v/>
      </c>
      <c r="E396" s="14" t="str">
        <f t="shared" si="3"/>
        <v/>
      </c>
      <c r="F396" s="7" t="str">
        <f>IF($A396&lt;&gt;"",MAXIFS(Token!$B:$B,Token!$A:$A,$D396),)</f>
        <v/>
      </c>
    </row>
    <row r="397">
      <c r="A397" s="39" t="str">
        <f>IF(AND($L397*1&gt;=$G$3,$L397*1&lt;=$G$4,$I397*$J397&gt;0,OR($I397&lt;&gt;$I398,$L397-$L398&gt;25),$I397/POW(10,$J397)*MAXIFS(Token!$B:$B,Token!$A:$A,$K397)&gt;0.01),$L397/86400+DATE(1970,1,1)+$G$6,)</f>
        <v/>
      </c>
      <c r="B397" s="27" t="str">
        <f t="shared" si="1"/>
        <v/>
      </c>
      <c r="C397" s="14" t="str">
        <f>IF($A397&lt;&gt;"",MINIFS(Merchant!$A:$A,Merchant!$B:$B,$G$2),)</f>
        <v/>
      </c>
      <c r="D397" s="14" t="str">
        <f t="shared" si="2"/>
        <v/>
      </c>
      <c r="E397" s="14" t="str">
        <f t="shared" si="3"/>
        <v/>
      </c>
      <c r="F397" s="7" t="str">
        <f>IF($A397&lt;&gt;"",MAXIFS(Token!$B:$B,Token!$A:$A,$D397),)</f>
        <v/>
      </c>
    </row>
    <row r="398">
      <c r="A398" s="39" t="str">
        <f>IF(AND($L398*1&gt;=$G$3,$L398*1&lt;=$G$4,$I398*$J398&gt;0,OR($I398&lt;&gt;$I399,$L398-$L399&gt;25),$I398/POW(10,$J398)*MAXIFS(Token!$B:$B,Token!$A:$A,$K398)&gt;0.01),$L398/86400+DATE(1970,1,1)+$G$6,)</f>
        <v/>
      </c>
      <c r="B398" s="27" t="str">
        <f t="shared" si="1"/>
        <v/>
      </c>
      <c r="C398" s="14" t="str">
        <f>IF($A398&lt;&gt;"",MINIFS(Merchant!$A:$A,Merchant!$B:$B,$G$2),)</f>
        <v/>
      </c>
      <c r="D398" s="14" t="str">
        <f t="shared" si="2"/>
        <v/>
      </c>
      <c r="E398" s="14" t="str">
        <f t="shared" si="3"/>
        <v/>
      </c>
      <c r="F398" s="7" t="str">
        <f>IF($A398&lt;&gt;"",MAXIFS(Token!$B:$B,Token!$A:$A,$D398),)</f>
        <v/>
      </c>
    </row>
    <row r="399">
      <c r="A399" s="39" t="str">
        <f>IF(AND($L399*1&gt;=$G$3,$L399*1&lt;=$G$4,$I399*$J399&gt;0,OR($I399&lt;&gt;$I400,$L399-$L400&gt;25),$I399/POW(10,$J399)*MAXIFS(Token!$B:$B,Token!$A:$A,$K399)&gt;0.01),$L399/86400+DATE(1970,1,1)+$G$6,)</f>
        <v/>
      </c>
      <c r="B399" s="27" t="str">
        <f t="shared" si="1"/>
        <v/>
      </c>
      <c r="C399" s="14" t="str">
        <f>IF($A399&lt;&gt;"",MINIFS(Merchant!$A:$A,Merchant!$B:$B,$G$2),)</f>
        <v/>
      </c>
      <c r="D399" s="14" t="str">
        <f t="shared" si="2"/>
        <v/>
      </c>
      <c r="E399" s="14" t="str">
        <f t="shared" si="3"/>
        <v/>
      </c>
      <c r="F399" s="7" t="str">
        <f>IF($A399&lt;&gt;"",MAXIFS(Token!$B:$B,Token!$A:$A,$D399),)</f>
        <v/>
      </c>
    </row>
    <row r="400">
      <c r="A400" s="39" t="str">
        <f>IF(AND($L400*1&gt;=$G$3,$L400*1&lt;=$G$4,$I400*$J400&gt;0,OR($I400&lt;&gt;$I401,$L400-$L401&gt;25),$I400/POW(10,$J400)*MAXIFS(Token!$B:$B,Token!$A:$A,$K400)&gt;0.01),$L400/86400+DATE(1970,1,1)+$G$6,)</f>
        <v/>
      </c>
      <c r="B400" s="27" t="str">
        <f t="shared" si="1"/>
        <v/>
      </c>
      <c r="C400" s="14" t="str">
        <f>IF($A400&lt;&gt;"",MINIFS(Merchant!$A:$A,Merchant!$B:$B,$G$2),)</f>
        <v/>
      </c>
      <c r="D400" s="14" t="str">
        <f t="shared" si="2"/>
        <v/>
      </c>
      <c r="E400" s="14" t="str">
        <f t="shared" si="3"/>
        <v/>
      </c>
      <c r="F400" s="7" t="str">
        <f>IF($A400&lt;&gt;"",MAXIFS(Token!$B:$B,Token!$A:$A,$D400),)</f>
        <v/>
      </c>
    </row>
    <row r="401">
      <c r="A401" s="39" t="str">
        <f>IF(AND($L401*1&gt;=$G$3,$L401*1&lt;=$G$4,$I401*$J401&gt;0,OR($I401&lt;&gt;$I402,$L401-$L402&gt;25),$I401/POW(10,$J401)*MAXIFS(Token!$B:$B,Token!$A:$A,$K401)&gt;0.01),$L401/86400+DATE(1970,1,1)+$G$6,)</f>
        <v/>
      </c>
      <c r="B401" s="27" t="str">
        <f t="shared" si="1"/>
        <v/>
      </c>
      <c r="C401" s="14" t="str">
        <f>IF($A401&lt;&gt;"",MINIFS(Merchant!$A:$A,Merchant!$B:$B,$G$2),)</f>
        <v/>
      </c>
      <c r="D401" s="14" t="str">
        <f t="shared" si="2"/>
        <v/>
      </c>
      <c r="E401" s="14" t="str">
        <f t="shared" si="3"/>
        <v/>
      </c>
      <c r="F401" s="7" t="str">
        <f>IF($A401&lt;&gt;"",MAXIFS(Token!$B:$B,Token!$A:$A,$D401),)</f>
        <v/>
      </c>
    </row>
    <row r="402">
      <c r="A402" s="39" t="str">
        <f>IF(AND($L402*1&gt;=$G$3,$L402*1&lt;=$G$4,$I402*$J402&gt;0,OR($I402&lt;&gt;$I403,$L402-$L403&gt;25),$I402/POW(10,$J402)*MAXIFS(Token!$B:$B,Token!$A:$A,$K402)&gt;0.01),$L402/86400+DATE(1970,1,1)+$G$6,)</f>
        <v/>
      </c>
      <c r="B402" s="27" t="str">
        <f t="shared" si="1"/>
        <v/>
      </c>
      <c r="C402" s="14" t="str">
        <f>IF($A402&lt;&gt;"",MINIFS(Merchant!$A:$A,Merchant!$B:$B,$G$2),)</f>
        <v/>
      </c>
      <c r="D402" s="14" t="str">
        <f t="shared" si="2"/>
        <v/>
      </c>
      <c r="E402" s="14" t="str">
        <f t="shared" si="3"/>
        <v/>
      </c>
      <c r="F402" s="7" t="str">
        <f>IF($A402&lt;&gt;"",MAXIFS(Token!$B:$B,Token!$A:$A,$D402),)</f>
        <v/>
      </c>
    </row>
    <row r="403">
      <c r="A403" s="39" t="str">
        <f>IF(AND($L403*1&gt;=$G$3,$L403*1&lt;=$G$4,$I403*$J403&gt;0,OR($I403&lt;&gt;$I404,$L403-$L404&gt;25),$I403/POW(10,$J403)*MAXIFS(Token!$B:$B,Token!$A:$A,$K403)&gt;0.01),$L403/86400+DATE(1970,1,1)+$G$6,)</f>
        <v/>
      </c>
      <c r="B403" s="27" t="str">
        <f t="shared" si="1"/>
        <v/>
      </c>
      <c r="C403" s="14" t="str">
        <f>IF($A403&lt;&gt;"",MINIFS(Merchant!$A:$A,Merchant!$B:$B,$G$2),)</f>
        <v/>
      </c>
      <c r="D403" s="14" t="str">
        <f t="shared" si="2"/>
        <v/>
      </c>
      <c r="E403" s="14" t="str">
        <f t="shared" si="3"/>
        <v/>
      </c>
      <c r="F403" s="7" t="str">
        <f>IF($A403&lt;&gt;"",MAXIFS(Token!$B:$B,Token!$A:$A,$D403),)</f>
        <v/>
      </c>
    </row>
    <row r="404">
      <c r="A404" s="39" t="str">
        <f>IF(AND($L404*1&gt;=$G$3,$L404*1&lt;=$G$4,$I404*$J404&gt;0,OR($I404&lt;&gt;$I405,$L404-$L405&gt;25),$I404/POW(10,$J404)*MAXIFS(Token!$B:$B,Token!$A:$A,$K404)&gt;0.01),$L404/86400+DATE(1970,1,1)+$G$6,)</f>
        <v/>
      </c>
      <c r="B404" s="27" t="str">
        <f t="shared" si="1"/>
        <v/>
      </c>
      <c r="C404" s="14" t="str">
        <f>IF($A404&lt;&gt;"",MINIFS(Merchant!$A:$A,Merchant!$B:$B,$G$2),)</f>
        <v/>
      </c>
      <c r="D404" s="14" t="str">
        <f t="shared" si="2"/>
        <v/>
      </c>
      <c r="E404" s="14" t="str">
        <f t="shared" si="3"/>
        <v/>
      </c>
      <c r="F404" s="7" t="str">
        <f>IF($A404&lt;&gt;"",MAXIFS(Token!$B:$B,Token!$A:$A,$D404),)</f>
        <v/>
      </c>
    </row>
    <row r="405">
      <c r="A405" s="39" t="str">
        <f>IF(AND($L405*1&gt;=$G$3,$L405*1&lt;=$G$4,$I405*$J405&gt;0,OR($I405&lt;&gt;$I406,$L405-$L406&gt;25),$I405/POW(10,$J405)*MAXIFS(Token!$B:$B,Token!$A:$A,$K405)&gt;0.01),$L405/86400+DATE(1970,1,1)+$G$6,)</f>
        <v/>
      </c>
      <c r="B405" s="27" t="str">
        <f t="shared" si="1"/>
        <v/>
      </c>
      <c r="C405" s="14" t="str">
        <f>IF($A405&lt;&gt;"",MINIFS(Merchant!$A:$A,Merchant!$B:$B,$G$2),)</f>
        <v/>
      </c>
      <c r="D405" s="14" t="str">
        <f t="shared" si="2"/>
        <v/>
      </c>
      <c r="E405" s="14" t="str">
        <f t="shared" si="3"/>
        <v/>
      </c>
      <c r="F405" s="7" t="str">
        <f>IF($A405&lt;&gt;"",MAXIFS(Token!$B:$B,Token!$A:$A,$D405),)</f>
        <v/>
      </c>
    </row>
    <row r="406">
      <c r="A406" s="39" t="str">
        <f>IF(AND($L406*1&gt;=$G$3,$L406*1&lt;=$G$4,$I406*$J406&gt;0,OR($I406&lt;&gt;$I407,$L406-$L407&gt;25),$I406/POW(10,$J406)*MAXIFS(Token!$B:$B,Token!$A:$A,$K406)&gt;0.01),$L406/86400+DATE(1970,1,1)+$G$6,)</f>
        <v/>
      </c>
      <c r="B406" s="27" t="str">
        <f t="shared" si="1"/>
        <v/>
      </c>
      <c r="C406" s="14" t="str">
        <f>IF($A406&lt;&gt;"",MINIFS(Merchant!$A:$A,Merchant!$B:$B,$G$2),)</f>
        <v/>
      </c>
      <c r="D406" s="14" t="str">
        <f t="shared" si="2"/>
        <v/>
      </c>
      <c r="E406" s="14" t="str">
        <f t="shared" si="3"/>
        <v/>
      </c>
      <c r="F406" s="7" t="str">
        <f>IF($A406&lt;&gt;"",MAXIFS(Token!$B:$B,Token!$A:$A,$D406),)</f>
        <v/>
      </c>
    </row>
    <row r="407">
      <c r="A407" s="39" t="str">
        <f>IF(AND($L407*1&gt;=$G$3,$L407*1&lt;=$G$4,$I407*$J407&gt;0,OR($I407&lt;&gt;$I408,$L407-$L408&gt;25),$I407/POW(10,$J407)*MAXIFS(Token!$B:$B,Token!$A:$A,$K407)&gt;0.01),$L407/86400+DATE(1970,1,1)+$G$6,)</f>
        <v/>
      </c>
      <c r="B407" s="27" t="str">
        <f t="shared" si="1"/>
        <v/>
      </c>
      <c r="C407" s="14" t="str">
        <f>IF($A407&lt;&gt;"",MINIFS(Merchant!$A:$A,Merchant!$B:$B,$G$2),)</f>
        <v/>
      </c>
      <c r="D407" s="14" t="str">
        <f t="shared" si="2"/>
        <v/>
      </c>
      <c r="E407" s="14" t="str">
        <f t="shared" si="3"/>
        <v/>
      </c>
      <c r="F407" s="7" t="str">
        <f>IF($A407&lt;&gt;"",MAXIFS(Token!$B:$B,Token!$A:$A,$D407),)</f>
        <v/>
      </c>
    </row>
    <row r="408">
      <c r="A408" s="39" t="str">
        <f>IF(AND($L408*1&gt;=$G$3,$L408*1&lt;=$G$4,$I408*$J408&gt;0,OR($I408&lt;&gt;$I409,$L408-$L409&gt;25),$I408/POW(10,$J408)*MAXIFS(Token!$B:$B,Token!$A:$A,$K408)&gt;0.01),$L408/86400+DATE(1970,1,1)+$G$6,)</f>
        <v/>
      </c>
      <c r="B408" s="27" t="str">
        <f t="shared" si="1"/>
        <v/>
      </c>
      <c r="C408" s="14" t="str">
        <f>IF($A408&lt;&gt;"",MINIFS(Merchant!$A:$A,Merchant!$B:$B,$G$2),)</f>
        <v/>
      </c>
      <c r="D408" s="14" t="str">
        <f t="shared" si="2"/>
        <v/>
      </c>
      <c r="E408" s="14" t="str">
        <f t="shared" si="3"/>
        <v/>
      </c>
      <c r="F408" s="7" t="str">
        <f>IF($A408&lt;&gt;"",MAXIFS(Token!$B:$B,Token!$A:$A,$D408),)</f>
        <v/>
      </c>
    </row>
    <row r="409">
      <c r="A409" s="39" t="str">
        <f>IF(AND($L409*1&gt;=$G$3,$L409*1&lt;=$G$4,$I409*$J409&gt;0,OR($I409&lt;&gt;$I410,$L409-$L410&gt;25),$I409/POW(10,$J409)*MAXIFS(Token!$B:$B,Token!$A:$A,$K409)&gt;0.01),$L409/86400+DATE(1970,1,1)+$G$6,)</f>
        <v/>
      </c>
      <c r="B409" s="27" t="str">
        <f t="shared" si="1"/>
        <v/>
      </c>
      <c r="C409" s="14" t="str">
        <f>IF($A409&lt;&gt;"",MINIFS(Merchant!$A:$A,Merchant!$B:$B,$G$2),)</f>
        <v/>
      </c>
      <c r="D409" s="14" t="str">
        <f t="shared" si="2"/>
        <v/>
      </c>
      <c r="E409" s="14" t="str">
        <f t="shared" si="3"/>
        <v/>
      </c>
      <c r="F409" s="7" t="str">
        <f>IF($A409&lt;&gt;"",MAXIFS(Token!$B:$B,Token!$A:$A,$D409),)</f>
        <v/>
      </c>
    </row>
    <row r="410">
      <c r="A410" s="39" t="str">
        <f>IF(AND($L410*1&gt;=$G$3,$L410*1&lt;=$G$4,$I410*$J410&gt;0,OR($I410&lt;&gt;$I411,$L410-$L411&gt;25),$I410/POW(10,$J410)*MAXIFS(Token!$B:$B,Token!$A:$A,$K410)&gt;0.01),$L410/86400+DATE(1970,1,1)+$G$6,)</f>
        <v/>
      </c>
      <c r="B410" s="27" t="str">
        <f t="shared" si="1"/>
        <v/>
      </c>
      <c r="C410" s="14" t="str">
        <f>IF($A410&lt;&gt;"",MINIFS(Merchant!$A:$A,Merchant!$B:$B,$G$2),)</f>
        <v/>
      </c>
      <c r="D410" s="14" t="str">
        <f t="shared" si="2"/>
        <v/>
      </c>
      <c r="E410" s="14" t="str">
        <f t="shared" si="3"/>
        <v/>
      </c>
      <c r="F410" s="7" t="str">
        <f>IF($A410&lt;&gt;"",MAXIFS(Token!$B:$B,Token!$A:$A,$D410),)</f>
        <v/>
      </c>
    </row>
    <row r="411">
      <c r="A411" s="39" t="str">
        <f>IF(AND($L411*1&gt;=$G$3,$L411*1&lt;=$G$4,$I411*$J411&gt;0,OR($I411&lt;&gt;$I412,$L411-$L412&gt;25),$I411/POW(10,$J411)*MAXIFS(Token!$B:$B,Token!$A:$A,$K411)&gt;0.01),$L411/86400+DATE(1970,1,1)+$G$6,)</f>
        <v/>
      </c>
      <c r="B411" s="27" t="str">
        <f t="shared" si="1"/>
        <v/>
      </c>
      <c r="C411" s="14" t="str">
        <f>IF($A411&lt;&gt;"",MINIFS(Merchant!$A:$A,Merchant!$B:$B,$G$2),)</f>
        <v/>
      </c>
      <c r="D411" s="14" t="str">
        <f t="shared" si="2"/>
        <v/>
      </c>
      <c r="E411" s="14" t="str">
        <f t="shared" si="3"/>
        <v/>
      </c>
      <c r="F411" s="7" t="str">
        <f>IF($A411&lt;&gt;"",MAXIFS(Token!$B:$B,Token!$A:$A,$D411),)</f>
        <v/>
      </c>
    </row>
    <row r="412">
      <c r="A412" s="39" t="str">
        <f>IF(AND($L412*1&gt;=$G$3,$L412*1&lt;=$G$4,$I412*$J412&gt;0,OR($I412&lt;&gt;$I413,$L412-$L413&gt;25),$I412/POW(10,$J412)*MAXIFS(Token!$B:$B,Token!$A:$A,$K412)&gt;0.01),$L412/86400+DATE(1970,1,1)+$G$6,)</f>
        <v/>
      </c>
      <c r="B412" s="27" t="str">
        <f t="shared" si="1"/>
        <v/>
      </c>
      <c r="C412" s="14" t="str">
        <f>IF($A412&lt;&gt;"",MINIFS(Merchant!$A:$A,Merchant!$B:$B,$G$2),)</f>
        <v/>
      </c>
      <c r="D412" s="14" t="str">
        <f t="shared" si="2"/>
        <v/>
      </c>
      <c r="E412" s="14" t="str">
        <f t="shared" si="3"/>
        <v/>
      </c>
      <c r="F412" s="7" t="str">
        <f>IF($A412&lt;&gt;"",MAXIFS(Token!$B:$B,Token!$A:$A,$D412),)</f>
        <v/>
      </c>
    </row>
    <row r="413">
      <c r="A413" s="39" t="str">
        <f>IF(AND($L413*1&gt;=$G$3,$L413*1&lt;=$G$4,$I413*$J413&gt;0,OR($I413&lt;&gt;$I414,$L413-$L414&gt;25),$I413/POW(10,$J413)*MAXIFS(Token!$B:$B,Token!$A:$A,$K413)&gt;0.01),$L413/86400+DATE(1970,1,1)+$G$6,)</f>
        <v/>
      </c>
      <c r="B413" s="27" t="str">
        <f t="shared" si="1"/>
        <v/>
      </c>
      <c r="C413" s="14" t="str">
        <f>IF($A413&lt;&gt;"",MINIFS(Merchant!$A:$A,Merchant!$B:$B,$G$2),)</f>
        <v/>
      </c>
      <c r="D413" s="14" t="str">
        <f t="shared" si="2"/>
        <v/>
      </c>
      <c r="E413" s="14" t="str">
        <f t="shared" si="3"/>
        <v/>
      </c>
      <c r="F413" s="7" t="str">
        <f>IF($A413&lt;&gt;"",MAXIFS(Token!$B:$B,Token!$A:$A,$D413),)</f>
        <v/>
      </c>
    </row>
    <row r="414">
      <c r="A414" s="39" t="str">
        <f>IF(AND($L414*1&gt;=$G$3,$L414*1&lt;=$G$4,$I414*$J414&gt;0,OR($I414&lt;&gt;$I415,$L414-$L415&gt;25),$I414/POW(10,$J414)*MAXIFS(Token!$B:$B,Token!$A:$A,$K414)&gt;0.01),$L414/86400+DATE(1970,1,1)+$G$6,)</f>
        <v/>
      </c>
      <c r="B414" s="27" t="str">
        <f t="shared" si="1"/>
        <v/>
      </c>
      <c r="C414" s="14" t="str">
        <f>IF($A414&lt;&gt;"",MINIFS(Merchant!$A:$A,Merchant!$B:$B,$G$2),)</f>
        <v/>
      </c>
      <c r="D414" s="14" t="str">
        <f t="shared" si="2"/>
        <v/>
      </c>
      <c r="E414" s="14" t="str">
        <f t="shared" si="3"/>
        <v/>
      </c>
      <c r="F414" s="7" t="str">
        <f>IF($A414&lt;&gt;"",MAXIFS(Token!$B:$B,Token!$A:$A,$D414),)</f>
        <v/>
      </c>
    </row>
    <row r="415">
      <c r="A415" s="39" t="str">
        <f>IF(AND($L415*1&gt;=$G$3,$L415*1&lt;=$G$4,$I415*$J415&gt;0,OR($I415&lt;&gt;$I416,$L415-$L416&gt;25),$I415/POW(10,$J415)*MAXIFS(Token!$B:$B,Token!$A:$A,$K415)&gt;0.01),$L415/86400+DATE(1970,1,1)+$G$6,)</f>
        <v/>
      </c>
      <c r="B415" s="27" t="str">
        <f t="shared" si="1"/>
        <v/>
      </c>
      <c r="C415" s="14" t="str">
        <f>IF($A415&lt;&gt;"",MINIFS(Merchant!$A:$A,Merchant!$B:$B,$G$2),)</f>
        <v/>
      </c>
      <c r="D415" s="14" t="str">
        <f t="shared" si="2"/>
        <v/>
      </c>
      <c r="E415" s="14" t="str">
        <f t="shared" si="3"/>
        <v/>
      </c>
      <c r="F415" s="7" t="str">
        <f>IF($A415&lt;&gt;"",MAXIFS(Token!$B:$B,Token!$A:$A,$D415),)</f>
        <v/>
      </c>
    </row>
    <row r="416">
      <c r="A416" s="39" t="str">
        <f>IF(AND($L416*1&gt;=$G$3,$L416*1&lt;=$G$4,$I416*$J416&gt;0,OR($I416&lt;&gt;$I417,$L416-$L417&gt;25),$I416/POW(10,$J416)*MAXIFS(Token!$B:$B,Token!$A:$A,$K416)&gt;0.01),$L416/86400+DATE(1970,1,1)+$G$6,)</f>
        <v/>
      </c>
      <c r="B416" s="27" t="str">
        <f t="shared" si="1"/>
        <v/>
      </c>
      <c r="C416" s="14" t="str">
        <f>IF($A416&lt;&gt;"",MINIFS(Merchant!$A:$A,Merchant!$B:$B,$G$2),)</f>
        <v/>
      </c>
      <c r="D416" s="14" t="str">
        <f t="shared" si="2"/>
        <v/>
      </c>
      <c r="E416" s="14" t="str">
        <f t="shared" si="3"/>
        <v/>
      </c>
      <c r="F416" s="7" t="str">
        <f>IF($A416&lt;&gt;"",MAXIFS(Token!$B:$B,Token!$A:$A,$D416),)</f>
        <v/>
      </c>
    </row>
    <row r="417">
      <c r="A417" s="39" t="str">
        <f>IF(AND($L417*1&gt;=$G$3,$L417*1&lt;=$G$4,$I417*$J417&gt;0,OR($I417&lt;&gt;$I418,$L417-$L418&gt;25),$I417/POW(10,$J417)*MAXIFS(Token!$B:$B,Token!$A:$A,$K417)&gt;0.01),$L417/86400+DATE(1970,1,1)+$G$6,)</f>
        <v/>
      </c>
      <c r="B417" s="27" t="str">
        <f t="shared" si="1"/>
        <v/>
      </c>
      <c r="C417" s="14" t="str">
        <f>IF($A417&lt;&gt;"",MINIFS(Merchant!$A:$A,Merchant!$B:$B,$G$2),)</f>
        <v/>
      </c>
      <c r="D417" s="14" t="str">
        <f t="shared" si="2"/>
        <v/>
      </c>
      <c r="E417" s="14" t="str">
        <f t="shared" si="3"/>
        <v/>
      </c>
      <c r="F417" s="7" t="str">
        <f>IF($A417&lt;&gt;"",MAXIFS(Token!$B:$B,Token!$A:$A,$D417),)</f>
        <v/>
      </c>
    </row>
    <row r="418">
      <c r="A418" s="39" t="str">
        <f>IF(AND($L418*1&gt;=$G$3,$L418*1&lt;=$G$4,$I418*$J418&gt;0,OR($I418&lt;&gt;$I419,$L418-$L419&gt;25),$I418/POW(10,$J418)*MAXIFS(Token!$B:$B,Token!$A:$A,$K418)&gt;0.01),$L418/86400+DATE(1970,1,1)+$G$6,)</f>
        <v/>
      </c>
      <c r="B418" s="27" t="str">
        <f t="shared" si="1"/>
        <v/>
      </c>
      <c r="C418" s="14" t="str">
        <f>IF($A418&lt;&gt;"",MINIFS(Merchant!$A:$A,Merchant!$B:$B,$G$2),)</f>
        <v/>
      </c>
      <c r="D418" s="14" t="str">
        <f t="shared" si="2"/>
        <v/>
      </c>
      <c r="E418" s="14" t="str">
        <f t="shared" si="3"/>
        <v/>
      </c>
      <c r="F418" s="7" t="str">
        <f>IF($A418&lt;&gt;"",MAXIFS(Token!$B:$B,Token!$A:$A,$D418),)</f>
        <v/>
      </c>
    </row>
    <row r="419">
      <c r="A419" s="39" t="str">
        <f>IF(AND($L419*1&gt;=$G$3,$L419*1&lt;=$G$4,$I419*$J419&gt;0,OR($I419&lt;&gt;$I420,$L419-$L420&gt;25),$I419/POW(10,$J419)*MAXIFS(Token!$B:$B,Token!$A:$A,$K419)&gt;0.01),$L419/86400+DATE(1970,1,1)+$G$6,)</f>
        <v/>
      </c>
      <c r="B419" s="27" t="str">
        <f t="shared" si="1"/>
        <v/>
      </c>
      <c r="C419" s="14" t="str">
        <f>IF($A419&lt;&gt;"",MINIFS(Merchant!$A:$A,Merchant!$B:$B,$G$2),)</f>
        <v/>
      </c>
      <c r="D419" s="14" t="str">
        <f t="shared" si="2"/>
        <v/>
      </c>
      <c r="E419" s="14" t="str">
        <f t="shared" si="3"/>
        <v/>
      </c>
      <c r="F419" s="7" t="str">
        <f>IF($A419&lt;&gt;"",MAXIFS(Token!$B:$B,Token!$A:$A,$D419),)</f>
        <v/>
      </c>
    </row>
    <row r="420">
      <c r="A420" s="39" t="str">
        <f>IF(AND($L420*1&gt;=$G$3,$L420*1&lt;=$G$4,$I420*$J420&gt;0,OR($I420&lt;&gt;$I421,$L420-$L421&gt;25),$I420/POW(10,$J420)*MAXIFS(Token!$B:$B,Token!$A:$A,$K420)&gt;0.01),$L420/86400+DATE(1970,1,1)+$G$6,)</f>
        <v/>
      </c>
      <c r="B420" s="27" t="str">
        <f t="shared" si="1"/>
        <v/>
      </c>
      <c r="C420" s="14" t="str">
        <f>IF($A420&lt;&gt;"",MINIFS(Merchant!$A:$A,Merchant!$B:$B,$G$2),)</f>
        <v/>
      </c>
      <c r="D420" s="14" t="str">
        <f t="shared" si="2"/>
        <v/>
      </c>
      <c r="E420" s="14" t="str">
        <f t="shared" si="3"/>
        <v/>
      </c>
      <c r="F420" s="7" t="str">
        <f>IF($A420&lt;&gt;"",MAXIFS(Token!$B:$B,Token!$A:$A,$D420),)</f>
        <v/>
      </c>
    </row>
    <row r="421">
      <c r="A421" s="39" t="str">
        <f>IF(AND($L421*1&gt;=$G$3,$L421*1&lt;=$G$4,$I421*$J421&gt;0,OR($I421&lt;&gt;$I422,$L421-$L422&gt;25),$I421/POW(10,$J421)*MAXIFS(Token!$B:$B,Token!$A:$A,$K421)&gt;0.01),$L421/86400+DATE(1970,1,1)+$G$6,)</f>
        <v/>
      </c>
      <c r="B421" s="27" t="str">
        <f t="shared" si="1"/>
        <v/>
      </c>
      <c r="C421" s="14" t="str">
        <f>IF($A421&lt;&gt;"",MINIFS(Merchant!$A:$A,Merchant!$B:$B,$G$2),)</f>
        <v/>
      </c>
      <c r="D421" s="14" t="str">
        <f t="shared" si="2"/>
        <v/>
      </c>
      <c r="E421" s="14" t="str">
        <f t="shared" si="3"/>
        <v/>
      </c>
      <c r="F421" s="7" t="str">
        <f>IF($A421&lt;&gt;"",MAXIFS(Token!$B:$B,Token!$A:$A,$D421),)</f>
        <v/>
      </c>
    </row>
    <row r="422">
      <c r="A422" s="39" t="str">
        <f>IF(AND($L422*1&gt;=$G$3,$L422*1&lt;=$G$4,$I422*$J422&gt;0,OR($I422&lt;&gt;$I423,$L422-$L423&gt;25),$I422/POW(10,$J422)*MAXIFS(Token!$B:$B,Token!$A:$A,$K422)&gt;0.01),$L422/86400+DATE(1970,1,1)+$G$6,)</f>
        <v/>
      </c>
      <c r="B422" s="27" t="str">
        <f t="shared" si="1"/>
        <v/>
      </c>
      <c r="C422" s="14" t="str">
        <f>IF($A422&lt;&gt;"",MINIFS(Merchant!$A:$A,Merchant!$B:$B,$G$2),)</f>
        <v/>
      </c>
      <c r="D422" s="14" t="str">
        <f t="shared" si="2"/>
        <v/>
      </c>
      <c r="E422" s="14" t="str">
        <f t="shared" si="3"/>
        <v/>
      </c>
      <c r="F422" s="7" t="str">
        <f>IF($A422&lt;&gt;"",MAXIFS(Token!$B:$B,Token!$A:$A,$D422),)</f>
        <v/>
      </c>
    </row>
    <row r="423">
      <c r="A423" s="39" t="str">
        <f>IF(AND($L423*1&gt;=$G$3,$L423*1&lt;=$G$4,$I423*$J423&gt;0,OR($I423&lt;&gt;$I424,$L423-$L424&gt;25),$I423/POW(10,$J423)*MAXIFS(Token!$B:$B,Token!$A:$A,$K423)&gt;0.01),$L423/86400+DATE(1970,1,1)+$G$6,)</f>
        <v/>
      </c>
      <c r="B423" s="27" t="str">
        <f t="shared" si="1"/>
        <v/>
      </c>
      <c r="C423" s="14" t="str">
        <f>IF($A423&lt;&gt;"",MINIFS(Merchant!$A:$A,Merchant!$B:$B,$G$2),)</f>
        <v/>
      </c>
      <c r="D423" s="14" t="str">
        <f t="shared" si="2"/>
        <v/>
      </c>
      <c r="E423" s="14" t="str">
        <f t="shared" si="3"/>
        <v/>
      </c>
      <c r="F423" s="7" t="str">
        <f>IF($A423&lt;&gt;"",MAXIFS(Token!$B:$B,Token!$A:$A,$D423),)</f>
        <v/>
      </c>
    </row>
    <row r="424">
      <c r="A424" s="39" t="str">
        <f>IF(AND($L424*1&gt;=$G$3,$L424*1&lt;=$G$4,$I424*$J424&gt;0,OR($I424&lt;&gt;$I425,$L424-$L425&gt;25),$I424/POW(10,$J424)*MAXIFS(Token!$B:$B,Token!$A:$A,$K424)&gt;0.01),$L424/86400+DATE(1970,1,1)+$G$6,)</f>
        <v/>
      </c>
      <c r="B424" s="27" t="str">
        <f t="shared" si="1"/>
        <v/>
      </c>
      <c r="C424" s="14" t="str">
        <f>IF($A424&lt;&gt;"",MINIFS(Merchant!$A:$A,Merchant!$B:$B,$G$2),)</f>
        <v/>
      </c>
      <c r="D424" s="14" t="str">
        <f t="shared" si="2"/>
        <v/>
      </c>
      <c r="E424" s="14" t="str">
        <f t="shared" si="3"/>
        <v/>
      </c>
      <c r="F424" s="7" t="str">
        <f>IF($A424&lt;&gt;"",MAXIFS(Token!$B:$B,Token!$A:$A,$D424),)</f>
        <v/>
      </c>
    </row>
    <row r="425">
      <c r="A425" s="39" t="str">
        <f>IF(AND($L425*1&gt;=$G$3,$L425*1&lt;=$G$4,$I425*$J425&gt;0,OR($I425&lt;&gt;$I426,$L425-$L426&gt;25),$I425/POW(10,$J425)*MAXIFS(Token!$B:$B,Token!$A:$A,$K425)&gt;0.01),$L425/86400+DATE(1970,1,1)+$G$6,)</f>
        <v/>
      </c>
      <c r="B425" s="27" t="str">
        <f t="shared" si="1"/>
        <v/>
      </c>
      <c r="C425" s="14" t="str">
        <f>IF($A425&lt;&gt;"",MINIFS(Merchant!$A:$A,Merchant!$B:$B,$G$2),)</f>
        <v/>
      </c>
      <c r="D425" s="14" t="str">
        <f t="shared" si="2"/>
        <v/>
      </c>
      <c r="E425" s="14" t="str">
        <f t="shared" si="3"/>
        <v/>
      </c>
      <c r="F425" s="7" t="str">
        <f>IF($A425&lt;&gt;"",MAXIFS(Token!$B:$B,Token!$A:$A,$D425),)</f>
        <v/>
      </c>
    </row>
    <row r="426">
      <c r="A426" s="39" t="str">
        <f>IF(AND($L426*1&gt;=$G$3,$L426*1&lt;=$G$4,$I426*$J426&gt;0,OR($I426&lt;&gt;$I427,$L426-$L427&gt;25),$I426/POW(10,$J426)*MAXIFS(Token!$B:$B,Token!$A:$A,$K426)&gt;0.01),$L426/86400+DATE(1970,1,1)+$G$6,)</f>
        <v/>
      </c>
      <c r="B426" s="27" t="str">
        <f t="shared" si="1"/>
        <v/>
      </c>
      <c r="C426" s="14" t="str">
        <f>IF($A426&lt;&gt;"",MINIFS(Merchant!$A:$A,Merchant!$B:$B,$G$2),)</f>
        <v/>
      </c>
      <c r="D426" s="14" t="str">
        <f t="shared" si="2"/>
        <v/>
      </c>
      <c r="E426" s="14" t="str">
        <f t="shared" si="3"/>
        <v/>
      </c>
      <c r="F426" s="7" t="str">
        <f>IF($A426&lt;&gt;"",MAXIFS(Token!$B:$B,Token!$A:$A,$D426),)</f>
        <v/>
      </c>
    </row>
    <row r="427">
      <c r="A427" s="39" t="str">
        <f>IF(AND($L427*1&gt;=$G$3,$L427*1&lt;=$G$4,$I427*$J427&gt;0,OR($I427&lt;&gt;$I428,$L427-$L428&gt;25),$I427/POW(10,$J427)*MAXIFS(Token!$B:$B,Token!$A:$A,$K427)&gt;0.01),$L427/86400+DATE(1970,1,1)+$G$6,)</f>
        <v/>
      </c>
      <c r="B427" s="27" t="str">
        <f t="shared" si="1"/>
        <v/>
      </c>
      <c r="C427" s="14" t="str">
        <f>IF($A427&lt;&gt;"",MINIFS(Merchant!$A:$A,Merchant!$B:$B,$G$2),)</f>
        <v/>
      </c>
      <c r="D427" s="14" t="str">
        <f t="shared" si="2"/>
        <v/>
      </c>
      <c r="E427" s="14" t="str">
        <f t="shared" si="3"/>
        <v/>
      </c>
      <c r="F427" s="7" t="str">
        <f>IF($A427&lt;&gt;"",MAXIFS(Token!$B:$B,Token!$A:$A,$D427),)</f>
        <v/>
      </c>
    </row>
    <row r="428">
      <c r="A428" s="39" t="str">
        <f>IF(AND($L428*1&gt;=$G$3,$L428*1&lt;=$G$4,$I428*$J428&gt;0,OR($I428&lt;&gt;$I429,$L428-$L429&gt;25),$I428/POW(10,$J428)*MAXIFS(Token!$B:$B,Token!$A:$A,$K428)&gt;0.01),$L428/86400+DATE(1970,1,1)+$G$6,)</f>
        <v/>
      </c>
      <c r="B428" s="27" t="str">
        <f t="shared" si="1"/>
        <v/>
      </c>
      <c r="C428" s="14" t="str">
        <f>IF($A428&lt;&gt;"",MINIFS(Merchant!$A:$A,Merchant!$B:$B,$G$2),)</f>
        <v/>
      </c>
      <c r="D428" s="14" t="str">
        <f t="shared" si="2"/>
        <v/>
      </c>
      <c r="E428" s="14" t="str">
        <f t="shared" si="3"/>
        <v/>
      </c>
      <c r="F428" s="7" t="str">
        <f>IF($A428&lt;&gt;"",MAXIFS(Token!$B:$B,Token!$A:$A,$D428),)</f>
        <v/>
      </c>
    </row>
    <row r="429">
      <c r="A429" s="39" t="str">
        <f>IF(AND($L429*1&gt;=$G$3,$L429*1&lt;=$G$4,$I429*$J429&gt;0,OR($I429&lt;&gt;$I430,$L429-$L430&gt;25),$I429/POW(10,$J429)*MAXIFS(Token!$B:$B,Token!$A:$A,$K429)&gt;0.01),$L429/86400+DATE(1970,1,1)+$G$6,)</f>
        <v/>
      </c>
      <c r="B429" s="27" t="str">
        <f t="shared" si="1"/>
        <v/>
      </c>
      <c r="C429" s="14" t="str">
        <f>IF($A429&lt;&gt;"",MINIFS(Merchant!$A:$A,Merchant!$B:$B,$G$2),)</f>
        <v/>
      </c>
      <c r="D429" s="14" t="str">
        <f t="shared" si="2"/>
        <v/>
      </c>
      <c r="E429" s="14" t="str">
        <f t="shared" si="3"/>
        <v/>
      </c>
      <c r="F429" s="7" t="str">
        <f>IF($A429&lt;&gt;"",MAXIFS(Token!$B:$B,Token!$A:$A,$D429),)</f>
        <v/>
      </c>
    </row>
    <row r="430">
      <c r="A430" s="39" t="str">
        <f>IF(AND($L430*1&gt;=$G$3,$L430*1&lt;=$G$4,$I430*$J430&gt;0,OR($I430&lt;&gt;$I431,$L430-$L431&gt;25),$I430/POW(10,$J430)*MAXIFS(Token!$B:$B,Token!$A:$A,$K430)&gt;0.01),$L430/86400+DATE(1970,1,1)+$G$6,)</f>
        <v/>
      </c>
      <c r="B430" s="27" t="str">
        <f t="shared" si="1"/>
        <v/>
      </c>
      <c r="C430" s="14" t="str">
        <f>IF($A430&lt;&gt;"",MINIFS(Merchant!$A:$A,Merchant!$B:$B,$G$2),)</f>
        <v/>
      </c>
      <c r="D430" s="14" t="str">
        <f t="shared" si="2"/>
        <v/>
      </c>
      <c r="E430" s="14" t="str">
        <f t="shared" si="3"/>
        <v/>
      </c>
      <c r="F430" s="7" t="str">
        <f>IF($A430&lt;&gt;"",MAXIFS(Token!$B:$B,Token!$A:$A,$D430),)</f>
        <v/>
      </c>
    </row>
    <row r="431">
      <c r="A431" s="39" t="str">
        <f>IF(AND($L431*1&gt;=$G$3,$L431*1&lt;=$G$4,$I431*$J431&gt;0,OR($I431&lt;&gt;$I432,$L431-$L432&gt;25),$I431/POW(10,$J431)*MAXIFS(Token!$B:$B,Token!$A:$A,$K431)&gt;0.01),$L431/86400+DATE(1970,1,1)+$G$6,)</f>
        <v/>
      </c>
      <c r="B431" s="27" t="str">
        <f t="shared" si="1"/>
        <v/>
      </c>
      <c r="C431" s="14" t="str">
        <f>IF($A431&lt;&gt;"",MINIFS(Merchant!$A:$A,Merchant!$B:$B,$G$2),)</f>
        <v/>
      </c>
      <c r="D431" s="14" t="str">
        <f t="shared" si="2"/>
        <v/>
      </c>
      <c r="E431" s="14" t="str">
        <f t="shared" si="3"/>
        <v/>
      </c>
      <c r="F431" s="7" t="str">
        <f>IF($A431&lt;&gt;"",MAXIFS(Token!$B:$B,Token!$A:$A,$D431),)</f>
        <v/>
      </c>
    </row>
    <row r="432">
      <c r="A432" s="39" t="str">
        <f>IF(AND($L432*1&gt;=$G$3,$L432*1&lt;=$G$4,$I432*$J432&gt;0,OR($I432&lt;&gt;$I433,$L432-$L433&gt;25),$I432/POW(10,$J432)*MAXIFS(Token!$B:$B,Token!$A:$A,$K432)&gt;0.01),$L432/86400+DATE(1970,1,1)+$G$6,)</f>
        <v/>
      </c>
      <c r="B432" s="27" t="str">
        <f t="shared" si="1"/>
        <v/>
      </c>
      <c r="C432" s="14" t="str">
        <f>IF($A432&lt;&gt;"",MINIFS(Merchant!$A:$A,Merchant!$B:$B,$G$2),)</f>
        <v/>
      </c>
      <c r="D432" s="14" t="str">
        <f t="shared" si="2"/>
        <v/>
      </c>
      <c r="E432" s="14" t="str">
        <f t="shared" si="3"/>
        <v/>
      </c>
      <c r="F432" s="7" t="str">
        <f>IF($A432&lt;&gt;"",MAXIFS(Token!$B:$B,Token!$A:$A,$D432),)</f>
        <v/>
      </c>
    </row>
    <row r="433">
      <c r="A433" s="39" t="str">
        <f>IF(AND($L433*1&gt;=$G$3,$L433*1&lt;=$G$4,$I433*$J433&gt;0,OR($I433&lt;&gt;$I434,$L433-$L434&gt;25),$I433/POW(10,$J433)*MAXIFS(Token!$B:$B,Token!$A:$A,$K433)&gt;0.01),$L433/86400+DATE(1970,1,1)+$G$6,)</f>
        <v/>
      </c>
      <c r="B433" s="27" t="str">
        <f t="shared" si="1"/>
        <v/>
      </c>
      <c r="C433" s="14" t="str">
        <f>IF($A433&lt;&gt;"",MINIFS(Merchant!$A:$A,Merchant!$B:$B,$G$2),)</f>
        <v/>
      </c>
      <c r="D433" s="14" t="str">
        <f t="shared" si="2"/>
        <v/>
      </c>
      <c r="E433" s="14" t="str">
        <f t="shared" si="3"/>
        <v/>
      </c>
      <c r="F433" s="7" t="str">
        <f>IF($A433&lt;&gt;"",MAXIFS(Token!$B:$B,Token!$A:$A,$D433),)</f>
        <v/>
      </c>
    </row>
    <row r="434">
      <c r="A434" s="39" t="str">
        <f>IF(AND($L434*1&gt;=$G$3,$L434*1&lt;=$G$4,$I434*$J434&gt;0,OR($I434&lt;&gt;$I435,$L434-$L435&gt;25),$I434/POW(10,$J434)*MAXIFS(Token!$B:$B,Token!$A:$A,$K434)&gt;0.01),$L434/86400+DATE(1970,1,1)+$G$6,)</f>
        <v/>
      </c>
      <c r="B434" s="27" t="str">
        <f t="shared" si="1"/>
        <v/>
      </c>
      <c r="C434" s="14" t="str">
        <f>IF($A434&lt;&gt;"",MINIFS(Merchant!$A:$A,Merchant!$B:$B,$G$2),)</f>
        <v/>
      </c>
      <c r="D434" s="14" t="str">
        <f t="shared" si="2"/>
        <v/>
      </c>
      <c r="E434" s="14" t="str">
        <f t="shared" si="3"/>
        <v/>
      </c>
      <c r="F434" s="7" t="str">
        <f>IF($A434&lt;&gt;"",MAXIFS(Token!$B:$B,Token!$A:$A,$D434),)</f>
        <v/>
      </c>
    </row>
    <row r="435">
      <c r="A435" s="39" t="str">
        <f>IF(AND($L435*1&gt;=$G$3,$L435*1&lt;=$G$4,$I435*$J435&gt;0,OR($I435&lt;&gt;$I436,$L435-$L436&gt;25),$I435/POW(10,$J435)*MAXIFS(Token!$B:$B,Token!$A:$A,$K435)&gt;0.01),$L435/86400+DATE(1970,1,1)+$G$6,)</f>
        <v/>
      </c>
      <c r="B435" s="27" t="str">
        <f t="shared" si="1"/>
        <v/>
      </c>
      <c r="C435" s="14" t="str">
        <f>IF($A435&lt;&gt;"",MINIFS(Merchant!$A:$A,Merchant!$B:$B,$G$2),)</f>
        <v/>
      </c>
      <c r="D435" s="14" t="str">
        <f t="shared" si="2"/>
        <v/>
      </c>
      <c r="E435" s="14" t="str">
        <f t="shared" si="3"/>
        <v/>
      </c>
      <c r="F435" s="7" t="str">
        <f>IF($A435&lt;&gt;"",MAXIFS(Token!$B:$B,Token!$A:$A,$D435),)</f>
        <v/>
      </c>
    </row>
    <row r="436">
      <c r="A436" s="39" t="str">
        <f>IF(AND($L436*1&gt;=$G$3,$L436*1&lt;=$G$4,$I436*$J436&gt;0,OR($I436&lt;&gt;$I437,$L436-$L437&gt;25),$I436/POW(10,$J436)*MAXIFS(Token!$B:$B,Token!$A:$A,$K436)&gt;0.01),$L436/86400+DATE(1970,1,1)+$G$6,)</f>
        <v/>
      </c>
      <c r="B436" s="27" t="str">
        <f t="shared" si="1"/>
        <v/>
      </c>
      <c r="C436" s="14" t="str">
        <f>IF($A436&lt;&gt;"",MINIFS(Merchant!$A:$A,Merchant!$B:$B,$G$2),)</f>
        <v/>
      </c>
      <c r="D436" s="14" t="str">
        <f t="shared" si="2"/>
        <v/>
      </c>
      <c r="E436" s="14" t="str">
        <f t="shared" si="3"/>
        <v/>
      </c>
      <c r="F436" s="7" t="str">
        <f>IF($A436&lt;&gt;"",MAXIFS(Token!$B:$B,Token!$A:$A,$D436),)</f>
        <v/>
      </c>
    </row>
    <row r="437">
      <c r="A437" s="39" t="str">
        <f>IF(AND($L437*1&gt;=$G$3,$L437*1&lt;=$G$4,$I437*$J437&gt;0,OR($I437&lt;&gt;$I438,$L437-$L438&gt;25),$I437/POW(10,$J437)*MAXIFS(Token!$B:$B,Token!$A:$A,$K437)&gt;0.01),$L437/86400+DATE(1970,1,1)+$G$6,)</f>
        <v/>
      </c>
      <c r="B437" s="27" t="str">
        <f t="shared" si="1"/>
        <v/>
      </c>
      <c r="C437" s="14" t="str">
        <f>IF($A437&lt;&gt;"",MINIFS(Merchant!$A:$A,Merchant!$B:$B,$G$2),)</f>
        <v/>
      </c>
      <c r="D437" s="14" t="str">
        <f t="shared" si="2"/>
        <v/>
      </c>
      <c r="E437" s="14" t="str">
        <f t="shared" si="3"/>
        <v/>
      </c>
      <c r="F437" s="7" t="str">
        <f>IF($A437&lt;&gt;"",MAXIFS(Token!$B:$B,Token!$A:$A,$D437),)</f>
        <v/>
      </c>
    </row>
    <row r="438">
      <c r="A438" s="39" t="str">
        <f>IF(AND($L438*1&gt;=$G$3,$L438*1&lt;=$G$4,$I438*$J438&gt;0,OR($I438&lt;&gt;$I439,$L438-$L439&gt;25),$I438/POW(10,$J438)*MAXIFS(Token!$B:$B,Token!$A:$A,$K438)&gt;0.01),$L438/86400+DATE(1970,1,1)+$G$6,)</f>
        <v/>
      </c>
      <c r="B438" s="27" t="str">
        <f t="shared" si="1"/>
        <v/>
      </c>
      <c r="C438" s="14" t="str">
        <f>IF($A438&lt;&gt;"",MINIFS(Merchant!$A:$A,Merchant!$B:$B,$G$2),)</f>
        <v/>
      </c>
      <c r="D438" s="14" t="str">
        <f t="shared" si="2"/>
        <v/>
      </c>
      <c r="E438" s="14" t="str">
        <f t="shared" si="3"/>
        <v/>
      </c>
      <c r="F438" s="7" t="str">
        <f>IF($A438&lt;&gt;"",MAXIFS(Token!$B:$B,Token!$A:$A,$D438),)</f>
        <v/>
      </c>
    </row>
    <row r="439">
      <c r="A439" s="39" t="str">
        <f>IF(AND($L439*1&gt;=$G$3,$L439*1&lt;=$G$4,$I439*$J439&gt;0,OR($I439&lt;&gt;$I440,$L439-$L440&gt;25),$I439/POW(10,$J439)*MAXIFS(Token!$B:$B,Token!$A:$A,$K439)&gt;0.01),$L439/86400+DATE(1970,1,1)+$G$6,)</f>
        <v/>
      </c>
      <c r="B439" s="27" t="str">
        <f t="shared" si="1"/>
        <v/>
      </c>
      <c r="C439" s="14" t="str">
        <f>IF($A439&lt;&gt;"",MINIFS(Merchant!$A:$A,Merchant!$B:$B,$G$2),)</f>
        <v/>
      </c>
      <c r="D439" s="14" t="str">
        <f t="shared" si="2"/>
        <v/>
      </c>
      <c r="E439" s="14" t="str">
        <f t="shared" si="3"/>
        <v/>
      </c>
      <c r="F439" s="7" t="str">
        <f>IF($A439&lt;&gt;"",MAXIFS(Token!$B:$B,Token!$A:$A,$D439),)</f>
        <v/>
      </c>
    </row>
    <row r="440">
      <c r="A440" s="39" t="str">
        <f>IF(AND($L440*1&gt;=$G$3,$L440*1&lt;=$G$4,$I440*$J440&gt;0,OR($I440&lt;&gt;$I441,$L440-$L441&gt;25),$I440/POW(10,$J440)*MAXIFS(Token!$B:$B,Token!$A:$A,$K440)&gt;0.01),$L440/86400+DATE(1970,1,1)+$G$6,)</f>
        <v/>
      </c>
      <c r="B440" s="27" t="str">
        <f t="shared" si="1"/>
        <v/>
      </c>
      <c r="C440" s="14" t="str">
        <f>IF($A440&lt;&gt;"",MINIFS(Merchant!$A:$A,Merchant!$B:$B,$G$2),)</f>
        <v/>
      </c>
      <c r="D440" s="14" t="str">
        <f t="shared" si="2"/>
        <v/>
      </c>
      <c r="E440" s="14" t="str">
        <f t="shared" si="3"/>
        <v/>
      </c>
      <c r="F440" s="7" t="str">
        <f>IF($A440&lt;&gt;"",MAXIFS(Token!$B:$B,Token!$A:$A,$D440),)</f>
        <v/>
      </c>
    </row>
    <row r="441">
      <c r="A441" s="39" t="str">
        <f>IF(AND($L441*1&gt;=$G$3,$L441*1&lt;=$G$4,$I441*$J441&gt;0,OR($I441&lt;&gt;$I442,$L441-$L442&gt;25),$I441/POW(10,$J441)*MAXIFS(Token!$B:$B,Token!$A:$A,$K441)&gt;0.01),$L441/86400+DATE(1970,1,1)+$G$6,)</f>
        <v/>
      </c>
      <c r="B441" s="27" t="str">
        <f t="shared" si="1"/>
        <v/>
      </c>
      <c r="C441" s="14" t="str">
        <f>IF($A441&lt;&gt;"",MINIFS(Merchant!$A:$A,Merchant!$B:$B,$G$2),)</f>
        <v/>
      </c>
      <c r="D441" s="14" t="str">
        <f t="shared" si="2"/>
        <v/>
      </c>
      <c r="E441" s="14" t="str">
        <f t="shared" si="3"/>
        <v/>
      </c>
      <c r="F441" s="7" t="str">
        <f>IF($A441&lt;&gt;"",MAXIFS(Token!$B:$B,Token!$A:$A,$D441),)</f>
        <v/>
      </c>
    </row>
    <row r="442">
      <c r="A442" s="39" t="str">
        <f>IF(AND($L442*1&gt;=$G$3,$L442*1&lt;=$G$4,$I442*$J442&gt;0,OR($I442&lt;&gt;$I443,$L442-$L443&gt;25),$I442/POW(10,$J442)*MAXIFS(Token!$B:$B,Token!$A:$A,$K442)&gt;0.01),$L442/86400+DATE(1970,1,1)+$G$6,)</f>
        <v/>
      </c>
      <c r="B442" s="27" t="str">
        <f t="shared" si="1"/>
        <v/>
      </c>
      <c r="C442" s="14" t="str">
        <f>IF($A442&lt;&gt;"",MINIFS(Merchant!$A:$A,Merchant!$B:$B,$G$2),)</f>
        <v/>
      </c>
      <c r="D442" s="14" t="str">
        <f t="shared" si="2"/>
        <v/>
      </c>
      <c r="E442" s="14" t="str">
        <f t="shared" si="3"/>
        <v/>
      </c>
      <c r="F442" s="7" t="str">
        <f>IF($A442&lt;&gt;"",MAXIFS(Token!$B:$B,Token!$A:$A,$D442),)</f>
        <v/>
      </c>
    </row>
    <row r="443">
      <c r="A443" s="39" t="str">
        <f>IF(AND($L443*1&gt;=$G$3,$L443*1&lt;=$G$4,$I443*$J443&gt;0,OR($I443&lt;&gt;$I444,$L443-$L444&gt;25),$I443/POW(10,$J443)*MAXIFS(Token!$B:$B,Token!$A:$A,$K443)&gt;0.01),$L443/86400+DATE(1970,1,1)+$G$6,)</f>
        <v/>
      </c>
      <c r="B443" s="27" t="str">
        <f t="shared" si="1"/>
        <v/>
      </c>
      <c r="C443" s="14" t="str">
        <f>IF($A443&lt;&gt;"",MINIFS(Merchant!$A:$A,Merchant!$B:$B,$G$2),)</f>
        <v/>
      </c>
      <c r="D443" s="14" t="str">
        <f t="shared" si="2"/>
        <v/>
      </c>
      <c r="E443" s="14" t="str">
        <f t="shared" si="3"/>
        <v/>
      </c>
      <c r="F443" s="7" t="str">
        <f>IF($A443&lt;&gt;"",MAXIFS(Token!$B:$B,Token!$A:$A,$D443),)</f>
        <v/>
      </c>
    </row>
    <row r="444">
      <c r="A444" s="39" t="str">
        <f>IF(AND($L444*1&gt;=$G$3,$L444*1&lt;=$G$4,$I444*$J444&gt;0,OR($I444&lt;&gt;$I445,$L444-$L445&gt;25),$I444/POW(10,$J444)*MAXIFS(Token!$B:$B,Token!$A:$A,$K444)&gt;0.01),$L444/86400+DATE(1970,1,1)+$G$6,)</f>
        <v/>
      </c>
      <c r="B444" s="27" t="str">
        <f t="shared" si="1"/>
        <v/>
      </c>
      <c r="C444" s="14" t="str">
        <f>IF($A444&lt;&gt;"",MINIFS(Merchant!$A:$A,Merchant!$B:$B,$G$2),)</f>
        <v/>
      </c>
      <c r="D444" s="14" t="str">
        <f t="shared" si="2"/>
        <v/>
      </c>
      <c r="E444" s="14" t="str">
        <f t="shared" si="3"/>
        <v/>
      </c>
      <c r="F444" s="7" t="str">
        <f>IF($A444&lt;&gt;"",MAXIFS(Token!$B:$B,Token!$A:$A,$D444),)</f>
        <v/>
      </c>
    </row>
    <row r="445">
      <c r="A445" s="39" t="str">
        <f>IF(AND($L445*1&gt;=$G$3,$L445*1&lt;=$G$4,$I445*$J445&gt;0,OR($I445&lt;&gt;$I446,$L445-$L446&gt;25),$I445/POW(10,$J445)*MAXIFS(Token!$B:$B,Token!$A:$A,$K445)&gt;0.01),$L445/86400+DATE(1970,1,1)+$G$6,)</f>
        <v/>
      </c>
      <c r="B445" s="27" t="str">
        <f t="shared" si="1"/>
        <v/>
      </c>
      <c r="C445" s="14" t="str">
        <f>IF($A445&lt;&gt;"",MINIFS(Merchant!$A:$A,Merchant!$B:$B,$G$2),)</f>
        <v/>
      </c>
      <c r="D445" s="14" t="str">
        <f t="shared" si="2"/>
        <v/>
      </c>
      <c r="E445" s="14" t="str">
        <f t="shared" si="3"/>
        <v/>
      </c>
      <c r="F445" s="7" t="str">
        <f>IF($A445&lt;&gt;"",MAXIFS(Token!$B:$B,Token!$A:$A,$D445),)</f>
        <v/>
      </c>
    </row>
    <row r="446">
      <c r="A446" s="39" t="str">
        <f>IF(AND($L446*1&gt;=$G$3,$L446*1&lt;=$G$4,$I446*$J446&gt;0,OR($I446&lt;&gt;$I447,$L446-$L447&gt;25),$I446/POW(10,$J446)*MAXIFS(Token!$B:$B,Token!$A:$A,$K446)&gt;0.01),$L446/86400+DATE(1970,1,1)+$G$6,)</f>
        <v/>
      </c>
      <c r="B446" s="27" t="str">
        <f t="shared" si="1"/>
        <v/>
      </c>
      <c r="C446" s="14" t="str">
        <f>IF($A446&lt;&gt;"",MINIFS(Merchant!$A:$A,Merchant!$B:$B,$G$2),)</f>
        <v/>
      </c>
      <c r="D446" s="14" t="str">
        <f t="shared" si="2"/>
        <v/>
      </c>
      <c r="E446" s="14" t="str">
        <f t="shared" si="3"/>
        <v/>
      </c>
      <c r="F446" s="7" t="str">
        <f>IF($A446&lt;&gt;"",MAXIFS(Token!$B:$B,Token!$A:$A,$D446),)</f>
        <v/>
      </c>
    </row>
    <row r="447">
      <c r="A447" s="39" t="str">
        <f>IF(AND($L447*1&gt;=$G$3,$L447*1&lt;=$G$4,$I447*$J447&gt;0,OR($I447&lt;&gt;$I448,$L447-$L448&gt;25),$I447/POW(10,$J447)*MAXIFS(Token!$B:$B,Token!$A:$A,$K447)&gt;0.01),$L447/86400+DATE(1970,1,1)+$G$6,)</f>
        <v/>
      </c>
      <c r="B447" s="27" t="str">
        <f t="shared" si="1"/>
        <v/>
      </c>
      <c r="C447" s="14" t="str">
        <f>IF($A447&lt;&gt;"",MINIFS(Merchant!$A:$A,Merchant!$B:$B,$G$2),)</f>
        <v/>
      </c>
      <c r="D447" s="14" t="str">
        <f t="shared" si="2"/>
        <v/>
      </c>
      <c r="E447" s="14" t="str">
        <f t="shared" si="3"/>
        <v/>
      </c>
      <c r="F447" s="7" t="str">
        <f>IF($A447&lt;&gt;"",MAXIFS(Token!$B:$B,Token!$A:$A,$D447),)</f>
        <v/>
      </c>
    </row>
    <row r="448">
      <c r="A448" s="39" t="str">
        <f>IF(AND($L448*1&gt;=$G$3,$L448*1&lt;=$G$4,$I448*$J448&gt;0,OR($I448&lt;&gt;$I449,$L448-$L449&gt;25),$I448/POW(10,$J448)*MAXIFS(Token!$B:$B,Token!$A:$A,$K448)&gt;0.01),$L448/86400+DATE(1970,1,1)+$G$6,)</f>
        <v/>
      </c>
      <c r="B448" s="27" t="str">
        <f t="shared" si="1"/>
        <v/>
      </c>
      <c r="C448" s="14" t="str">
        <f>IF($A448&lt;&gt;"",MINIFS(Merchant!$A:$A,Merchant!$B:$B,$G$2),)</f>
        <v/>
      </c>
      <c r="D448" s="14" t="str">
        <f t="shared" si="2"/>
        <v/>
      </c>
      <c r="E448" s="14" t="str">
        <f t="shared" si="3"/>
        <v/>
      </c>
      <c r="F448" s="7" t="str">
        <f>IF($A448&lt;&gt;"",MAXIFS(Token!$B:$B,Token!$A:$A,$D448),)</f>
        <v/>
      </c>
    </row>
    <row r="449">
      <c r="A449" s="39" t="str">
        <f>IF(AND($L449*1&gt;=$G$3,$L449*1&lt;=$G$4,$I449*$J449&gt;0,OR($I449&lt;&gt;$I450,$L449-$L450&gt;25),$I449/POW(10,$J449)*MAXIFS(Token!$B:$B,Token!$A:$A,$K449)&gt;0.01),$L449/86400+DATE(1970,1,1)+$G$6,)</f>
        <v/>
      </c>
      <c r="B449" s="27" t="str">
        <f t="shared" si="1"/>
        <v/>
      </c>
      <c r="C449" s="14" t="str">
        <f>IF($A449&lt;&gt;"",MINIFS(Merchant!$A:$A,Merchant!$B:$B,$G$2),)</f>
        <v/>
      </c>
      <c r="D449" s="14" t="str">
        <f t="shared" si="2"/>
        <v/>
      </c>
      <c r="E449" s="14" t="str">
        <f t="shared" si="3"/>
        <v/>
      </c>
      <c r="F449" s="7" t="str">
        <f>IF($A449&lt;&gt;"",MAXIFS(Token!$B:$B,Token!$A:$A,$D449),)</f>
        <v/>
      </c>
    </row>
    <row r="450">
      <c r="A450" s="39" t="str">
        <f>IF(AND($L450*1&gt;=$G$3,$L450*1&lt;=$G$4,$I450*$J450&gt;0,OR($I450&lt;&gt;$I451,$L450-$L451&gt;25),$I450/POW(10,$J450)*MAXIFS(Token!$B:$B,Token!$A:$A,$K450)&gt;0.01),$L450/86400+DATE(1970,1,1)+$G$6,)</f>
        <v/>
      </c>
      <c r="B450" s="27" t="str">
        <f t="shared" si="1"/>
        <v/>
      </c>
      <c r="C450" s="14" t="str">
        <f>IF($A450&lt;&gt;"",MINIFS(Merchant!$A:$A,Merchant!$B:$B,$G$2),)</f>
        <v/>
      </c>
      <c r="D450" s="14" t="str">
        <f t="shared" si="2"/>
        <v/>
      </c>
      <c r="E450" s="14" t="str">
        <f t="shared" si="3"/>
        <v/>
      </c>
      <c r="F450" s="7" t="str">
        <f>IF($A450&lt;&gt;"",MAXIFS(Token!$B:$B,Token!$A:$A,$D450),)</f>
        <v/>
      </c>
    </row>
    <row r="451">
      <c r="A451" s="39" t="str">
        <f>IF(AND($L451*1&gt;=$G$3,$L451*1&lt;=$G$4,$I451*$J451&gt;0,OR($I451&lt;&gt;$I452,$L451-$L452&gt;25),$I451/POW(10,$J451)*MAXIFS(Token!$B:$B,Token!$A:$A,$K451)&gt;0.01),$L451/86400+DATE(1970,1,1)+$G$6,)</f>
        <v/>
      </c>
      <c r="B451" s="27" t="str">
        <f t="shared" si="1"/>
        <v/>
      </c>
      <c r="C451" s="14" t="str">
        <f>IF($A451&lt;&gt;"",MINIFS(Merchant!$A:$A,Merchant!$B:$B,$G$2),)</f>
        <v/>
      </c>
      <c r="D451" s="14" t="str">
        <f t="shared" si="2"/>
        <v/>
      </c>
      <c r="E451" s="14" t="str">
        <f t="shared" si="3"/>
        <v/>
      </c>
      <c r="F451" s="7" t="str">
        <f>IF($A451&lt;&gt;"",MAXIFS(Token!$B:$B,Token!$A:$A,$D451),)</f>
        <v/>
      </c>
    </row>
    <row r="452">
      <c r="A452" s="39" t="str">
        <f>IF(AND($L452*1&gt;=$G$3,$L452*1&lt;=$G$4,$I452*$J452&gt;0,OR($I452&lt;&gt;$I453,$L452-$L453&gt;25),$I452/POW(10,$J452)*MAXIFS(Token!$B:$B,Token!$A:$A,$K452)&gt;0.01),$L452/86400+DATE(1970,1,1)+$G$6,)</f>
        <v/>
      </c>
      <c r="B452" s="27" t="str">
        <f t="shared" si="1"/>
        <v/>
      </c>
      <c r="C452" s="14" t="str">
        <f>IF($A452&lt;&gt;"",MINIFS(Merchant!$A:$A,Merchant!$B:$B,$G$2),)</f>
        <v/>
      </c>
      <c r="D452" s="14" t="str">
        <f t="shared" si="2"/>
        <v/>
      </c>
      <c r="E452" s="14" t="str">
        <f t="shared" si="3"/>
        <v/>
      </c>
      <c r="F452" s="7" t="str">
        <f>IF($A452&lt;&gt;"",MAXIFS(Token!$B:$B,Token!$A:$A,$D452),)</f>
        <v/>
      </c>
    </row>
    <row r="453">
      <c r="A453" s="39" t="str">
        <f>IF(AND($L453*1&gt;=$G$3,$L453*1&lt;=$G$4,$I453*$J453&gt;0,OR($I453&lt;&gt;$I454,$L453-$L454&gt;25),$I453/POW(10,$J453)*MAXIFS(Token!$B:$B,Token!$A:$A,$K453)&gt;0.01),$L453/86400+DATE(1970,1,1)+$G$6,)</f>
        <v/>
      </c>
      <c r="B453" s="27" t="str">
        <f t="shared" si="1"/>
        <v/>
      </c>
      <c r="C453" s="14" t="str">
        <f>IF($A453&lt;&gt;"",MINIFS(Merchant!$A:$A,Merchant!$B:$B,$G$2),)</f>
        <v/>
      </c>
      <c r="D453" s="14" t="str">
        <f t="shared" si="2"/>
        <v/>
      </c>
      <c r="E453" s="14" t="str">
        <f t="shared" si="3"/>
        <v/>
      </c>
      <c r="F453" s="7" t="str">
        <f>IF($A453&lt;&gt;"",MAXIFS(Token!$B:$B,Token!$A:$A,$D453),)</f>
        <v/>
      </c>
    </row>
    <row r="454">
      <c r="A454" s="39" t="str">
        <f>IF(AND($L454*1&gt;=$G$3,$L454*1&lt;=$G$4,$I454*$J454&gt;0,OR($I454&lt;&gt;$I455,$L454-$L455&gt;25),$I454/POW(10,$J454)*MAXIFS(Token!$B:$B,Token!$A:$A,$K454)&gt;0.01),$L454/86400+DATE(1970,1,1)+$G$6,)</f>
        <v/>
      </c>
      <c r="B454" s="27" t="str">
        <f t="shared" si="1"/>
        <v/>
      </c>
      <c r="C454" s="14" t="str">
        <f>IF($A454&lt;&gt;"",MINIFS(Merchant!$A:$A,Merchant!$B:$B,$G$2),)</f>
        <v/>
      </c>
      <c r="D454" s="14" t="str">
        <f t="shared" si="2"/>
        <v/>
      </c>
      <c r="E454" s="14" t="str">
        <f t="shared" si="3"/>
        <v/>
      </c>
      <c r="F454" s="7" t="str">
        <f>IF($A454&lt;&gt;"",MAXIFS(Token!$B:$B,Token!$A:$A,$D454),)</f>
        <v/>
      </c>
    </row>
    <row r="455">
      <c r="A455" s="39" t="str">
        <f>IF(AND($L455*1&gt;=$G$3,$L455*1&lt;=$G$4,$I455*$J455&gt;0,OR($I455&lt;&gt;$I456,$L455-$L456&gt;25),$I455/POW(10,$J455)*MAXIFS(Token!$B:$B,Token!$A:$A,$K455)&gt;0.01),$L455/86400+DATE(1970,1,1)+$G$6,)</f>
        <v/>
      </c>
      <c r="B455" s="27" t="str">
        <f t="shared" si="1"/>
        <v/>
      </c>
      <c r="C455" s="14" t="str">
        <f>IF($A455&lt;&gt;"",MINIFS(Merchant!$A:$A,Merchant!$B:$B,$G$2),)</f>
        <v/>
      </c>
      <c r="D455" s="14" t="str">
        <f t="shared" si="2"/>
        <v/>
      </c>
      <c r="E455" s="14" t="str">
        <f t="shared" si="3"/>
        <v/>
      </c>
      <c r="F455" s="7" t="str">
        <f>IF($A455&lt;&gt;"",MAXIFS(Token!$B:$B,Token!$A:$A,$D455),)</f>
        <v/>
      </c>
    </row>
    <row r="456">
      <c r="A456" s="39" t="str">
        <f>IF(AND($L456*1&gt;=$G$3,$L456*1&lt;=$G$4,$I456*$J456&gt;0,OR($I456&lt;&gt;$I457,$L456-$L457&gt;25),$I456/POW(10,$J456)*MAXIFS(Token!$B:$B,Token!$A:$A,$K456)&gt;0.01),$L456/86400+DATE(1970,1,1)+$G$6,)</f>
        <v/>
      </c>
      <c r="B456" s="27" t="str">
        <f t="shared" si="1"/>
        <v/>
      </c>
      <c r="C456" s="14" t="str">
        <f>IF($A456&lt;&gt;"",MINIFS(Merchant!$A:$A,Merchant!$B:$B,$G$2),)</f>
        <v/>
      </c>
      <c r="D456" s="14" t="str">
        <f t="shared" si="2"/>
        <v/>
      </c>
      <c r="E456" s="14" t="str">
        <f t="shared" si="3"/>
        <v/>
      </c>
      <c r="F456" s="7" t="str">
        <f>IF($A456&lt;&gt;"",MAXIFS(Token!$B:$B,Token!$A:$A,$D456),)</f>
        <v/>
      </c>
    </row>
    <row r="457">
      <c r="A457" s="39" t="str">
        <f>IF(AND($L457*1&gt;=$G$3,$L457*1&lt;=$G$4,$I457*$J457&gt;0,OR($I457&lt;&gt;$I458,$L457-$L458&gt;25),$I457/POW(10,$J457)*MAXIFS(Token!$B:$B,Token!$A:$A,$K457)&gt;0.01),$L457/86400+DATE(1970,1,1)+$G$6,)</f>
        <v/>
      </c>
      <c r="B457" s="27" t="str">
        <f t="shared" si="1"/>
        <v/>
      </c>
      <c r="C457" s="14" t="str">
        <f>IF($A457&lt;&gt;"",MINIFS(Merchant!$A:$A,Merchant!$B:$B,$G$2),)</f>
        <v/>
      </c>
      <c r="D457" s="14" t="str">
        <f t="shared" si="2"/>
        <v/>
      </c>
      <c r="E457" s="14" t="str">
        <f t="shared" si="3"/>
        <v/>
      </c>
      <c r="F457" s="7" t="str">
        <f>IF($A457&lt;&gt;"",MAXIFS(Token!$B:$B,Token!$A:$A,$D457),)</f>
        <v/>
      </c>
    </row>
    <row r="458">
      <c r="A458" s="39" t="str">
        <f>IF(AND($L458*1&gt;=$G$3,$L458*1&lt;=$G$4,$I458*$J458&gt;0,OR($I458&lt;&gt;$I459,$L458-$L459&gt;25),$I458/POW(10,$J458)*MAXIFS(Token!$B:$B,Token!$A:$A,$K458)&gt;0.01),$L458/86400+DATE(1970,1,1)+$G$6,)</f>
        <v/>
      </c>
      <c r="B458" s="27" t="str">
        <f t="shared" si="1"/>
        <v/>
      </c>
      <c r="C458" s="14" t="str">
        <f>IF($A458&lt;&gt;"",MINIFS(Merchant!$A:$A,Merchant!$B:$B,$G$2),)</f>
        <v/>
      </c>
      <c r="D458" s="14" t="str">
        <f t="shared" si="2"/>
        <v/>
      </c>
      <c r="E458" s="14" t="str">
        <f t="shared" si="3"/>
        <v/>
      </c>
      <c r="F458" s="7" t="str">
        <f>IF($A458&lt;&gt;"",MAXIFS(Token!$B:$B,Token!$A:$A,$D458),)</f>
        <v/>
      </c>
    </row>
    <row r="459">
      <c r="A459" s="39" t="str">
        <f>IF(AND($L459*1&gt;=$G$3,$L459*1&lt;=$G$4,$I459*$J459&gt;0,OR($I459&lt;&gt;$I460,$L459-$L460&gt;25),$I459/POW(10,$J459)*MAXIFS(Token!$B:$B,Token!$A:$A,$K459)&gt;0.01),$L459/86400+DATE(1970,1,1)+$G$6,)</f>
        <v/>
      </c>
      <c r="B459" s="27" t="str">
        <f t="shared" si="1"/>
        <v/>
      </c>
      <c r="C459" s="14" t="str">
        <f>IF($A459&lt;&gt;"",MINIFS(Merchant!$A:$A,Merchant!$B:$B,$G$2),)</f>
        <v/>
      </c>
      <c r="D459" s="14" t="str">
        <f t="shared" si="2"/>
        <v/>
      </c>
      <c r="E459" s="14" t="str">
        <f t="shared" si="3"/>
        <v/>
      </c>
      <c r="F459" s="7" t="str">
        <f>IF($A459&lt;&gt;"",MAXIFS(Token!$B:$B,Token!$A:$A,$D459),)</f>
        <v/>
      </c>
    </row>
    <row r="460">
      <c r="A460" s="39" t="str">
        <f>IF(AND($L460*1&gt;=$G$3,$L460*1&lt;=$G$4,$I460*$J460&gt;0,OR($I460&lt;&gt;$I461,$L460-$L461&gt;25),$I460/POW(10,$J460)*MAXIFS(Token!$B:$B,Token!$A:$A,$K460)&gt;0.01),$L460/86400+DATE(1970,1,1)+$G$6,)</f>
        <v/>
      </c>
      <c r="B460" s="27" t="str">
        <f t="shared" si="1"/>
        <v/>
      </c>
      <c r="C460" s="14" t="str">
        <f>IF($A460&lt;&gt;"",MINIFS(Merchant!$A:$A,Merchant!$B:$B,$G$2),)</f>
        <v/>
      </c>
      <c r="D460" s="14" t="str">
        <f t="shared" si="2"/>
        <v/>
      </c>
      <c r="E460" s="14" t="str">
        <f t="shared" si="3"/>
        <v/>
      </c>
      <c r="F460" s="7" t="str">
        <f>IF($A460&lt;&gt;"",MAXIFS(Token!$B:$B,Token!$A:$A,$D460),)</f>
        <v/>
      </c>
    </row>
    <row r="461">
      <c r="A461" s="39" t="str">
        <f>IF(AND($L461*1&gt;=$G$3,$L461*1&lt;=$G$4,$I461*$J461&gt;0,OR($I461&lt;&gt;$I462,$L461-$L462&gt;25),$I461/POW(10,$J461)*MAXIFS(Token!$B:$B,Token!$A:$A,$K461)&gt;0.01),$L461/86400+DATE(1970,1,1)+$G$6,)</f>
        <v/>
      </c>
      <c r="B461" s="27" t="str">
        <f t="shared" si="1"/>
        <v/>
      </c>
      <c r="C461" s="14" t="str">
        <f>IF($A461&lt;&gt;"",MINIFS(Merchant!$A:$A,Merchant!$B:$B,$G$2),)</f>
        <v/>
      </c>
      <c r="D461" s="14" t="str">
        <f t="shared" si="2"/>
        <v/>
      </c>
      <c r="E461" s="14" t="str">
        <f t="shared" si="3"/>
        <v/>
      </c>
      <c r="F461" s="7" t="str">
        <f>IF($A461&lt;&gt;"",MAXIFS(Token!$B:$B,Token!$A:$A,$D461),)</f>
        <v/>
      </c>
    </row>
    <row r="462">
      <c r="A462" s="39" t="str">
        <f>IF(AND($L462*1&gt;=$G$3,$L462*1&lt;=$G$4,$I462*$J462&gt;0,OR($I462&lt;&gt;$I463,$L462-$L463&gt;25),$I462/POW(10,$J462)*MAXIFS(Token!$B:$B,Token!$A:$A,$K462)&gt;0.01),$L462/86400+DATE(1970,1,1)+$G$6,)</f>
        <v/>
      </c>
      <c r="B462" s="27" t="str">
        <f t="shared" si="1"/>
        <v/>
      </c>
      <c r="C462" s="14" t="str">
        <f>IF($A462&lt;&gt;"",MINIFS(Merchant!$A:$A,Merchant!$B:$B,$G$2),)</f>
        <v/>
      </c>
      <c r="D462" s="14" t="str">
        <f t="shared" si="2"/>
        <v/>
      </c>
      <c r="E462" s="14" t="str">
        <f t="shared" si="3"/>
        <v/>
      </c>
      <c r="F462" s="7" t="str">
        <f>IF($A462&lt;&gt;"",MAXIFS(Token!$B:$B,Token!$A:$A,$D462),)</f>
        <v/>
      </c>
    </row>
    <row r="463">
      <c r="A463" s="39" t="str">
        <f>IF(AND($L463*1&gt;=$G$3,$L463*1&lt;=$G$4,$I463*$J463&gt;0,OR($I463&lt;&gt;$I464,$L463-$L464&gt;25),$I463/POW(10,$J463)*MAXIFS(Token!$B:$B,Token!$A:$A,$K463)&gt;0.01),$L463/86400+DATE(1970,1,1)+$G$6,)</f>
        <v/>
      </c>
      <c r="B463" s="27" t="str">
        <f t="shared" si="1"/>
        <v/>
      </c>
      <c r="C463" s="14" t="str">
        <f>IF($A463&lt;&gt;"",MINIFS(Merchant!$A:$A,Merchant!$B:$B,$G$2),)</f>
        <v/>
      </c>
      <c r="D463" s="14" t="str">
        <f t="shared" si="2"/>
        <v/>
      </c>
      <c r="E463" s="14" t="str">
        <f t="shared" si="3"/>
        <v/>
      </c>
      <c r="F463" s="7" t="str">
        <f>IF($A463&lt;&gt;"",MAXIFS(Token!$B:$B,Token!$A:$A,$D463),)</f>
        <v/>
      </c>
    </row>
    <row r="464">
      <c r="A464" s="39" t="str">
        <f>IF(AND($L464*1&gt;=$G$3,$L464*1&lt;=$G$4,$I464*$J464&gt;0,OR($I464&lt;&gt;$I465,$L464-$L465&gt;25),$I464/POW(10,$J464)*MAXIFS(Token!$B:$B,Token!$A:$A,$K464)&gt;0.01),$L464/86400+DATE(1970,1,1)+$G$6,)</f>
        <v/>
      </c>
      <c r="B464" s="27" t="str">
        <f t="shared" si="1"/>
        <v/>
      </c>
      <c r="C464" s="14" t="str">
        <f>IF($A464&lt;&gt;"",MINIFS(Merchant!$A:$A,Merchant!$B:$B,$G$2),)</f>
        <v/>
      </c>
      <c r="D464" s="14" t="str">
        <f t="shared" si="2"/>
        <v/>
      </c>
      <c r="E464" s="14" t="str">
        <f t="shared" si="3"/>
        <v/>
      </c>
      <c r="F464" s="7" t="str">
        <f>IF($A464&lt;&gt;"",MAXIFS(Token!$B:$B,Token!$A:$A,$D464),)</f>
        <v/>
      </c>
    </row>
    <row r="465">
      <c r="A465" s="39" t="str">
        <f>IF(AND($L465*1&gt;=$G$3,$L465*1&lt;=$G$4,$I465*$J465&gt;0,OR($I465&lt;&gt;$I466,$L465-$L466&gt;25),$I465/POW(10,$J465)*MAXIFS(Token!$B:$B,Token!$A:$A,$K465)&gt;0.01),$L465/86400+DATE(1970,1,1)+$G$6,)</f>
        <v/>
      </c>
      <c r="B465" s="27" t="str">
        <f t="shared" si="1"/>
        <v/>
      </c>
      <c r="C465" s="14" t="str">
        <f>IF($A465&lt;&gt;"",MINIFS(Merchant!$A:$A,Merchant!$B:$B,$G$2),)</f>
        <v/>
      </c>
      <c r="D465" s="14" t="str">
        <f t="shared" si="2"/>
        <v/>
      </c>
      <c r="E465" s="14" t="str">
        <f t="shared" si="3"/>
        <v/>
      </c>
      <c r="F465" s="7" t="str">
        <f>IF($A465&lt;&gt;"",MAXIFS(Token!$B:$B,Token!$A:$A,$D465),)</f>
        <v/>
      </c>
    </row>
    <row r="466">
      <c r="A466" s="39" t="str">
        <f>IF(AND($L466*1&gt;=$G$3,$L466*1&lt;=$G$4,$I466*$J466&gt;0,OR($I466&lt;&gt;$I467,$L466-$L467&gt;25),$I466/POW(10,$J466)*MAXIFS(Token!$B:$B,Token!$A:$A,$K466)&gt;0.01),$L466/86400+DATE(1970,1,1)+$G$6,)</f>
        <v/>
      </c>
      <c r="B466" s="27" t="str">
        <f t="shared" si="1"/>
        <v/>
      </c>
      <c r="C466" s="14" t="str">
        <f>IF($A466&lt;&gt;"",MINIFS(Merchant!$A:$A,Merchant!$B:$B,$G$2),)</f>
        <v/>
      </c>
      <c r="D466" s="14" t="str">
        <f t="shared" si="2"/>
        <v/>
      </c>
      <c r="E466" s="14" t="str">
        <f t="shared" si="3"/>
        <v/>
      </c>
      <c r="F466" s="7" t="str">
        <f>IF($A466&lt;&gt;"",MAXIFS(Token!$B:$B,Token!$A:$A,$D466),)</f>
        <v/>
      </c>
    </row>
    <row r="467">
      <c r="A467" s="39" t="str">
        <f>IF(AND($L467*1&gt;=$G$3,$L467*1&lt;=$G$4,$I467*$J467&gt;0,OR($I467&lt;&gt;$I468,$L467-$L468&gt;25),$I467/POW(10,$J467)*MAXIFS(Token!$B:$B,Token!$A:$A,$K467)&gt;0.01),$L467/86400+DATE(1970,1,1)+$G$6,)</f>
        <v/>
      </c>
      <c r="B467" s="27" t="str">
        <f t="shared" si="1"/>
        <v/>
      </c>
      <c r="C467" s="14" t="str">
        <f>IF($A467&lt;&gt;"",MINIFS(Merchant!$A:$A,Merchant!$B:$B,$G$2),)</f>
        <v/>
      </c>
      <c r="D467" s="14" t="str">
        <f t="shared" si="2"/>
        <v/>
      </c>
      <c r="E467" s="14" t="str">
        <f t="shared" si="3"/>
        <v/>
      </c>
      <c r="F467" s="7" t="str">
        <f>IF($A467&lt;&gt;"",MAXIFS(Token!$B:$B,Token!$A:$A,$D467),)</f>
        <v/>
      </c>
    </row>
    <row r="468">
      <c r="A468" s="39" t="str">
        <f>IF(AND($L468*1&gt;=$G$3,$L468*1&lt;=$G$4,$I468*$J468&gt;0,OR($I468&lt;&gt;$I469,$L468-$L469&gt;25),$I468/POW(10,$J468)*MAXIFS(Token!$B:$B,Token!$A:$A,$K468)&gt;0.01),$L468/86400+DATE(1970,1,1)+$G$6,)</f>
        <v/>
      </c>
      <c r="B468" s="27" t="str">
        <f t="shared" si="1"/>
        <v/>
      </c>
      <c r="C468" s="14" t="str">
        <f>IF($A468&lt;&gt;"",MINIFS(Merchant!$A:$A,Merchant!$B:$B,$G$2),)</f>
        <v/>
      </c>
      <c r="D468" s="14" t="str">
        <f t="shared" si="2"/>
        <v/>
      </c>
      <c r="E468" s="14" t="str">
        <f t="shared" si="3"/>
        <v/>
      </c>
      <c r="F468" s="7" t="str">
        <f>IF($A468&lt;&gt;"",MAXIFS(Token!$B:$B,Token!$A:$A,$D468),)</f>
        <v/>
      </c>
    </row>
    <row r="469">
      <c r="A469" s="39" t="str">
        <f>IF(AND($L469*1&gt;=$G$3,$L469*1&lt;=$G$4,$I469*$J469&gt;0,OR($I469&lt;&gt;$I470,$L469-$L470&gt;25),$I469/POW(10,$J469)*MAXIFS(Token!$B:$B,Token!$A:$A,$K469)&gt;0.01),$L469/86400+DATE(1970,1,1)+$G$6,)</f>
        <v/>
      </c>
      <c r="B469" s="27" t="str">
        <f t="shared" si="1"/>
        <v/>
      </c>
      <c r="C469" s="14" t="str">
        <f>IF($A469&lt;&gt;"",MINIFS(Merchant!$A:$A,Merchant!$B:$B,$G$2),)</f>
        <v/>
      </c>
      <c r="D469" s="14" t="str">
        <f t="shared" si="2"/>
        <v/>
      </c>
      <c r="E469" s="14" t="str">
        <f t="shared" si="3"/>
        <v/>
      </c>
      <c r="F469" s="7" t="str">
        <f>IF($A469&lt;&gt;"",MAXIFS(Token!$B:$B,Token!$A:$A,$D469),)</f>
        <v/>
      </c>
    </row>
    <row r="470">
      <c r="A470" s="39" t="str">
        <f>IF(AND($L470*1&gt;=$G$3,$L470*1&lt;=$G$4,$I470*$J470&gt;0,OR($I470&lt;&gt;$I471,$L470-$L471&gt;25),$I470/POW(10,$J470)*MAXIFS(Token!$B:$B,Token!$A:$A,$K470)&gt;0.01),$L470/86400+DATE(1970,1,1)+$G$6,)</f>
        <v/>
      </c>
      <c r="B470" s="27" t="str">
        <f t="shared" si="1"/>
        <v/>
      </c>
      <c r="C470" s="14" t="str">
        <f>IF($A470&lt;&gt;"",MINIFS(Merchant!$A:$A,Merchant!$B:$B,$G$2),)</f>
        <v/>
      </c>
      <c r="D470" s="14" t="str">
        <f t="shared" si="2"/>
        <v/>
      </c>
      <c r="E470" s="14" t="str">
        <f t="shared" si="3"/>
        <v/>
      </c>
      <c r="F470" s="7" t="str">
        <f>IF($A470&lt;&gt;"",MAXIFS(Token!$B:$B,Token!$A:$A,$D470),)</f>
        <v/>
      </c>
    </row>
    <row r="471">
      <c r="A471" s="39" t="str">
        <f>IF(AND($L471*1&gt;=$G$3,$L471*1&lt;=$G$4,$I471*$J471&gt;0,OR($I471&lt;&gt;$I472,$L471-$L472&gt;25),$I471/POW(10,$J471)*MAXIFS(Token!$B:$B,Token!$A:$A,$K471)&gt;0.01),$L471/86400+DATE(1970,1,1)+$G$6,)</f>
        <v/>
      </c>
      <c r="B471" s="27" t="str">
        <f t="shared" si="1"/>
        <v/>
      </c>
      <c r="C471" s="14" t="str">
        <f>IF($A471&lt;&gt;"",MINIFS(Merchant!$A:$A,Merchant!$B:$B,$G$2),)</f>
        <v/>
      </c>
      <c r="D471" s="14" t="str">
        <f t="shared" si="2"/>
        <v/>
      </c>
      <c r="E471" s="14" t="str">
        <f t="shared" si="3"/>
        <v/>
      </c>
      <c r="F471" s="7" t="str">
        <f>IF($A471&lt;&gt;"",MAXIFS(Token!$B:$B,Token!$A:$A,$D471),)</f>
        <v/>
      </c>
    </row>
    <row r="472">
      <c r="A472" s="39" t="str">
        <f>IF(AND($L472*1&gt;=$G$3,$L472*1&lt;=$G$4,$I472*$J472&gt;0,OR($I472&lt;&gt;$I473,$L472-$L473&gt;25),$I472/POW(10,$J472)*MAXIFS(Token!$B:$B,Token!$A:$A,$K472)&gt;0.01),$L472/86400+DATE(1970,1,1)+$G$6,)</f>
        <v/>
      </c>
      <c r="B472" s="27" t="str">
        <f t="shared" si="1"/>
        <v/>
      </c>
      <c r="C472" s="14" t="str">
        <f>IF($A472&lt;&gt;"",MINIFS(Merchant!$A:$A,Merchant!$B:$B,$G$2),)</f>
        <v/>
      </c>
      <c r="D472" s="14" t="str">
        <f t="shared" si="2"/>
        <v/>
      </c>
      <c r="E472" s="14" t="str">
        <f t="shared" si="3"/>
        <v/>
      </c>
      <c r="F472" s="7" t="str">
        <f>IF($A472&lt;&gt;"",MAXIFS(Token!$B:$B,Token!$A:$A,$D472),)</f>
        <v/>
      </c>
    </row>
    <row r="473">
      <c r="A473" s="39" t="str">
        <f>IF(AND($L473*1&gt;=$G$3,$L473*1&lt;=$G$4,$I473*$J473&gt;0,OR($I473&lt;&gt;$I474,$L473-$L474&gt;25),$I473/POW(10,$J473)*MAXIFS(Token!$B:$B,Token!$A:$A,$K473)&gt;0.01),$L473/86400+DATE(1970,1,1)+$G$6,)</f>
        <v/>
      </c>
      <c r="B473" s="27" t="str">
        <f t="shared" si="1"/>
        <v/>
      </c>
      <c r="C473" s="14" t="str">
        <f>IF($A473&lt;&gt;"",MINIFS(Merchant!$A:$A,Merchant!$B:$B,$G$2),)</f>
        <v/>
      </c>
      <c r="D473" s="14" t="str">
        <f t="shared" si="2"/>
        <v/>
      </c>
      <c r="E473" s="14" t="str">
        <f t="shared" si="3"/>
        <v/>
      </c>
      <c r="F473" s="7" t="str">
        <f>IF($A473&lt;&gt;"",MAXIFS(Token!$B:$B,Token!$A:$A,$D473),)</f>
        <v/>
      </c>
    </row>
    <row r="474">
      <c r="A474" s="39" t="str">
        <f>IF(AND($L474*1&gt;=$G$3,$L474*1&lt;=$G$4,$I474*$J474&gt;0,OR($I474&lt;&gt;$I475,$L474-$L475&gt;25),$I474/POW(10,$J474)*MAXIFS(Token!$B:$B,Token!$A:$A,$K474)&gt;0.01),$L474/86400+DATE(1970,1,1)+$G$6,)</f>
        <v/>
      </c>
      <c r="B474" s="27" t="str">
        <f t="shared" si="1"/>
        <v/>
      </c>
      <c r="C474" s="14" t="str">
        <f>IF($A474&lt;&gt;"",MINIFS(Merchant!$A:$A,Merchant!$B:$B,$G$2),)</f>
        <v/>
      </c>
      <c r="D474" s="14" t="str">
        <f t="shared" si="2"/>
        <v/>
      </c>
      <c r="E474" s="14" t="str">
        <f t="shared" si="3"/>
        <v/>
      </c>
      <c r="F474" s="7" t="str">
        <f>IF($A474&lt;&gt;"",MAXIFS(Token!$B:$B,Token!$A:$A,$D474),)</f>
        <v/>
      </c>
    </row>
    <row r="475">
      <c r="A475" s="39" t="str">
        <f>IF(AND($L475*1&gt;=$G$3,$L475*1&lt;=$G$4,$I475*$J475&gt;0,OR($I475&lt;&gt;$I476,$L475-$L476&gt;25),$I475/POW(10,$J475)*MAXIFS(Token!$B:$B,Token!$A:$A,$K475)&gt;0.01),$L475/86400+DATE(1970,1,1)+$G$6,)</f>
        <v/>
      </c>
      <c r="B475" s="27" t="str">
        <f t="shared" si="1"/>
        <v/>
      </c>
      <c r="C475" s="14" t="str">
        <f>IF($A475&lt;&gt;"",MINIFS(Merchant!$A:$A,Merchant!$B:$B,$G$2),)</f>
        <v/>
      </c>
      <c r="D475" s="14" t="str">
        <f t="shared" si="2"/>
        <v/>
      </c>
      <c r="E475" s="14" t="str">
        <f t="shared" si="3"/>
        <v/>
      </c>
      <c r="F475" s="7" t="str">
        <f>IF($A475&lt;&gt;"",MAXIFS(Token!$B:$B,Token!$A:$A,$D475),)</f>
        <v/>
      </c>
    </row>
    <row r="476">
      <c r="A476" s="39" t="str">
        <f>IF(AND($L476*1&gt;=$G$3,$L476*1&lt;=$G$4,$I476*$J476&gt;0,OR($I476&lt;&gt;$I477,$L476-$L477&gt;25),$I476/POW(10,$J476)*MAXIFS(Token!$B:$B,Token!$A:$A,$K476)&gt;0.01),$L476/86400+DATE(1970,1,1)+$G$6,)</f>
        <v/>
      </c>
      <c r="B476" s="27" t="str">
        <f t="shared" si="1"/>
        <v/>
      </c>
      <c r="C476" s="14" t="str">
        <f>IF($A476&lt;&gt;"",MINIFS(Merchant!$A:$A,Merchant!$B:$B,$G$2),)</f>
        <v/>
      </c>
      <c r="D476" s="14" t="str">
        <f t="shared" si="2"/>
        <v/>
      </c>
      <c r="E476" s="14" t="str">
        <f t="shared" si="3"/>
        <v/>
      </c>
      <c r="F476" s="7" t="str">
        <f>IF($A476&lt;&gt;"",MAXIFS(Token!$B:$B,Token!$A:$A,$D476),)</f>
        <v/>
      </c>
    </row>
    <row r="477">
      <c r="A477" s="39" t="str">
        <f>IF(AND($L477*1&gt;=$G$3,$L477*1&lt;=$G$4,$I477*$J477&gt;0,OR($I477&lt;&gt;$I478,$L477-$L478&gt;25),$I477/POW(10,$J477)*MAXIFS(Token!$B:$B,Token!$A:$A,$K477)&gt;0.01),$L477/86400+DATE(1970,1,1)+$G$6,)</f>
        <v/>
      </c>
      <c r="B477" s="27" t="str">
        <f t="shared" si="1"/>
        <v/>
      </c>
      <c r="C477" s="14" t="str">
        <f>IF($A477&lt;&gt;"",MINIFS(Merchant!$A:$A,Merchant!$B:$B,$G$2),)</f>
        <v/>
      </c>
      <c r="D477" s="14" t="str">
        <f t="shared" si="2"/>
        <v/>
      </c>
      <c r="E477" s="14" t="str">
        <f t="shared" si="3"/>
        <v/>
      </c>
      <c r="F477" s="7" t="str">
        <f>IF($A477&lt;&gt;"",MAXIFS(Token!$B:$B,Token!$A:$A,$D477),)</f>
        <v/>
      </c>
    </row>
    <row r="478">
      <c r="A478" s="39" t="str">
        <f>IF(AND($L478*1&gt;=$G$3,$L478*1&lt;=$G$4,$I478*$J478&gt;0,OR($I478&lt;&gt;$I479,$L478-$L479&gt;25),$I478/POW(10,$J478)*MAXIFS(Token!$B:$B,Token!$A:$A,$K478)&gt;0.01),$L478/86400+DATE(1970,1,1)+$G$6,)</f>
        <v/>
      </c>
      <c r="B478" s="27" t="str">
        <f t="shared" si="1"/>
        <v/>
      </c>
      <c r="C478" s="14" t="str">
        <f>IF($A478&lt;&gt;"",MINIFS(Merchant!$A:$A,Merchant!$B:$B,$G$2),)</f>
        <v/>
      </c>
      <c r="D478" s="14" t="str">
        <f t="shared" si="2"/>
        <v/>
      </c>
      <c r="E478" s="14" t="str">
        <f t="shared" si="3"/>
        <v/>
      </c>
      <c r="F478" s="7" t="str">
        <f>IF($A478&lt;&gt;"",MAXIFS(Token!$B:$B,Token!$A:$A,$D478),)</f>
        <v/>
      </c>
    </row>
    <row r="479">
      <c r="A479" s="39" t="str">
        <f>IF(AND($L479*1&gt;=$G$3,$L479*1&lt;=$G$4,$I479*$J479&gt;0,OR($I479&lt;&gt;$I480,$L479-$L480&gt;25),$I479/POW(10,$J479)*MAXIFS(Token!$B:$B,Token!$A:$A,$K479)&gt;0.01),$L479/86400+DATE(1970,1,1)+$G$6,)</f>
        <v/>
      </c>
      <c r="B479" s="27" t="str">
        <f t="shared" si="1"/>
        <v/>
      </c>
      <c r="C479" s="14" t="str">
        <f>IF($A479&lt;&gt;"",MINIFS(Merchant!$A:$A,Merchant!$B:$B,$G$2),)</f>
        <v/>
      </c>
      <c r="D479" s="14" t="str">
        <f t="shared" si="2"/>
        <v/>
      </c>
      <c r="E479" s="14" t="str">
        <f t="shared" si="3"/>
        <v/>
      </c>
      <c r="F479" s="7" t="str">
        <f>IF($A479&lt;&gt;"",MAXIFS(Token!$B:$B,Token!$A:$A,$D479),)</f>
        <v/>
      </c>
    </row>
    <row r="480">
      <c r="A480" s="39" t="str">
        <f>IF(AND($L480*1&gt;=$G$3,$L480*1&lt;=$G$4,$I480*$J480&gt;0,OR($I480&lt;&gt;$I481,$L480-$L481&gt;25),$I480/POW(10,$J480)*MAXIFS(Token!$B:$B,Token!$A:$A,$K480)&gt;0.01),$L480/86400+DATE(1970,1,1)+$G$6,)</f>
        <v/>
      </c>
      <c r="B480" s="27" t="str">
        <f t="shared" si="1"/>
        <v/>
      </c>
      <c r="C480" s="14" t="str">
        <f>IF($A480&lt;&gt;"",MINIFS(Merchant!$A:$A,Merchant!$B:$B,$G$2),)</f>
        <v/>
      </c>
      <c r="D480" s="14" t="str">
        <f t="shared" si="2"/>
        <v/>
      </c>
      <c r="E480" s="14" t="str">
        <f t="shared" si="3"/>
        <v/>
      </c>
      <c r="F480" s="7" t="str">
        <f>IF($A480&lt;&gt;"",MAXIFS(Token!$B:$B,Token!$A:$A,$D480),)</f>
        <v/>
      </c>
    </row>
    <row r="481">
      <c r="A481" s="39" t="str">
        <f>IF(AND($L481*1&gt;=$G$3,$L481*1&lt;=$G$4,$I481*$J481&gt;0,OR($I481&lt;&gt;$I482,$L481-$L482&gt;25),$I481/POW(10,$J481)*MAXIFS(Token!$B:$B,Token!$A:$A,$K481)&gt;0.01),$L481/86400+DATE(1970,1,1)+$G$6,)</f>
        <v/>
      </c>
      <c r="B481" s="27" t="str">
        <f t="shared" si="1"/>
        <v/>
      </c>
      <c r="C481" s="14" t="str">
        <f>IF($A481&lt;&gt;"",MINIFS(Merchant!$A:$A,Merchant!$B:$B,$G$2),)</f>
        <v/>
      </c>
      <c r="D481" s="14" t="str">
        <f t="shared" si="2"/>
        <v/>
      </c>
      <c r="E481" s="14" t="str">
        <f t="shared" si="3"/>
        <v/>
      </c>
      <c r="F481" s="7" t="str">
        <f>IF($A481&lt;&gt;"",MAXIFS(Token!$B:$B,Token!$A:$A,$D481),)</f>
        <v/>
      </c>
    </row>
    <row r="482">
      <c r="A482" s="39" t="str">
        <f>IF(AND($L482*1&gt;=$G$3,$L482*1&lt;=$G$4,$I482*$J482&gt;0,OR($I482&lt;&gt;$I483,$L482-$L483&gt;25),$I482/POW(10,$J482)*MAXIFS(Token!$B:$B,Token!$A:$A,$K482)&gt;0.01),$L482/86400+DATE(1970,1,1)+$G$6,)</f>
        <v/>
      </c>
      <c r="B482" s="27" t="str">
        <f t="shared" si="1"/>
        <v/>
      </c>
      <c r="C482" s="14" t="str">
        <f>IF($A482&lt;&gt;"",MINIFS(Merchant!$A:$A,Merchant!$B:$B,$G$2),)</f>
        <v/>
      </c>
      <c r="D482" s="14" t="str">
        <f t="shared" si="2"/>
        <v/>
      </c>
      <c r="E482" s="14" t="str">
        <f t="shared" si="3"/>
        <v/>
      </c>
      <c r="F482" s="7" t="str">
        <f>IF($A482&lt;&gt;"",MAXIFS(Token!$B:$B,Token!$A:$A,$D482),)</f>
        <v/>
      </c>
    </row>
    <row r="483">
      <c r="A483" s="39" t="str">
        <f>IF(AND($L483*1&gt;=$G$3,$L483*1&lt;=$G$4,$I483*$J483&gt;0,OR($I483&lt;&gt;$I484,$L483-$L484&gt;25),$I483/POW(10,$J483)*MAXIFS(Token!$B:$B,Token!$A:$A,$K483)&gt;0.01),$L483/86400+DATE(1970,1,1)+$G$6,)</f>
        <v/>
      </c>
      <c r="B483" s="27" t="str">
        <f t="shared" si="1"/>
        <v/>
      </c>
      <c r="C483" s="14" t="str">
        <f>IF($A483&lt;&gt;"",MINIFS(Merchant!$A:$A,Merchant!$B:$B,$G$2),)</f>
        <v/>
      </c>
      <c r="D483" s="14" t="str">
        <f t="shared" si="2"/>
        <v/>
      </c>
      <c r="E483" s="14" t="str">
        <f t="shared" si="3"/>
        <v/>
      </c>
      <c r="F483" s="7" t="str">
        <f>IF($A483&lt;&gt;"",MAXIFS(Token!$B:$B,Token!$A:$A,$D483),)</f>
        <v/>
      </c>
    </row>
    <row r="484">
      <c r="A484" s="39" t="str">
        <f>IF(AND($L484*1&gt;=$G$3,$L484*1&lt;=$G$4,$I484*$J484&gt;0,OR($I484&lt;&gt;$I485,$L484-$L485&gt;25),$I484/POW(10,$J484)*MAXIFS(Token!$B:$B,Token!$A:$A,$K484)&gt;0.01),$L484/86400+DATE(1970,1,1)+$G$6,)</f>
        <v/>
      </c>
      <c r="B484" s="27" t="str">
        <f t="shared" si="1"/>
        <v/>
      </c>
      <c r="C484" s="14" t="str">
        <f>IF($A484&lt;&gt;"",MINIFS(Merchant!$A:$A,Merchant!$B:$B,$G$2),)</f>
        <v/>
      </c>
      <c r="D484" s="14" t="str">
        <f t="shared" si="2"/>
        <v/>
      </c>
      <c r="E484" s="14" t="str">
        <f t="shared" si="3"/>
        <v/>
      </c>
      <c r="F484" s="7" t="str">
        <f>IF($A484&lt;&gt;"",MAXIFS(Token!$B:$B,Token!$A:$A,$D484),)</f>
        <v/>
      </c>
    </row>
    <row r="485">
      <c r="A485" s="39" t="str">
        <f>IF(AND($L485*1&gt;=$G$3,$L485*1&lt;=$G$4,$I485*$J485&gt;0,OR($I485&lt;&gt;$I486,$L485-$L486&gt;25),$I485/POW(10,$J485)*MAXIFS(Token!$B:$B,Token!$A:$A,$K485)&gt;0.01),$L485/86400+DATE(1970,1,1)+$G$6,)</f>
        <v/>
      </c>
      <c r="B485" s="27" t="str">
        <f t="shared" si="1"/>
        <v/>
      </c>
      <c r="C485" s="14" t="str">
        <f>IF($A485&lt;&gt;"",MINIFS(Merchant!$A:$A,Merchant!$B:$B,$G$2),)</f>
        <v/>
      </c>
      <c r="D485" s="14" t="str">
        <f t="shared" si="2"/>
        <v/>
      </c>
      <c r="E485" s="14" t="str">
        <f t="shared" si="3"/>
        <v/>
      </c>
      <c r="F485" s="7" t="str">
        <f>IF($A485&lt;&gt;"",MAXIFS(Token!$B:$B,Token!$A:$A,$D485),)</f>
        <v/>
      </c>
    </row>
    <row r="486">
      <c r="A486" s="39" t="str">
        <f>IF(AND($L486*1&gt;=$G$3,$L486*1&lt;=$G$4,$I486*$J486&gt;0,OR($I486&lt;&gt;$I487,$L486-$L487&gt;25),$I486/POW(10,$J486)*MAXIFS(Token!$B:$B,Token!$A:$A,$K486)&gt;0.01),$L486/86400+DATE(1970,1,1)+$G$6,)</f>
        <v/>
      </c>
      <c r="B486" s="27" t="str">
        <f t="shared" si="1"/>
        <v/>
      </c>
      <c r="C486" s="14" t="str">
        <f>IF($A486&lt;&gt;"",MINIFS(Merchant!$A:$A,Merchant!$B:$B,$G$2),)</f>
        <v/>
      </c>
      <c r="D486" s="14" t="str">
        <f t="shared" si="2"/>
        <v/>
      </c>
      <c r="E486" s="14" t="str">
        <f t="shared" si="3"/>
        <v/>
      </c>
      <c r="F486" s="7" t="str">
        <f>IF($A486&lt;&gt;"",MAXIFS(Token!$B:$B,Token!$A:$A,$D486),)</f>
        <v/>
      </c>
    </row>
    <row r="487">
      <c r="A487" s="39" t="str">
        <f>IF(AND($L487*1&gt;=$G$3,$L487*1&lt;=$G$4,$I487*$J487&gt;0,OR($I487&lt;&gt;$I488,$L487-$L488&gt;25),$I487/POW(10,$J487)*MAXIFS(Token!$B:$B,Token!$A:$A,$K487)&gt;0.01),$L487/86400+DATE(1970,1,1)+$G$6,)</f>
        <v/>
      </c>
      <c r="B487" s="27" t="str">
        <f t="shared" si="1"/>
        <v/>
      </c>
      <c r="C487" s="14" t="str">
        <f>IF($A487&lt;&gt;"",MINIFS(Merchant!$A:$A,Merchant!$B:$B,$G$2),)</f>
        <v/>
      </c>
      <c r="D487" s="14" t="str">
        <f t="shared" si="2"/>
        <v/>
      </c>
      <c r="E487" s="14" t="str">
        <f t="shared" si="3"/>
        <v/>
      </c>
      <c r="F487" s="7" t="str">
        <f>IF($A487&lt;&gt;"",MAXIFS(Token!$B:$B,Token!$A:$A,$D487),)</f>
        <v/>
      </c>
    </row>
    <row r="488">
      <c r="A488" s="39" t="str">
        <f>IF(AND($L488*1&gt;=$G$3,$L488*1&lt;=$G$4,$I488*$J488&gt;0,OR($I488&lt;&gt;$I489,$L488-$L489&gt;25),$I488/POW(10,$J488)*MAXIFS(Token!$B:$B,Token!$A:$A,$K488)&gt;0.01),$L488/86400+DATE(1970,1,1)+$G$6,)</f>
        <v/>
      </c>
      <c r="B488" s="27" t="str">
        <f t="shared" si="1"/>
        <v/>
      </c>
      <c r="C488" s="14" t="str">
        <f>IF($A488&lt;&gt;"",MINIFS(Merchant!$A:$A,Merchant!$B:$B,$G$2),)</f>
        <v/>
      </c>
      <c r="D488" s="14" t="str">
        <f t="shared" si="2"/>
        <v/>
      </c>
      <c r="E488" s="14" t="str">
        <f t="shared" si="3"/>
        <v/>
      </c>
      <c r="F488" s="7" t="str">
        <f>IF($A488&lt;&gt;"",MAXIFS(Token!$B:$B,Token!$A:$A,$D488),)</f>
        <v/>
      </c>
    </row>
    <row r="489">
      <c r="A489" s="39" t="str">
        <f>IF(AND($L489*1&gt;=$G$3,$L489*1&lt;=$G$4,$I489*$J489&gt;0,OR($I489&lt;&gt;$I490,$L489-$L490&gt;25),$I489/POW(10,$J489)*MAXIFS(Token!$B:$B,Token!$A:$A,$K489)&gt;0.01),$L489/86400+DATE(1970,1,1)+$G$6,)</f>
        <v/>
      </c>
      <c r="B489" s="27" t="str">
        <f t="shared" si="1"/>
        <v/>
      </c>
      <c r="C489" s="14" t="str">
        <f>IF($A489&lt;&gt;"",MINIFS(Merchant!$A:$A,Merchant!$B:$B,$G$2),)</f>
        <v/>
      </c>
      <c r="D489" s="14" t="str">
        <f t="shared" si="2"/>
        <v/>
      </c>
      <c r="E489" s="14" t="str">
        <f t="shared" si="3"/>
        <v/>
      </c>
      <c r="F489" s="7" t="str">
        <f>IF($A489&lt;&gt;"",MAXIFS(Token!$B:$B,Token!$A:$A,$D489),)</f>
        <v/>
      </c>
    </row>
    <row r="490">
      <c r="A490" s="39" t="str">
        <f>IF(AND($L490*1&gt;=$G$3,$L490*1&lt;=$G$4,$I490*$J490&gt;0,OR($I490&lt;&gt;$I491,$L490-$L491&gt;25),$I490/POW(10,$J490)*MAXIFS(Token!$B:$B,Token!$A:$A,$K490)&gt;0.01),$L490/86400+DATE(1970,1,1)+$G$6,)</f>
        <v/>
      </c>
      <c r="B490" s="27" t="str">
        <f t="shared" si="1"/>
        <v/>
      </c>
      <c r="C490" s="14" t="str">
        <f>IF($A490&lt;&gt;"",MINIFS(Merchant!$A:$A,Merchant!$B:$B,$G$2),)</f>
        <v/>
      </c>
      <c r="D490" s="14" t="str">
        <f t="shared" si="2"/>
        <v/>
      </c>
      <c r="E490" s="14" t="str">
        <f t="shared" si="3"/>
        <v/>
      </c>
      <c r="F490" s="7" t="str">
        <f>IF($A490&lt;&gt;"",MAXIFS(Token!$B:$B,Token!$A:$A,$D490),)</f>
        <v/>
      </c>
    </row>
    <row r="491">
      <c r="A491" s="39" t="str">
        <f>IF(AND($L491*1&gt;=$G$3,$L491*1&lt;=$G$4,$I491*$J491&gt;0,OR($I491&lt;&gt;$I492,$L491-$L492&gt;25),$I491/POW(10,$J491)*MAXIFS(Token!$B:$B,Token!$A:$A,$K491)&gt;0.01),$L491/86400+DATE(1970,1,1)+$G$6,)</f>
        <v/>
      </c>
      <c r="B491" s="27" t="str">
        <f t="shared" si="1"/>
        <v/>
      </c>
      <c r="C491" s="14" t="str">
        <f>IF($A491&lt;&gt;"",MINIFS(Merchant!$A:$A,Merchant!$B:$B,$G$2),)</f>
        <v/>
      </c>
      <c r="D491" s="14" t="str">
        <f t="shared" si="2"/>
        <v/>
      </c>
      <c r="E491" s="14" t="str">
        <f t="shared" si="3"/>
        <v/>
      </c>
      <c r="F491" s="7" t="str">
        <f>IF($A491&lt;&gt;"",MAXIFS(Token!$B:$B,Token!$A:$A,$D491),)</f>
        <v/>
      </c>
    </row>
    <row r="492">
      <c r="A492" s="39" t="str">
        <f>IF(AND($L492*1&gt;=$G$3,$L492*1&lt;=$G$4,$I492*$J492&gt;0,OR($I492&lt;&gt;$I493,$L492-$L493&gt;25),$I492/POW(10,$J492)*MAXIFS(Token!$B:$B,Token!$A:$A,$K492)&gt;0.01),$L492/86400+DATE(1970,1,1)+$G$6,)</f>
        <v/>
      </c>
      <c r="B492" s="27" t="str">
        <f t="shared" si="1"/>
        <v/>
      </c>
      <c r="C492" s="14" t="str">
        <f>IF($A492&lt;&gt;"",MINIFS(Merchant!$A:$A,Merchant!$B:$B,$G$2),)</f>
        <v/>
      </c>
      <c r="D492" s="14" t="str">
        <f t="shared" si="2"/>
        <v/>
      </c>
      <c r="E492" s="14" t="str">
        <f t="shared" si="3"/>
        <v/>
      </c>
      <c r="F492" s="7" t="str">
        <f>IF($A492&lt;&gt;"",MAXIFS(Token!$B:$B,Token!$A:$A,$D492),)</f>
        <v/>
      </c>
    </row>
    <row r="493">
      <c r="A493" s="39" t="str">
        <f>IF(AND($L493*1&gt;=$G$3,$L493*1&lt;=$G$4,$I493*$J493&gt;0,OR($I493&lt;&gt;$I494,$L493-$L494&gt;25),$I493/POW(10,$J493)*MAXIFS(Token!$B:$B,Token!$A:$A,$K493)&gt;0.01),$L493/86400+DATE(1970,1,1)+$G$6,)</f>
        <v/>
      </c>
      <c r="B493" s="27" t="str">
        <f t="shared" si="1"/>
        <v/>
      </c>
      <c r="C493" s="14" t="str">
        <f>IF($A493&lt;&gt;"",MINIFS(Merchant!$A:$A,Merchant!$B:$B,$G$2),)</f>
        <v/>
      </c>
      <c r="D493" s="14" t="str">
        <f t="shared" si="2"/>
        <v/>
      </c>
      <c r="E493" s="14" t="str">
        <f t="shared" si="3"/>
        <v/>
      </c>
      <c r="F493" s="7" t="str">
        <f>IF($A493&lt;&gt;"",MAXIFS(Token!$B:$B,Token!$A:$A,$D493),)</f>
        <v/>
      </c>
    </row>
    <row r="494">
      <c r="A494" s="39" t="str">
        <f>IF(AND($L494*1&gt;=$G$3,$L494*1&lt;=$G$4,$I494*$J494&gt;0,OR($I494&lt;&gt;$I495,$L494-$L495&gt;25),$I494/POW(10,$J494)*MAXIFS(Token!$B:$B,Token!$A:$A,$K494)&gt;0.01),$L494/86400+DATE(1970,1,1)+$G$6,)</f>
        <v/>
      </c>
      <c r="B494" s="27" t="str">
        <f t="shared" si="1"/>
        <v/>
      </c>
      <c r="C494" s="14" t="str">
        <f>IF($A494&lt;&gt;"",MINIFS(Merchant!$A:$A,Merchant!$B:$B,$G$2),)</f>
        <v/>
      </c>
      <c r="D494" s="14" t="str">
        <f t="shared" si="2"/>
        <v/>
      </c>
      <c r="E494" s="14" t="str">
        <f t="shared" si="3"/>
        <v/>
      </c>
      <c r="F494" s="7" t="str">
        <f>IF($A494&lt;&gt;"",MAXIFS(Token!$B:$B,Token!$A:$A,$D494),)</f>
        <v/>
      </c>
    </row>
    <row r="495">
      <c r="A495" s="39" t="str">
        <f>IF(AND($L495*1&gt;=$G$3,$L495*1&lt;=$G$4,$I495*$J495&gt;0,OR($I495&lt;&gt;$I496,$L495-$L496&gt;25),$I495/POW(10,$J495)*MAXIFS(Token!$B:$B,Token!$A:$A,$K495)&gt;0.01),$L495/86400+DATE(1970,1,1)+$G$6,)</f>
        <v/>
      </c>
      <c r="B495" s="27" t="str">
        <f t="shared" si="1"/>
        <v/>
      </c>
      <c r="C495" s="14" t="str">
        <f>IF($A495&lt;&gt;"",MINIFS(Merchant!$A:$A,Merchant!$B:$B,$G$2),)</f>
        <v/>
      </c>
      <c r="D495" s="14" t="str">
        <f t="shared" si="2"/>
        <v/>
      </c>
      <c r="E495" s="14" t="str">
        <f t="shared" si="3"/>
        <v/>
      </c>
      <c r="F495" s="7" t="str">
        <f>IF($A495&lt;&gt;"",MAXIFS(Token!$B:$B,Token!$A:$A,$D495),)</f>
        <v/>
      </c>
    </row>
    <row r="496">
      <c r="A496" s="39" t="str">
        <f>IF(AND($L496*1&gt;=$G$3,$L496*1&lt;=$G$4,$I496*$J496&gt;0,OR($I496&lt;&gt;$I497,$L496-$L497&gt;25),$I496/POW(10,$J496)*MAXIFS(Token!$B:$B,Token!$A:$A,$K496)&gt;0.01),$L496/86400+DATE(1970,1,1)+$G$6,)</f>
        <v/>
      </c>
      <c r="B496" s="27" t="str">
        <f t="shared" si="1"/>
        <v/>
      </c>
      <c r="C496" s="14" t="str">
        <f>IF($A496&lt;&gt;"",MINIFS(Merchant!$A:$A,Merchant!$B:$B,$G$2),)</f>
        <v/>
      </c>
      <c r="D496" s="14" t="str">
        <f t="shared" si="2"/>
        <v/>
      </c>
      <c r="E496" s="14" t="str">
        <f t="shared" si="3"/>
        <v/>
      </c>
      <c r="F496" s="7" t="str">
        <f>IF($A496&lt;&gt;"",MAXIFS(Token!$B:$B,Token!$A:$A,$D496),)</f>
        <v/>
      </c>
    </row>
    <row r="497">
      <c r="A497" s="39" t="str">
        <f>IF(AND($L497*1&gt;=$G$3,$L497*1&lt;=$G$4,$I497*$J497&gt;0,OR($I497&lt;&gt;$I498,$L497-$L498&gt;25),$I497/POW(10,$J497)*MAXIFS(Token!$B:$B,Token!$A:$A,$K497)&gt;0.01),$L497/86400+DATE(1970,1,1)+$G$6,)</f>
        <v/>
      </c>
      <c r="B497" s="27" t="str">
        <f t="shared" si="1"/>
        <v/>
      </c>
      <c r="C497" s="14" t="str">
        <f>IF($A497&lt;&gt;"",MINIFS(Merchant!$A:$A,Merchant!$B:$B,$G$2),)</f>
        <v/>
      </c>
      <c r="D497" s="14" t="str">
        <f t="shared" si="2"/>
        <v/>
      </c>
      <c r="E497" s="14" t="str">
        <f t="shared" si="3"/>
        <v/>
      </c>
      <c r="F497" s="7" t="str">
        <f>IF($A497&lt;&gt;"",MAXIFS(Token!$B:$B,Token!$A:$A,$D497),)</f>
        <v/>
      </c>
    </row>
    <row r="498">
      <c r="A498" s="39" t="str">
        <f>IF(AND($L498*1&gt;=$G$3,$L498*1&lt;=$G$4,$I498*$J498&gt;0,OR($I498&lt;&gt;$I499,$L498-$L499&gt;25),$I498/POW(10,$J498)*MAXIFS(Token!$B:$B,Token!$A:$A,$K498)&gt;0.01),$L498/86400+DATE(1970,1,1)+$G$6,)</f>
        <v/>
      </c>
      <c r="B498" s="27" t="str">
        <f t="shared" si="1"/>
        <v/>
      </c>
      <c r="C498" s="14" t="str">
        <f>IF($A498&lt;&gt;"",MINIFS(Merchant!$A:$A,Merchant!$B:$B,$G$2),)</f>
        <v/>
      </c>
      <c r="D498" s="14" t="str">
        <f t="shared" si="2"/>
        <v/>
      </c>
      <c r="E498" s="14" t="str">
        <f t="shared" si="3"/>
        <v/>
      </c>
      <c r="F498" s="7" t="str">
        <f>IF($A498&lt;&gt;"",MAXIFS(Token!$B:$B,Token!$A:$A,$D498),)</f>
        <v/>
      </c>
    </row>
    <row r="499">
      <c r="A499" s="39" t="str">
        <f>IF(AND($L499*1&gt;=$G$3,$L499*1&lt;=$G$4,$I499*$J499&gt;0,OR($I499&lt;&gt;$I500,$L499-$L500&gt;25),$I499/POW(10,$J499)*MAXIFS(Token!$B:$B,Token!$A:$A,$K499)&gt;0.01),$L499/86400+DATE(1970,1,1)+$G$6,)</f>
        <v/>
      </c>
      <c r="B499" s="27" t="str">
        <f t="shared" si="1"/>
        <v/>
      </c>
      <c r="C499" s="14" t="str">
        <f>IF($A499&lt;&gt;"",MINIFS(Merchant!$A:$A,Merchant!$B:$B,$G$2),)</f>
        <v/>
      </c>
      <c r="D499" s="14" t="str">
        <f t="shared" si="2"/>
        <v/>
      </c>
      <c r="E499" s="14" t="str">
        <f t="shared" si="3"/>
        <v/>
      </c>
      <c r="F499" s="7" t="str">
        <f>IF($A499&lt;&gt;"",MAXIFS(Token!$B:$B,Token!$A:$A,$D499),)</f>
        <v/>
      </c>
    </row>
    <row r="500">
      <c r="A500" s="39" t="str">
        <f>IF(AND($L500*1&gt;=$G$3,$L500*1&lt;=$G$4,$I500*$J500&gt;0,OR($I500&lt;&gt;$I501,$L500-$L501&gt;25),$I500/POW(10,$J500)*MAXIFS(Token!$B:$B,Token!$A:$A,$K500)&gt;0.01),$L500/86400+DATE(1970,1,1)+$G$6,)</f>
        <v/>
      </c>
      <c r="B500" s="27" t="str">
        <f t="shared" si="1"/>
        <v/>
      </c>
      <c r="C500" s="14" t="str">
        <f>IF($A500&lt;&gt;"",MINIFS(Merchant!$A:$A,Merchant!$B:$B,$G$2),)</f>
        <v/>
      </c>
      <c r="D500" s="14" t="str">
        <f t="shared" si="2"/>
        <v/>
      </c>
      <c r="E500" s="14" t="str">
        <f t="shared" si="3"/>
        <v/>
      </c>
      <c r="F500" s="7" t="str">
        <f>IF($A500&lt;&gt;"",MAXIFS(Token!$B:$B,Token!$A:$A,$D500),)</f>
        <v/>
      </c>
    </row>
    <row r="501">
      <c r="A501" s="39" t="str">
        <f>IF(AND($L501*1&gt;=$G$3,$L501*1&lt;=$G$4,$I501*$J501&gt;0,OR($I501&lt;&gt;$I502,$L501-$L502&gt;25),$I501/POW(10,$J501)*MAXIFS(Token!$B:$B,Token!$A:$A,$K501)&gt;0.01),$L501/86400+DATE(1970,1,1)+$G$6,)</f>
        <v/>
      </c>
      <c r="B501" s="27" t="str">
        <f t="shared" si="1"/>
        <v/>
      </c>
      <c r="C501" s="14" t="str">
        <f>IF($A501&lt;&gt;"",MINIFS(Merchant!$A:$A,Merchant!$B:$B,$G$2),)</f>
        <v/>
      </c>
      <c r="D501" s="14" t="str">
        <f t="shared" si="2"/>
        <v/>
      </c>
      <c r="E501" s="14" t="str">
        <f t="shared" si="3"/>
        <v/>
      </c>
      <c r="F501" s="7" t="str">
        <f>IF($A501&lt;&gt;"",MAXIFS(Token!$B:$B,Token!$A:$A,$D501),)</f>
        <v/>
      </c>
    </row>
    <row r="502">
      <c r="A502" s="39" t="str">
        <f>IF(AND($L502*1&gt;=$G$3,$L502*1&lt;=$G$4,$I502*$J502&gt;0,OR($I502&lt;&gt;$I503,$L502-$L503&gt;25),$I502/POW(10,$J502)*MAXIFS(Token!$B:$B,Token!$A:$A,$K502)&gt;0.01),$L502/86400+DATE(1970,1,1)+$G$6,)</f>
        <v/>
      </c>
      <c r="B502" s="27" t="str">
        <f t="shared" si="1"/>
        <v/>
      </c>
      <c r="C502" s="14" t="str">
        <f>IF($A502&lt;&gt;"",MINIFS(Merchant!$A:$A,Merchant!$B:$B,$G$2),)</f>
        <v/>
      </c>
      <c r="D502" s="14" t="str">
        <f t="shared" si="2"/>
        <v/>
      </c>
      <c r="E502" s="14" t="str">
        <f t="shared" si="3"/>
        <v/>
      </c>
      <c r="F502" s="7" t="str">
        <f>IF($A502&lt;&gt;"",MAXIFS(Token!$B:$B,Token!$A:$A,$D502),)</f>
        <v/>
      </c>
    </row>
    <row r="503">
      <c r="A503" s="39" t="str">
        <f>IF(AND($L503*1&gt;=$G$3,$L503*1&lt;=$G$4,$I503*$J503&gt;0,OR($I503&lt;&gt;$I504,$L503-$L504&gt;25),$I503/POW(10,$J503)*MAXIFS(Token!$B:$B,Token!$A:$A,$K503)&gt;0.01),$L503/86400+DATE(1970,1,1)+$G$6,)</f>
        <v/>
      </c>
      <c r="B503" s="27" t="str">
        <f t="shared" si="1"/>
        <v/>
      </c>
      <c r="C503" s="14" t="str">
        <f>IF($A503&lt;&gt;"",MINIFS(Merchant!$A:$A,Merchant!$B:$B,$G$2),)</f>
        <v/>
      </c>
      <c r="D503" s="14" t="str">
        <f t="shared" si="2"/>
        <v/>
      </c>
      <c r="E503" s="14" t="str">
        <f t="shared" si="3"/>
        <v/>
      </c>
      <c r="F503" s="7" t="str">
        <f>IF($A503&lt;&gt;"",MAXIFS(Token!$B:$B,Token!$A:$A,$D503),)</f>
        <v/>
      </c>
    </row>
    <row r="504">
      <c r="A504" s="39" t="str">
        <f>IF(AND($L504*1&gt;=$G$3,$L504*1&lt;=$G$4,$I504*$J504&gt;0,OR($I504&lt;&gt;$I505,$L504-$L505&gt;25),$I504/POW(10,$J504)*MAXIFS(Token!$B:$B,Token!$A:$A,$K504)&gt;0.01),$L504/86400+DATE(1970,1,1)+$G$6,)</f>
        <v/>
      </c>
      <c r="B504" s="27" t="str">
        <f t="shared" si="1"/>
        <v/>
      </c>
      <c r="C504" s="14" t="str">
        <f>IF($A504&lt;&gt;"",MINIFS(Merchant!$A:$A,Merchant!$B:$B,$G$2),)</f>
        <v/>
      </c>
      <c r="D504" s="14" t="str">
        <f t="shared" si="2"/>
        <v/>
      </c>
      <c r="E504" s="14" t="str">
        <f t="shared" si="3"/>
        <v/>
      </c>
      <c r="F504" s="7" t="str">
        <f>IF($A504&lt;&gt;"",MAXIFS(Token!$B:$B,Token!$A:$A,$D504),)</f>
        <v/>
      </c>
    </row>
    <row r="505">
      <c r="A505" s="39" t="str">
        <f>IF(AND($L505*1&gt;=$G$3,$L505*1&lt;=$G$4,$I505*$J505&gt;0,OR($I505&lt;&gt;$I506,$L505-$L506&gt;25),$I505/POW(10,$J505)*MAXIFS(Token!$B:$B,Token!$A:$A,$K505)&gt;0.01),$L505/86400+DATE(1970,1,1)+$G$6,)</f>
        <v/>
      </c>
      <c r="B505" s="27" t="str">
        <f t="shared" si="1"/>
        <v/>
      </c>
      <c r="C505" s="14" t="str">
        <f>IF($A505&lt;&gt;"",MINIFS(Merchant!$A:$A,Merchant!$B:$B,$G$2),)</f>
        <v/>
      </c>
      <c r="D505" s="14" t="str">
        <f t="shared" si="2"/>
        <v/>
      </c>
      <c r="E505" s="14" t="str">
        <f t="shared" si="3"/>
        <v/>
      </c>
      <c r="F505" s="7" t="str">
        <f>IF($A505&lt;&gt;"",MAXIFS(Token!$B:$B,Token!$A:$A,$D505),)</f>
        <v/>
      </c>
    </row>
    <row r="506">
      <c r="A506" s="39" t="str">
        <f>IF(AND($L506*1&gt;=$G$3,$L506*1&lt;=$G$4,$I506*$J506&gt;0,OR($I506&lt;&gt;$I507,$L506-$L507&gt;25),$I506/POW(10,$J506)*MAXIFS(Token!$B:$B,Token!$A:$A,$K506)&gt;0.01),$L506/86400+DATE(1970,1,1)+$G$6,)</f>
        <v/>
      </c>
      <c r="B506" s="27" t="str">
        <f t="shared" si="1"/>
        <v/>
      </c>
      <c r="C506" s="14" t="str">
        <f>IF($A506&lt;&gt;"",MINIFS(Merchant!$A:$A,Merchant!$B:$B,$G$2),)</f>
        <v/>
      </c>
      <c r="D506" s="14" t="str">
        <f t="shared" si="2"/>
        <v/>
      </c>
      <c r="E506" s="14" t="str">
        <f t="shared" si="3"/>
        <v/>
      </c>
      <c r="F506" s="7" t="str">
        <f>IF($A506&lt;&gt;"",MAXIFS(Token!$B:$B,Token!$A:$A,$D506),)</f>
        <v/>
      </c>
    </row>
    <row r="507">
      <c r="A507" s="39" t="str">
        <f>IF(AND($L507*1&gt;=$G$3,$L507*1&lt;=$G$4,$I507*$J507&gt;0,OR($I507&lt;&gt;$I508,$L507-$L508&gt;25),$I507/POW(10,$J507)*MAXIFS(Token!$B:$B,Token!$A:$A,$K507)&gt;0.01),$L507/86400+DATE(1970,1,1)+$G$6,)</f>
        <v/>
      </c>
      <c r="B507" s="27" t="str">
        <f t="shared" si="1"/>
        <v/>
      </c>
      <c r="C507" s="14" t="str">
        <f>IF($A507&lt;&gt;"",MINIFS(Merchant!$A:$A,Merchant!$B:$B,$G$2),)</f>
        <v/>
      </c>
      <c r="D507" s="14" t="str">
        <f t="shared" si="2"/>
        <v/>
      </c>
      <c r="E507" s="14" t="str">
        <f t="shared" si="3"/>
        <v/>
      </c>
      <c r="F507" s="7" t="str">
        <f>IF($A507&lt;&gt;"",MAXIFS(Token!$B:$B,Token!$A:$A,$D507),)</f>
        <v/>
      </c>
    </row>
    <row r="508">
      <c r="A508" s="39" t="str">
        <f>IF(AND($L508*1&gt;=$G$3,$L508*1&lt;=$G$4,$I508*$J508&gt;0,OR($I508&lt;&gt;$I509,$L508-$L509&gt;25),$I508/POW(10,$J508)*MAXIFS(Token!$B:$B,Token!$A:$A,$K508)&gt;0.01),$L508/86400+DATE(1970,1,1)+$G$6,)</f>
        <v/>
      </c>
      <c r="B508" s="27" t="str">
        <f t="shared" si="1"/>
        <v/>
      </c>
      <c r="C508" s="14" t="str">
        <f>IF($A508&lt;&gt;"",MINIFS(Merchant!$A:$A,Merchant!$B:$B,$G$2),)</f>
        <v/>
      </c>
      <c r="D508" s="14" t="str">
        <f t="shared" si="2"/>
        <v/>
      </c>
      <c r="E508" s="14" t="str">
        <f t="shared" si="3"/>
        <v/>
      </c>
      <c r="F508" s="7" t="str">
        <f>IF($A508&lt;&gt;"",MAXIFS(Token!$B:$B,Token!$A:$A,$D508),)</f>
        <v/>
      </c>
    </row>
    <row r="509">
      <c r="A509" s="39" t="str">
        <f>IF(AND($L509*1&gt;=$G$3,$L509*1&lt;=$G$4,$I509*$J509&gt;0,OR($I509&lt;&gt;$I510,$L509-$L510&gt;25),$I509/POW(10,$J509)*MAXIFS(Token!$B:$B,Token!$A:$A,$K509)&gt;0.01),$L509/86400+DATE(1970,1,1)+$G$6,)</f>
        <v/>
      </c>
      <c r="B509" s="27" t="str">
        <f t="shared" si="1"/>
        <v/>
      </c>
      <c r="C509" s="14" t="str">
        <f>IF($A509&lt;&gt;"",MINIFS(Merchant!$A:$A,Merchant!$B:$B,$G$2),)</f>
        <v/>
      </c>
      <c r="D509" s="14" t="str">
        <f t="shared" si="2"/>
        <v/>
      </c>
      <c r="E509" s="14" t="str">
        <f t="shared" si="3"/>
        <v/>
      </c>
      <c r="F509" s="7" t="str">
        <f>IF($A509&lt;&gt;"",MAXIFS(Token!$B:$B,Token!$A:$A,$D509),)</f>
        <v/>
      </c>
    </row>
    <row r="510">
      <c r="A510" s="39" t="str">
        <f>IF(AND($L510*1&gt;=$G$3,$L510*1&lt;=$G$4,$I510*$J510&gt;0,OR($I510&lt;&gt;$I511,$L510-$L511&gt;25),$I510/POW(10,$J510)*MAXIFS(Token!$B:$B,Token!$A:$A,$K510)&gt;0.01),$L510/86400+DATE(1970,1,1)+$G$6,)</f>
        <v/>
      </c>
      <c r="B510" s="27" t="str">
        <f t="shared" si="1"/>
        <v/>
      </c>
      <c r="C510" s="14" t="str">
        <f>IF($A510&lt;&gt;"",MINIFS(Merchant!$A:$A,Merchant!$B:$B,$G$2),)</f>
        <v/>
      </c>
      <c r="D510" s="14" t="str">
        <f t="shared" si="2"/>
        <v/>
      </c>
      <c r="E510" s="14" t="str">
        <f t="shared" si="3"/>
        <v/>
      </c>
      <c r="F510" s="7" t="str">
        <f>IF($A510&lt;&gt;"",MAXIFS(Token!$B:$B,Token!$A:$A,$D510),)</f>
        <v/>
      </c>
    </row>
    <row r="511">
      <c r="A511" s="39" t="str">
        <f>IF(AND($L511*1&gt;=$G$3,$L511*1&lt;=$G$4,$I511*$J511&gt;0,OR($I511&lt;&gt;$I512,$L511-$L512&gt;25),$I511/POW(10,$J511)*MAXIFS(Token!$B:$B,Token!$A:$A,$K511)&gt;0.01),$L511/86400+DATE(1970,1,1)+$G$6,)</f>
        <v/>
      </c>
      <c r="B511" s="27" t="str">
        <f t="shared" si="1"/>
        <v/>
      </c>
      <c r="C511" s="14" t="str">
        <f>IF($A511&lt;&gt;"",MINIFS(Merchant!$A:$A,Merchant!$B:$B,$G$2),)</f>
        <v/>
      </c>
      <c r="D511" s="14" t="str">
        <f t="shared" si="2"/>
        <v/>
      </c>
      <c r="E511" s="14" t="str">
        <f t="shared" si="3"/>
        <v/>
      </c>
      <c r="F511" s="7" t="str">
        <f>IF($A511&lt;&gt;"",MAXIFS(Token!$B:$B,Token!$A:$A,$D511),)</f>
        <v/>
      </c>
    </row>
    <row r="512">
      <c r="A512" s="39" t="str">
        <f>IF(AND($L512*1&gt;=$G$3,$L512*1&lt;=$G$4,$I512*$J512&gt;0,OR($I512&lt;&gt;$I513,$L512-$L513&gt;25),$I512/POW(10,$J512)*MAXIFS(Token!$B:$B,Token!$A:$A,$K512)&gt;0.01),$L512/86400+DATE(1970,1,1)+$G$6,)</f>
        <v/>
      </c>
      <c r="B512" s="27" t="str">
        <f t="shared" si="1"/>
        <v/>
      </c>
      <c r="C512" s="14" t="str">
        <f>IF($A512&lt;&gt;"",MINIFS(Merchant!$A:$A,Merchant!$B:$B,$G$2),)</f>
        <v/>
      </c>
      <c r="D512" s="14" t="str">
        <f t="shared" si="2"/>
        <v/>
      </c>
      <c r="E512" s="14" t="str">
        <f t="shared" si="3"/>
        <v/>
      </c>
      <c r="F512" s="7" t="str">
        <f>IF($A512&lt;&gt;"",MAXIFS(Token!$B:$B,Token!$A:$A,$D512),)</f>
        <v/>
      </c>
    </row>
    <row r="513">
      <c r="A513" s="39" t="str">
        <f>IF(AND($L513*1&gt;=$G$3,$L513*1&lt;=$G$4,$I513*$J513&gt;0,OR($I513&lt;&gt;$I514,$L513-$L514&gt;25),$I513/POW(10,$J513)*MAXIFS(Token!$B:$B,Token!$A:$A,$K513)&gt;0.01),$L513/86400+DATE(1970,1,1)+$G$6,)</f>
        <v/>
      </c>
      <c r="B513" s="27" t="str">
        <f t="shared" si="1"/>
        <v/>
      </c>
      <c r="C513" s="14" t="str">
        <f>IF($A513&lt;&gt;"",MINIFS(Merchant!$A:$A,Merchant!$B:$B,$G$2),)</f>
        <v/>
      </c>
      <c r="D513" s="14" t="str">
        <f t="shared" si="2"/>
        <v/>
      </c>
      <c r="E513" s="14" t="str">
        <f t="shared" si="3"/>
        <v/>
      </c>
      <c r="F513" s="7" t="str">
        <f>IF($A513&lt;&gt;"",MAXIFS(Token!$B:$B,Token!$A:$A,$D513),)</f>
        <v/>
      </c>
    </row>
    <row r="514">
      <c r="A514" s="39" t="str">
        <f>IF(AND($L514*1&gt;=$G$3,$L514*1&lt;=$G$4,$I514*$J514&gt;0,OR($I514&lt;&gt;$I515,$L514-$L515&gt;25),$I514/POW(10,$J514)*MAXIFS(Token!$B:$B,Token!$A:$A,$K514)&gt;0.01),$L514/86400+DATE(1970,1,1)+$G$6,)</f>
        <v/>
      </c>
      <c r="B514" s="27" t="str">
        <f t="shared" si="1"/>
        <v/>
      </c>
      <c r="C514" s="14" t="str">
        <f>IF($A514&lt;&gt;"",MINIFS(Merchant!$A:$A,Merchant!$B:$B,$G$2),)</f>
        <v/>
      </c>
      <c r="D514" s="14" t="str">
        <f t="shared" si="2"/>
        <v/>
      </c>
      <c r="E514" s="14" t="str">
        <f t="shared" si="3"/>
        <v/>
      </c>
      <c r="F514" s="7" t="str">
        <f>IF($A514&lt;&gt;"",MAXIFS(Token!$B:$B,Token!$A:$A,$D514),)</f>
        <v/>
      </c>
    </row>
    <row r="515">
      <c r="A515" s="39" t="str">
        <f>IF(AND($L515*1&gt;=$G$3,$L515*1&lt;=$G$4,$I515*$J515&gt;0,OR($I515&lt;&gt;$I516,$L515-$L516&gt;25),$I515/POW(10,$J515)*MAXIFS(Token!$B:$B,Token!$A:$A,$K515)&gt;0.01),$L515/86400+DATE(1970,1,1)+$G$6,)</f>
        <v/>
      </c>
      <c r="B515" s="27" t="str">
        <f t="shared" si="1"/>
        <v/>
      </c>
      <c r="C515" s="14" t="str">
        <f>IF($A515&lt;&gt;"",MINIFS(Merchant!$A:$A,Merchant!$B:$B,$G$2),)</f>
        <v/>
      </c>
      <c r="D515" s="14" t="str">
        <f t="shared" si="2"/>
        <v/>
      </c>
      <c r="E515" s="14" t="str">
        <f t="shared" si="3"/>
        <v/>
      </c>
      <c r="F515" s="7" t="str">
        <f>IF($A515&lt;&gt;"",MAXIFS(Token!$B:$B,Token!$A:$A,$D515),)</f>
        <v/>
      </c>
    </row>
    <row r="516">
      <c r="A516" s="39" t="str">
        <f>IF(AND($L516*1&gt;=$G$3,$L516*1&lt;=$G$4,$I516*$J516&gt;0,OR($I516&lt;&gt;$I517,$L516-$L517&gt;25),$I516/POW(10,$J516)*MAXIFS(Token!$B:$B,Token!$A:$A,$K516)&gt;0.01),$L516/86400+DATE(1970,1,1)+$G$6,)</f>
        <v/>
      </c>
      <c r="B516" s="27" t="str">
        <f t="shared" si="1"/>
        <v/>
      </c>
      <c r="C516" s="14" t="str">
        <f>IF($A516&lt;&gt;"",MINIFS(Merchant!$A:$A,Merchant!$B:$B,$G$2),)</f>
        <v/>
      </c>
      <c r="D516" s="14" t="str">
        <f t="shared" si="2"/>
        <v/>
      </c>
      <c r="E516" s="14" t="str">
        <f t="shared" si="3"/>
        <v/>
      </c>
      <c r="F516" s="7" t="str">
        <f>IF($A516&lt;&gt;"",MAXIFS(Token!$B:$B,Token!$A:$A,$D516),)</f>
        <v/>
      </c>
    </row>
    <row r="517">
      <c r="A517" s="39" t="str">
        <f>IF(AND($L517*1&gt;=$G$3,$L517*1&lt;=$G$4,$I517*$J517&gt;0,OR($I517&lt;&gt;$I518,$L517-$L518&gt;25),$I517/POW(10,$J517)*MAXIFS(Token!$B:$B,Token!$A:$A,$K517)&gt;0.01),$L517/86400+DATE(1970,1,1)+$G$6,)</f>
        <v/>
      </c>
      <c r="B517" s="27" t="str">
        <f t="shared" si="1"/>
        <v/>
      </c>
      <c r="C517" s="14" t="str">
        <f>IF($A517&lt;&gt;"",MINIFS(Merchant!$A:$A,Merchant!$B:$B,$G$2),)</f>
        <v/>
      </c>
      <c r="D517" s="14" t="str">
        <f t="shared" si="2"/>
        <v/>
      </c>
      <c r="E517" s="14" t="str">
        <f t="shared" si="3"/>
        <v/>
      </c>
      <c r="F517" s="7" t="str">
        <f>IF($A517&lt;&gt;"",MAXIFS(Token!$B:$B,Token!$A:$A,$D517),)</f>
        <v/>
      </c>
    </row>
    <row r="518">
      <c r="A518" s="39" t="str">
        <f>IF(AND($L518*1&gt;=$G$3,$L518*1&lt;=$G$4,$I518*$J518&gt;0,OR($I518&lt;&gt;$I519,$L518-$L519&gt;25),$I518/POW(10,$J518)*MAXIFS(Token!$B:$B,Token!$A:$A,$K518)&gt;0.01),$L518/86400+DATE(1970,1,1)+$G$6,)</f>
        <v/>
      </c>
      <c r="B518" s="27" t="str">
        <f t="shared" si="1"/>
        <v/>
      </c>
      <c r="C518" s="14" t="str">
        <f>IF($A518&lt;&gt;"",MINIFS(Merchant!$A:$A,Merchant!$B:$B,$G$2),)</f>
        <v/>
      </c>
      <c r="D518" s="14" t="str">
        <f t="shared" si="2"/>
        <v/>
      </c>
      <c r="E518" s="14" t="str">
        <f t="shared" si="3"/>
        <v/>
      </c>
      <c r="F518" s="7" t="str">
        <f>IF($A518&lt;&gt;"",MAXIFS(Token!$B:$B,Token!$A:$A,$D518),)</f>
        <v/>
      </c>
    </row>
    <row r="519">
      <c r="A519" s="39" t="str">
        <f>IF(AND($L519*1&gt;=$G$3,$L519*1&lt;=$G$4,$I519*$J519&gt;0,OR($I519&lt;&gt;$I520,$L519-$L520&gt;25),$I519/POW(10,$J519)*MAXIFS(Token!$B:$B,Token!$A:$A,$K519)&gt;0.01),$L519/86400+DATE(1970,1,1)+$G$6,)</f>
        <v/>
      </c>
      <c r="B519" s="27" t="str">
        <f t="shared" si="1"/>
        <v/>
      </c>
      <c r="C519" s="14" t="str">
        <f>IF($A519&lt;&gt;"",MINIFS(Merchant!$A:$A,Merchant!$B:$B,$G$2),)</f>
        <v/>
      </c>
      <c r="D519" s="14" t="str">
        <f t="shared" si="2"/>
        <v/>
      </c>
      <c r="E519" s="14" t="str">
        <f t="shared" si="3"/>
        <v/>
      </c>
      <c r="F519" s="7" t="str">
        <f>IF($A519&lt;&gt;"",MAXIFS(Token!$B:$B,Token!$A:$A,$D519),)</f>
        <v/>
      </c>
    </row>
    <row r="520">
      <c r="A520" s="39" t="str">
        <f>IF(AND($L520*1&gt;=$G$3,$L520*1&lt;=$G$4,$I520*$J520&gt;0,OR($I520&lt;&gt;$I521,$L520-$L521&gt;25),$I520/POW(10,$J520)*MAXIFS(Token!$B:$B,Token!$A:$A,$K520)&gt;0.01),$L520/86400+DATE(1970,1,1)+$G$6,)</f>
        <v/>
      </c>
      <c r="B520" s="27" t="str">
        <f t="shared" si="1"/>
        <v/>
      </c>
      <c r="C520" s="14" t="str">
        <f>IF($A520&lt;&gt;"",MINIFS(Merchant!$A:$A,Merchant!$B:$B,$G$2),)</f>
        <v/>
      </c>
      <c r="D520" s="14" t="str">
        <f t="shared" si="2"/>
        <v/>
      </c>
      <c r="E520" s="14" t="str">
        <f t="shared" si="3"/>
        <v/>
      </c>
      <c r="F520" s="7" t="str">
        <f>IF($A520&lt;&gt;"",MAXIFS(Token!$B:$B,Token!$A:$A,$D520),)</f>
        <v/>
      </c>
    </row>
    <row r="521">
      <c r="A521" s="39" t="str">
        <f>IF(AND($L521*1&gt;=$G$3,$L521*1&lt;=$G$4,$I521*$J521&gt;0,OR($I521&lt;&gt;$I522,$L521-$L522&gt;25),$I521/POW(10,$J521)*MAXIFS(Token!$B:$B,Token!$A:$A,$K521)&gt;0.01),$L521/86400+DATE(1970,1,1)+$G$6,)</f>
        <v/>
      </c>
      <c r="B521" s="27" t="str">
        <f t="shared" si="1"/>
        <v/>
      </c>
      <c r="C521" s="14" t="str">
        <f>IF($A521&lt;&gt;"",MINIFS(Merchant!$A:$A,Merchant!$B:$B,$G$2),)</f>
        <v/>
      </c>
      <c r="D521" s="14" t="str">
        <f t="shared" si="2"/>
        <v/>
      </c>
      <c r="E521" s="14" t="str">
        <f t="shared" si="3"/>
        <v/>
      </c>
      <c r="F521" s="7" t="str">
        <f>IF($A521&lt;&gt;"",MAXIFS(Token!$B:$B,Token!$A:$A,$D521),)</f>
        <v/>
      </c>
    </row>
    <row r="522">
      <c r="A522" s="39" t="str">
        <f>IF(AND($L522*1&gt;=$G$3,$L522*1&lt;=$G$4,$I522*$J522&gt;0,OR($I522&lt;&gt;$I523,$L522-$L523&gt;25),$I522/POW(10,$J522)*MAXIFS(Token!$B:$B,Token!$A:$A,$K522)&gt;0.01),$L522/86400+DATE(1970,1,1)+$G$6,)</f>
        <v/>
      </c>
      <c r="B522" s="27" t="str">
        <f t="shared" si="1"/>
        <v/>
      </c>
      <c r="C522" s="14" t="str">
        <f>IF($A522&lt;&gt;"",MINIFS(Merchant!$A:$A,Merchant!$B:$B,$G$2),)</f>
        <v/>
      </c>
      <c r="D522" s="14" t="str">
        <f t="shared" si="2"/>
        <v/>
      </c>
      <c r="E522" s="14" t="str">
        <f t="shared" si="3"/>
        <v/>
      </c>
      <c r="F522" s="7" t="str">
        <f>IF($A522&lt;&gt;"",MAXIFS(Token!$B:$B,Token!$A:$A,$D522),)</f>
        <v/>
      </c>
    </row>
    <row r="523">
      <c r="A523" s="39" t="str">
        <f>IF(AND($L523*1&gt;=$G$3,$L523*1&lt;=$G$4,$I523*$J523&gt;0,OR($I523&lt;&gt;$I524,$L523-$L524&gt;25),$I523/POW(10,$J523)*MAXIFS(Token!$B:$B,Token!$A:$A,$K523)&gt;0.01),$L523/86400+DATE(1970,1,1)+$G$6,)</f>
        <v/>
      </c>
      <c r="B523" s="27" t="str">
        <f t="shared" si="1"/>
        <v/>
      </c>
      <c r="C523" s="14" t="str">
        <f>IF($A523&lt;&gt;"",MINIFS(Merchant!$A:$A,Merchant!$B:$B,$G$2),)</f>
        <v/>
      </c>
      <c r="D523" s="14" t="str">
        <f t="shared" si="2"/>
        <v/>
      </c>
      <c r="E523" s="14" t="str">
        <f t="shared" si="3"/>
        <v/>
      </c>
      <c r="F523" s="7" t="str">
        <f>IF($A523&lt;&gt;"",MAXIFS(Token!$B:$B,Token!$A:$A,$D523),)</f>
        <v/>
      </c>
    </row>
    <row r="524">
      <c r="A524" s="39" t="str">
        <f>IF(AND($L524*1&gt;=$G$3,$L524*1&lt;=$G$4,$I524*$J524&gt;0,OR($I524&lt;&gt;$I525,$L524-$L525&gt;25),$I524/POW(10,$J524)*MAXIFS(Token!$B:$B,Token!$A:$A,$K524)&gt;0.01),$L524/86400+DATE(1970,1,1)+$G$6,)</f>
        <v/>
      </c>
      <c r="B524" s="27" t="str">
        <f t="shared" si="1"/>
        <v/>
      </c>
      <c r="C524" s="14" t="str">
        <f>IF($A524&lt;&gt;"",MINIFS(Merchant!$A:$A,Merchant!$B:$B,$G$2),)</f>
        <v/>
      </c>
      <c r="D524" s="14" t="str">
        <f t="shared" si="2"/>
        <v/>
      </c>
      <c r="E524" s="14" t="str">
        <f t="shared" si="3"/>
        <v/>
      </c>
      <c r="F524" s="7" t="str">
        <f>IF($A524&lt;&gt;"",MAXIFS(Token!$B:$B,Token!$A:$A,$D524),)</f>
        <v/>
      </c>
    </row>
    <row r="525">
      <c r="A525" s="39" t="str">
        <f>IF(AND($L525*1&gt;=$G$3,$L525*1&lt;=$G$4,$I525*$J525&gt;0,OR($I525&lt;&gt;$I526,$L525-$L526&gt;25),$I525/POW(10,$J525)*MAXIFS(Token!$B:$B,Token!$A:$A,$K525)&gt;0.01),$L525/86400+DATE(1970,1,1)+$G$6,)</f>
        <v/>
      </c>
      <c r="B525" s="27" t="str">
        <f t="shared" si="1"/>
        <v/>
      </c>
      <c r="C525" s="14" t="str">
        <f>IF($A525&lt;&gt;"",MINIFS(Merchant!$A:$A,Merchant!$B:$B,$G$2),)</f>
        <v/>
      </c>
      <c r="D525" s="14" t="str">
        <f t="shared" si="2"/>
        <v/>
      </c>
      <c r="E525" s="14" t="str">
        <f t="shared" si="3"/>
        <v/>
      </c>
      <c r="F525" s="7" t="str">
        <f>IF($A525&lt;&gt;"",MAXIFS(Token!$B:$B,Token!$A:$A,$D525),)</f>
        <v/>
      </c>
    </row>
    <row r="526">
      <c r="A526" s="39" t="str">
        <f>IF(AND($L526*1&gt;=$G$3,$L526*1&lt;=$G$4,$I526*$J526&gt;0,OR($I526&lt;&gt;$I527,$L526-$L527&gt;25),$I526/POW(10,$J526)*MAXIFS(Token!$B:$B,Token!$A:$A,$K526)&gt;0.01),$L526/86400+DATE(1970,1,1)+$G$6,)</f>
        <v/>
      </c>
      <c r="B526" s="27" t="str">
        <f t="shared" si="1"/>
        <v/>
      </c>
      <c r="C526" s="14" t="str">
        <f>IF($A526&lt;&gt;"",MINIFS(Merchant!$A:$A,Merchant!$B:$B,$G$2),)</f>
        <v/>
      </c>
      <c r="D526" s="14" t="str">
        <f t="shared" si="2"/>
        <v/>
      </c>
      <c r="E526" s="14" t="str">
        <f t="shared" si="3"/>
        <v/>
      </c>
      <c r="F526" s="7" t="str">
        <f>IF($A526&lt;&gt;"",MAXIFS(Token!$B:$B,Token!$A:$A,$D526),)</f>
        <v/>
      </c>
    </row>
    <row r="527">
      <c r="A527" s="39" t="str">
        <f>IF(AND($L527*1&gt;=$G$3,$L527*1&lt;=$G$4,$I527*$J527&gt;0,OR($I527&lt;&gt;$I528,$L527-$L528&gt;25),$I527/POW(10,$J527)*MAXIFS(Token!$B:$B,Token!$A:$A,$K527)&gt;0.01),$L527/86400+DATE(1970,1,1)+$G$6,)</f>
        <v/>
      </c>
      <c r="B527" s="27" t="str">
        <f t="shared" si="1"/>
        <v/>
      </c>
      <c r="C527" s="14" t="str">
        <f>IF($A527&lt;&gt;"",MINIFS(Merchant!$A:$A,Merchant!$B:$B,$G$2),)</f>
        <v/>
      </c>
      <c r="D527" s="14" t="str">
        <f t="shared" si="2"/>
        <v/>
      </c>
      <c r="E527" s="14" t="str">
        <f t="shared" si="3"/>
        <v/>
      </c>
      <c r="F527" s="7" t="str">
        <f>IF($A527&lt;&gt;"",MAXIFS(Token!$B:$B,Token!$A:$A,$D527),)</f>
        <v/>
      </c>
    </row>
    <row r="528">
      <c r="A528" s="39" t="str">
        <f>IF(AND($L528*1&gt;=$G$3,$L528*1&lt;=$G$4,$I528*$J528&gt;0,OR($I528&lt;&gt;$I529,$L528-$L529&gt;25),$I528/POW(10,$J528)*MAXIFS(Token!$B:$B,Token!$A:$A,$K528)&gt;0.01),$L528/86400+DATE(1970,1,1)+$G$6,)</f>
        <v/>
      </c>
      <c r="B528" s="27" t="str">
        <f t="shared" si="1"/>
        <v/>
      </c>
      <c r="C528" s="14" t="str">
        <f>IF($A528&lt;&gt;"",MINIFS(Merchant!$A:$A,Merchant!$B:$B,$G$2),)</f>
        <v/>
      </c>
      <c r="D528" s="14" t="str">
        <f t="shared" si="2"/>
        <v/>
      </c>
      <c r="E528" s="14" t="str">
        <f t="shared" si="3"/>
        <v/>
      </c>
      <c r="F528" s="7" t="str">
        <f>IF($A528&lt;&gt;"",MAXIFS(Token!$B:$B,Token!$A:$A,$D528),)</f>
        <v/>
      </c>
    </row>
    <row r="529">
      <c r="A529" s="39" t="str">
        <f>IF(AND($L529*1&gt;=$G$3,$L529*1&lt;=$G$4,$I529*$J529&gt;0,OR($I529&lt;&gt;$I530,$L529-$L530&gt;25),$I529/POW(10,$J529)*MAXIFS(Token!$B:$B,Token!$A:$A,$K529)&gt;0.01),$L529/86400+DATE(1970,1,1)+$G$6,)</f>
        <v/>
      </c>
      <c r="B529" s="27" t="str">
        <f t="shared" si="1"/>
        <v/>
      </c>
      <c r="C529" s="14" t="str">
        <f>IF($A529&lt;&gt;"",MINIFS(Merchant!$A:$A,Merchant!$B:$B,$G$2),)</f>
        <v/>
      </c>
      <c r="D529" s="14" t="str">
        <f t="shared" si="2"/>
        <v/>
      </c>
      <c r="E529" s="14" t="str">
        <f t="shared" si="3"/>
        <v/>
      </c>
      <c r="F529" s="7" t="str">
        <f>IF($A529&lt;&gt;"",MAXIFS(Token!$B:$B,Token!$A:$A,$D529),)</f>
        <v/>
      </c>
    </row>
    <row r="530">
      <c r="A530" s="39" t="str">
        <f>IF(AND($L530*1&gt;=$G$3,$L530*1&lt;=$G$4,$I530*$J530&gt;0,OR($I530&lt;&gt;$I531,$L530-$L531&gt;25),$I530/POW(10,$J530)*MAXIFS(Token!$B:$B,Token!$A:$A,$K530)&gt;0.01),$L530/86400+DATE(1970,1,1)+$G$6,)</f>
        <v/>
      </c>
      <c r="B530" s="27" t="str">
        <f t="shared" si="1"/>
        <v/>
      </c>
      <c r="C530" s="14" t="str">
        <f>IF($A530&lt;&gt;"",MINIFS(Merchant!$A:$A,Merchant!$B:$B,$G$2),)</f>
        <v/>
      </c>
      <c r="D530" s="14" t="str">
        <f t="shared" si="2"/>
        <v/>
      </c>
      <c r="E530" s="14" t="str">
        <f t="shared" si="3"/>
        <v/>
      </c>
      <c r="F530" s="7" t="str">
        <f>IF($A530&lt;&gt;"",MAXIFS(Token!$B:$B,Token!$A:$A,$D530),)</f>
        <v/>
      </c>
    </row>
    <row r="531">
      <c r="A531" s="39" t="str">
        <f>IF(AND($L531*1&gt;=$G$3,$L531*1&lt;=$G$4,$I531*$J531&gt;0,OR($I531&lt;&gt;$I532,$L531-$L532&gt;25),$I531/POW(10,$J531)*MAXIFS(Token!$B:$B,Token!$A:$A,$K531)&gt;0.01),$L531/86400+DATE(1970,1,1)+$G$6,)</f>
        <v/>
      </c>
      <c r="B531" s="27" t="str">
        <f t="shared" si="1"/>
        <v/>
      </c>
      <c r="C531" s="14" t="str">
        <f>IF($A531&lt;&gt;"",MINIFS(Merchant!$A:$A,Merchant!$B:$B,$G$2),)</f>
        <v/>
      </c>
      <c r="D531" s="14" t="str">
        <f t="shared" si="2"/>
        <v/>
      </c>
      <c r="E531" s="14" t="str">
        <f t="shared" si="3"/>
        <v/>
      </c>
      <c r="F531" s="7" t="str">
        <f>IF($A531&lt;&gt;"",MAXIFS(Token!$B:$B,Token!$A:$A,$D531),)</f>
        <v/>
      </c>
    </row>
    <row r="532">
      <c r="A532" s="39" t="str">
        <f>IF(AND($L532*1&gt;=$G$3,$L532*1&lt;=$G$4,$I532*$J532&gt;0,OR($I532&lt;&gt;$I533,$L532-$L533&gt;25),$I532/POW(10,$J532)*MAXIFS(Token!$B:$B,Token!$A:$A,$K532)&gt;0.01),$L532/86400+DATE(1970,1,1)+$G$6,)</f>
        <v/>
      </c>
      <c r="B532" s="27" t="str">
        <f t="shared" si="1"/>
        <v/>
      </c>
      <c r="C532" s="14" t="str">
        <f>IF($A532&lt;&gt;"",MINIFS(Merchant!$A:$A,Merchant!$B:$B,$G$2),)</f>
        <v/>
      </c>
      <c r="D532" s="14" t="str">
        <f t="shared" si="2"/>
        <v/>
      </c>
      <c r="E532" s="14" t="str">
        <f t="shared" si="3"/>
        <v/>
      </c>
      <c r="F532" s="7" t="str">
        <f>IF($A532&lt;&gt;"",MAXIFS(Token!$B:$B,Token!$A:$A,$D532),)</f>
        <v/>
      </c>
    </row>
    <row r="533">
      <c r="A533" s="39" t="str">
        <f>IF(AND($L533*1&gt;=$G$3,$L533*1&lt;=$G$4,$I533*$J533&gt;0,OR($I533&lt;&gt;$I534,$L533-$L534&gt;25),$I533/POW(10,$J533)*MAXIFS(Token!$B:$B,Token!$A:$A,$K533)&gt;0.01),$L533/86400+DATE(1970,1,1)+$G$6,)</f>
        <v/>
      </c>
      <c r="B533" s="27" t="str">
        <f t="shared" si="1"/>
        <v/>
      </c>
      <c r="C533" s="14" t="str">
        <f>IF($A533&lt;&gt;"",MINIFS(Merchant!$A:$A,Merchant!$B:$B,$G$2),)</f>
        <v/>
      </c>
      <c r="D533" s="14" t="str">
        <f t="shared" si="2"/>
        <v/>
      </c>
      <c r="E533" s="14" t="str">
        <f t="shared" si="3"/>
        <v/>
      </c>
      <c r="F533" s="7" t="str">
        <f>IF($A533&lt;&gt;"",MAXIFS(Token!$B:$B,Token!$A:$A,$D533),)</f>
        <v/>
      </c>
    </row>
    <row r="534">
      <c r="A534" s="39" t="str">
        <f>IF(AND($L534*1&gt;=$G$3,$L534*1&lt;=$G$4,$I534*$J534&gt;0,OR($I534&lt;&gt;$I535,$L534-$L535&gt;25),$I534/POW(10,$J534)*MAXIFS(Token!$B:$B,Token!$A:$A,$K534)&gt;0.01),$L534/86400+DATE(1970,1,1)+$G$6,)</f>
        <v/>
      </c>
      <c r="B534" s="27" t="str">
        <f t="shared" si="1"/>
        <v/>
      </c>
      <c r="C534" s="14" t="str">
        <f>IF($A534&lt;&gt;"",MINIFS(Merchant!$A:$A,Merchant!$B:$B,$G$2),)</f>
        <v/>
      </c>
      <c r="D534" s="14" t="str">
        <f t="shared" si="2"/>
        <v/>
      </c>
      <c r="E534" s="14" t="str">
        <f t="shared" si="3"/>
        <v/>
      </c>
      <c r="F534" s="7" t="str">
        <f>IF($A534&lt;&gt;"",MAXIFS(Token!$B:$B,Token!$A:$A,$D534),)</f>
        <v/>
      </c>
    </row>
    <row r="535">
      <c r="A535" s="39" t="str">
        <f>IF(AND($L535*1&gt;=$G$3,$L535*1&lt;=$G$4,$I535*$J535&gt;0,OR($I535&lt;&gt;$I536,$L535-$L536&gt;25),$I535/POW(10,$J535)*MAXIFS(Token!$B:$B,Token!$A:$A,$K535)&gt;0.01),$L535/86400+DATE(1970,1,1)+$G$6,)</f>
        <v/>
      </c>
      <c r="B535" s="27" t="str">
        <f t="shared" si="1"/>
        <v/>
      </c>
      <c r="C535" s="14" t="str">
        <f>IF($A535&lt;&gt;"",MINIFS(Merchant!$A:$A,Merchant!$B:$B,$G$2),)</f>
        <v/>
      </c>
      <c r="D535" s="14" t="str">
        <f t="shared" si="2"/>
        <v/>
      </c>
      <c r="E535" s="14" t="str">
        <f t="shared" si="3"/>
        <v/>
      </c>
      <c r="F535" s="7" t="str">
        <f>IF($A535&lt;&gt;"",MAXIFS(Token!$B:$B,Token!$A:$A,$D535),)</f>
        <v/>
      </c>
    </row>
    <row r="536">
      <c r="A536" s="39" t="str">
        <f>IF(AND($L536*1&gt;=$G$3,$L536*1&lt;=$G$4,$I536*$J536&gt;0,OR($I536&lt;&gt;$I537,$L536-$L537&gt;25),$I536/POW(10,$J536)*MAXIFS(Token!$B:$B,Token!$A:$A,$K536)&gt;0.01),$L536/86400+DATE(1970,1,1)+$G$6,)</f>
        <v/>
      </c>
      <c r="B536" s="27" t="str">
        <f t="shared" si="1"/>
        <v/>
      </c>
      <c r="C536" s="14" t="str">
        <f>IF($A536&lt;&gt;"",MINIFS(Merchant!$A:$A,Merchant!$B:$B,$G$2),)</f>
        <v/>
      </c>
      <c r="D536" s="14" t="str">
        <f t="shared" si="2"/>
        <v/>
      </c>
      <c r="E536" s="14" t="str">
        <f t="shared" si="3"/>
        <v/>
      </c>
      <c r="F536" s="7" t="str">
        <f>IF($A536&lt;&gt;"",MAXIFS(Token!$B:$B,Token!$A:$A,$D536),)</f>
        <v/>
      </c>
    </row>
    <row r="537">
      <c r="A537" s="39" t="str">
        <f>IF(AND($L537*1&gt;=$G$3,$L537*1&lt;=$G$4,$I537*$J537&gt;0,OR($I537&lt;&gt;$I538,$L537-$L538&gt;25),$I537/POW(10,$J537)*MAXIFS(Token!$B:$B,Token!$A:$A,$K537)&gt;0.01),$L537/86400+DATE(1970,1,1)+$G$6,)</f>
        <v/>
      </c>
      <c r="B537" s="27" t="str">
        <f t="shared" si="1"/>
        <v/>
      </c>
      <c r="C537" s="14" t="str">
        <f>IF($A537&lt;&gt;"",MINIFS(Merchant!$A:$A,Merchant!$B:$B,$G$2),)</f>
        <v/>
      </c>
      <c r="D537" s="14" t="str">
        <f t="shared" si="2"/>
        <v/>
      </c>
      <c r="E537" s="14" t="str">
        <f t="shared" si="3"/>
        <v/>
      </c>
      <c r="F537" s="7" t="str">
        <f>IF($A537&lt;&gt;"",MAXIFS(Token!$B:$B,Token!$A:$A,$D537),)</f>
        <v/>
      </c>
    </row>
    <row r="538">
      <c r="A538" s="39" t="str">
        <f>IF(AND($L538*1&gt;=$G$3,$L538*1&lt;=$G$4,$I538*$J538&gt;0,OR($I538&lt;&gt;$I539,$L538-$L539&gt;25),$I538/POW(10,$J538)*MAXIFS(Token!$B:$B,Token!$A:$A,$K538)&gt;0.01),$L538/86400+DATE(1970,1,1)+$G$6,)</f>
        <v/>
      </c>
      <c r="B538" s="27" t="str">
        <f t="shared" si="1"/>
        <v/>
      </c>
      <c r="C538" s="14" t="str">
        <f>IF($A538&lt;&gt;"",MINIFS(Merchant!$A:$A,Merchant!$B:$B,$G$2),)</f>
        <v/>
      </c>
      <c r="D538" s="14" t="str">
        <f t="shared" si="2"/>
        <v/>
      </c>
      <c r="E538" s="14" t="str">
        <f t="shared" si="3"/>
        <v/>
      </c>
      <c r="F538" s="7" t="str">
        <f>IF($A538&lt;&gt;"",MAXIFS(Token!$B:$B,Token!$A:$A,$D538),)</f>
        <v/>
      </c>
    </row>
    <row r="539">
      <c r="A539" s="39" t="str">
        <f>IF(AND($L539*1&gt;=$G$3,$L539*1&lt;=$G$4,$I539*$J539&gt;0,OR($I539&lt;&gt;$I540,$L539-$L540&gt;25),$I539/POW(10,$J539)*MAXIFS(Token!$B:$B,Token!$A:$A,$K539)&gt;0.01),$L539/86400+DATE(1970,1,1)+$G$6,)</f>
        <v/>
      </c>
      <c r="B539" s="27" t="str">
        <f t="shared" si="1"/>
        <v/>
      </c>
      <c r="C539" s="14" t="str">
        <f>IF($A539&lt;&gt;"",MINIFS(Merchant!$A:$A,Merchant!$B:$B,$G$2),)</f>
        <v/>
      </c>
      <c r="D539" s="14" t="str">
        <f t="shared" si="2"/>
        <v/>
      </c>
      <c r="E539" s="14" t="str">
        <f t="shared" si="3"/>
        <v/>
      </c>
      <c r="F539" s="7" t="str">
        <f>IF($A539&lt;&gt;"",MAXIFS(Token!$B:$B,Token!$A:$A,$D539),)</f>
        <v/>
      </c>
    </row>
    <row r="540">
      <c r="A540" s="39" t="str">
        <f>IF(AND($L540*1&gt;=$G$3,$L540*1&lt;=$G$4,$I540*$J540&gt;0,OR($I540&lt;&gt;$I541,$L540-$L541&gt;25),$I540/POW(10,$J540)*MAXIFS(Token!$B:$B,Token!$A:$A,$K540)&gt;0.01),$L540/86400+DATE(1970,1,1)+$G$6,)</f>
        <v/>
      </c>
      <c r="B540" s="27" t="str">
        <f t="shared" si="1"/>
        <v/>
      </c>
      <c r="C540" s="14" t="str">
        <f>IF($A540&lt;&gt;"",MINIFS(Merchant!$A:$A,Merchant!$B:$B,$G$2),)</f>
        <v/>
      </c>
      <c r="D540" s="14" t="str">
        <f t="shared" si="2"/>
        <v/>
      </c>
      <c r="E540" s="14" t="str">
        <f t="shared" si="3"/>
        <v/>
      </c>
      <c r="F540" s="7" t="str">
        <f>IF($A540&lt;&gt;"",MAXIFS(Token!$B:$B,Token!$A:$A,$D540),)</f>
        <v/>
      </c>
    </row>
    <row r="541">
      <c r="A541" s="39" t="str">
        <f>IF(AND($L541*1&gt;=$G$3,$L541*1&lt;=$G$4,$I541*$J541&gt;0,OR($I541&lt;&gt;$I542,$L541-$L542&gt;25),$I541/POW(10,$J541)*MAXIFS(Token!$B:$B,Token!$A:$A,$K541)&gt;0.01),$L541/86400+DATE(1970,1,1)+$G$6,)</f>
        <v/>
      </c>
      <c r="B541" s="27" t="str">
        <f t="shared" si="1"/>
        <v/>
      </c>
      <c r="C541" s="14" t="str">
        <f>IF($A541&lt;&gt;"",MINIFS(Merchant!$A:$A,Merchant!$B:$B,$G$2),)</f>
        <v/>
      </c>
      <c r="D541" s="14" t="str">
        <f t="shared" si="2"/>
        <v/>
      </c>
      <c r="E541" s="14" t="str">
        <f t="shared" si="3"/>
        <v/>
      </c>
      <c r="F541" s="7" t="str">
        <f>IF($A541&lt;&gt;"",MAXIFS(Token!$B:$B,Token!$A:$A,$D541),)</f>
        <v/>
      </c>
    </row>
    <row r="542">
      <c r="A542" s="39" t="str">
        <f>IF(AND($L542*1&gt;=$G$3,$L542*1&lt;=$G$4,$I542*$J542&gt;0,OR($I542&lt;&gt;$I543,$L542-$L543&gt;25),$I542/POW(10,$J542)*MAXIFS(Token!$B:$B,Token!$A:$A,$K542)&gt;0.01),$L542/86400+DATE(1970,1,1)+$G$6,)</f>
        <v/>
      </c>
      <c r="B542" s="27" t="str">
        <f t="shared" si="1"/>
        <v/>
      </c>
      <c r="C542" s="14" t="str">
        <f>IF($A542&lt;&gt;"",MINIFS(Merchant!$A:$A,Merchant!$B:$B,$G$2),)</f>
        <v/>
      </c>
      <c r="D542" s="14" t="str">
        <f t="shared" si="2"/>
        <v/>
      </c>
      <c r="E542" s="14" t="str">
        <f t="shared" si="3"/>
        <v/>
      </c>
      <c r="F542" s="7" t="str">
        <f>IF($A542&lt;&gt;"",MAXIFS(Token!$B:$B,Token!$A:$A,$D542),)</f>
        <v/>
      </c>
    </row>
    <row r="543">
      <c r="A543" s="39" t="str">
        <f>IF(AND($L543*1&gt;=$G$3,$L543*1&lt;=$G$4,$I543*$J543&gt;0,OR($I543&lt;&gt;$I544,$L543-$L544&gt;25),$I543/POW(10,$J543)*MAXIFS(Token!$B:$B,Token!$A:$A,$K543)&gt;0.01),$L543/86400+DATE(1970,1,1)+$G$6,)</f>
        <v/>
      </c>
      <c r="B543" s="27" t="str">
        <f t="shared" si="1"/>
        <v/>
      </c>
      <c r="C543" s="14" t="str">
        <f>IF($A543&lt;&gt;"",MINIFS(Merchant!$A:$A,Merchant!$B:$B,$G$2),)</f>
        <v/>
      </c>
      <c r="D543" s="14" t="str">
        <f t="shared" si="2"/>
        <v/>
      </c>
      <c r="E543" s="14" t="str">
        <f t="shared" si="3"/>
        <v/>
      </c>
      <c r="F543" s="7" t="str">
        <f>IF($A543&lt;&gt;"",MAXIFS(Token!$B:$B,Token!$A:$A,$D543),)</f>
        <v/>
      </c>
    </row>
    <row r="544">
      <c r="A544" s="39" t="str">
        <f>IF(AND($L544*1&gt;=$G$3,$L544*1&lt;=$G$4,$I544*$J544&gt;0,OR($I544&lt;&gt;$I545,$L544-$L545&gt;25),$I544/POW(10,$J544)*MAXIFS(Token!$B:$B,Token!$A:$A,$K544)&gt;0.01),$L544/86400+DATE(1970,1,1)+$G$6,)</f>
        <v/>
      </c>
      <c r="B544" s="27" t="str">
        <f t="shared" si="1"/>
        <v/>
      </c>
      <c r="C544" s="14" t="str">
        <f>IF($A544&lt;&gt;"",MINIFS(Merchant!$A:$A,Merchant!$B:$B,$G$2),)</f>
        <v/>
      </c>
      <c r="D544" s="14" t="str">
        <f t="shared" si="2"/>
        <v/>
      </c>
      <c r="E544" s="14" t="str">
        <f t="shared" si="3"/>
        <v/>
      </c>
      <c r="F544" s="7" t="str">
        <f>IF($A544&lt;&gt;"",MAXIFS(Token!$B:$B,Token!$A:$A,$D544),)</f>
        <v/>
      </c>
    </row>
    <row r="545">
      <c r="A545" s="39" t="str">
        <f>IF(AND($L545*1&gt;=$G$3,$L545*1&lt;=$G$4,$I545*$J545&gt;0,OR($I545&lt;&gt;$I546,$L545-$L546&gt;25),$I545/POW(10,$J545)*MAXIFS(Token!$B:$B,Token!$A:$A,$K545)&gt;0.01),$L545/86400+DATE(1970,1,1)+$G$6,)</f>
        <v/>
      </c>
      <c r="B545" s="27" t="str">
        <f t="shared" si="1"/>
        <v/>
      </c>
      <c r="C545" s="14" t="str">
        <f>IF($A545&lt;&gt;"",MINIFS(Merchant!$A:$A,Merchant!$B:$B,$G$2),)</f>
        <v/>
      </c>
      <c r="D545" s="14" t="str">
        <f t="shared" si="2"/>
        <v/>
      </c>
      <c r="E545" s="14" t="str">
        <f t="shared" si="3"/>
        <v/>
      </c>
      <c r="F545" s="7" t="str">
        <f>IF($A545&lt;&gt;"",MAXIFS(Token!$B:$B,Token!$A:$A,$D545),)</f>
        <v/>
      </c>
    </row>
    <row r="546">
      <c r="A546" s="39" t="str">
        <f>IF(AND($L546*1&gt;=$G$3,$L546*1&lt;=$G$4,$I546*$J546&gt;0,OR($I546&lt;&gt;$I547,$L546-$L547&gt;25),$I546/POW(10,$J546)*MAXIFS(Token!$B:$B,Token!$A:$A,$K546)&gt;0.01),$L546/86400+DATE(1970,1,1)+$G$6,)</f>
        <v/>
      </c>
      <c r="B546" s="27" t="str">
        <f t="shared" si="1"/>
        <v/>
      </c>
      <c r="C546" s="14" t="str">
        <f>IF($A546&lt;&gt;"",MINIFS(Merchant!$A:$A,Merchant!$B:$B,$G$2),)</f>
        <v/>
      </c>
      <c r="D546" s="14" t="str">
        <f t="shared" si="2"/>
        <v/>
      </c>
      <c r="E546" s="14" t="str">
        <f t="shared" si="3"/>
        <v/>
      </c>
      <c r="F546" s="7" t="str">
        <f>IF($A546&lt;&gt;"",MAXIFS(Token!$B:$B,Token!$A:$A,$D546),)</f>
        <v/>
      </c>
    </row>
    <row r="547">
      <c r="A547" s="39" t="str">
        <f>IF(AND($L547*1&gt;=$G$3,$L547*1&lt;=$G$4,$I547*$J547&gt;0,OR($I547&lt;&gt;$I548,$L547-$L548&gt;25),$I547/POW(10,$J547)*MAXIFS(Token!$B:$B,Token!$A:$A,$K547)&gt;0.01),$L547/86400+DATE(1970,1,1)+$G$6,)</f>
        <v/>
      </c>
      <c r="B547" s="27" t="str">
        <f t="shared" si="1"/>
        <v/>
      </c>
      <c r="C547" s="14" t="str">
        <f>IF($A547&lt;&gt;"",MINIFS(Merchant!$A:$A,Merchant!$B:$B,$G$2),)</f>
        <v/>
      </c>
      <c r="D547" s="14" t="str">
        <f t="shared" si="2"/>
        <v/>
      </c>
      <c r="E547" s="14" t="str">
        <f t="shared" si="3"/>
        <v/>
      </c>
      <c r="F547" s="7" t="str">
        <f>IF($A547&lt;&gt;"",MAXIFS(Token!$B:$B,Token!$A:$A,$D547),)</f>
        <v/>
      </c>
    </row>
    <row r="548">
      <c r="A548" s="39" t="str">
        <f>IF(AND($L548*1&gt;=$G$3,$L548*1&lt;=$G$4,$I548*$J548&gt;0,OR($I548&lt;&gt;$I549,$L548-$L549&gt;25),$I548/POW(10,$J548)*MAXIFS(Token!$B:$B,Token!$A:$A,$K548)&gt;0.01),$L548/86400+DATE(1970,1,1)+$G$6,)</f>
        <v/>
      </c>
      <c r="B548" s="27" t="str">
        <f t="shared" si="1"/>
        <v/>
      </c>
      <c r="C548" s="14" t="str">
        <f>IF($A548&lt;&gt;"",MINIFS(Merchant!$A:$A,Merchant!$B:$B,$G$2),)</f>
        <v/>
      </c>
      <c r="D548" s="14" t="str">
        <f t="shared" si="2"/>
        <v/>
      </c>
      <c r="E548" s="14" t="str">
        <f t="shared" si="3"/>
        <v/>
      </c>
      <c r="F548" s="7" t="str">
        <f>IF($A548&lt;&gt;"",MAXIFS(Token!$B:$B,Token!$A:$A,$D548),)</f>
        <v/>
      </c>
    </row>
    <row r="549">
      <c r="A549" s="39" t="str">
        <f>IF(AND($L549*1&gt;=$G$3,$L549*1&lt;=$G$4,$I549*$J549&gt;0,OR($I549&lt;&gt;$I550,$L549-$L550&gt;25),$I549/POW(10,$J549)*MAXIFS(Token!$B:$B,Token!$A:$A,$K549)&gt;0.01),$L549/86400+DATE(1970,1,1)+$G$6,)</f>
        <v/>
      </c>
      <c r="B549" s="27" t="str">
        <f t="shared" si="1"/>
        <v/>
      </c>
      <c r="C549" s="14" t="str">
        <f>IF($A549&lt;&gt;"",MINIFS(Merchant!$A:$A,Merchant!$B:$B,$G$2),)</f>
        <v/>
      </c>
      <c r="D549" s="14" t="str">
        <f t="shared" si="2"/>
        <v/>
      </c>
      <c r="E549" s="14" t="str">
        <f t="shared" si="3"/>
        <v/>
      </c>
      <c r="F549" s="7" t="str">
        <f>IF($A549&lt;&gt;"",MAXIFS(Token!$B:$B,Token!$A:$A,$D549),)</f>
        <v/>
      </c>
    </row>
    <row r="550">
      <c r="A550" s="39" t="str">
        <f>IF(AND($L550*1&gt;=$G$3,$L550*1&lt;=$G$4,$I550*$J550&gt;0,OR($I550&lt;&gt;$I551,$L550-$L551&gt;25),$I550/POW(10,$J550)*MAXIFS(Token!$B:$B,Token!$A:$A,$K550)&gt;0.01),$L550/86400+DATE(1970,1,1)+$G$6,)</f>
        <v/>
      </c>
      <c r="B550" s="27" t="str">
        <f t="shared" si="1"/>
        <v/>
      </c>
      <c r="C550" s="14" t="str">
        <f>IF($A550&lt;&gt;"",MINIFS(Merchant!$A:$A,Merchant!$B:$B,$G$2),)</f>
        <v/>
      </c>
      <c r="D550" s="14" t="str">
        <f t="shared" si="2"/>
        <v/>
      </c>
      <c r="E550" s="14" t="str">
        <f t="shared" si="3"/>
        <v/>
      </c>
      <c r="F550" s="7" t="str">
        <f>IF($A550&lt;&gt;"",MAXIFS(Token!$B:$B,Token!$A:$A,$D550),)</f>
        <v/>
      </c>
    </row>
    <row r="551">
      <c r="A551" s="39" t="str">
        <f>IF(AND($L551*1&gt;=$G$3,$L551*1&lt;=$G$4,$I551*$J551&gt;0,OR($I551&lt;&gt;$I552,$L551-$L552&gt;25),$I551/POW(10,$J551)*MAXIFS(Token!$B:$B,Token!$A:$A,$K551)&gt;0.01),$L551/86400+DATE(1970,1,1)+$G$6,)</f>
        <v/>
      </c>
      <c r="B551" s="27" t="str">
        <f t="shared" si="1"/>
        <v/>
      </c>
      <c r="C551" s="14" t="str">
        <f>IF($A551&lt;&gt;"",MINIFS(Merchant!$A:$A,Merchant!$B:$B,$G$2),)</f>
        <v/>
      </c>
      <c r="D551" s="14" t="str">
        <f t="shared" si="2"/>
        <v/>
      </c>
      <c r="E551" s="14" t="str">
        <f t="shared" si="3"/>
        <v/>
      </c>
      <c r="F551" s="7" t="str">
        <f>IF($A551&lt;&gt;"",MAXIFS(Token!$B:$B,Token!$A:$A,$D551),)</f>
        <v/>
      </c>
    </row>
    <row r="552">
      <c r="A552" s="39" t="str">
        <f>IF(AND($L552*1&gt;=$G$3,$L552*1&lt;=$G$4,$I552*$J552&gt;0,OR($I552&lt;&gt;$I553,$L552-$L553&gt;25),$I552/POW(10,$J552)*MAXIFS(Token!$B:$B,Token!$A:$A,$K552)&gt;0.01),$L552/86400+DATE(1970,1,1)+$G$6,)</f>
        <v/>
      </c>
      <c r="B552" s="27" t="str">
        <f t="shared" si="1"/>
        <v/>
      </c>
      <c r="C552" s="14" t="str">
        <f>IF($A552&lt;&gt;"",MINIFS(Merchant!$A:$A,Merchant!$B:$B,$G$2),)</f>
        <v/>
      </c>
      <c r="D552" s="14" t="str">
        <f t="shared" si="2"/>
        <v/>
      </c>
      <c r="E552" s="14" t="str">
        <f t="shared" si="3"/>
        <v/>
      </c>
      <c r="F552" s="7" t="str">
        <f>IF($A552&lt;&gt;"",MAXIFS(Token!$B:$B,Token!$A:$A,$D552),)</f>
        <v/>
      </c>
    </row>
    <row r="553">
      <c r="A553" s="39" t="str">
        <f>IF(AND($L553*1&gt;=$G$3,$L553*1&lt;=$G$4,$I553*$J553&gt;0,OR($I553&lt;&gt;$I554,$L553-$L554&gt;25),$I553/POW(10,$J553)*MAXIFS(Token!$B:$B,Token!$A:$A,$K553)&gt;0.01),$L553/86400+DATE(1970,1,1)+$G$6,)</f>
        <v/>
      </c>
      <c r="B553" s="27" t="str">
        <f t="shared" si="1"/>
        <v/>
      </c>
      <c r="C553" s="14" t="str">
        <f>IF($A553&lt;&gt;"",MINIFS(Merchant!$A:$A,Merchant!$B:$B,$G$2),)</f>
        <v/>
      </c>
      <c r="D553" s="14" t="str">
        <f t="shared" si="2"/>
        <v/>
      </c>
      <c r="E553" s="14" t="str">
        <f t="shared" si="3"/>
        <v/>
      </c>
      <c r="F553" s="7" t="str">
        <f>IF($A553&lt;&gt;"",MAXIFS(Token!$B:$B,Token!$A:$A,$D553),)</f>
        <v/>
      </c>
    </row>
    <row r="554">
      <c r="A554" s="39" t="str">
        <f>IF(AND($L554*1&gt;=$G$3,$L554*1&lt;=$G$4,$I554*$J554&gt;0,OR($I554&lt;&gt;$I555,$L554-$L555&gt;25),$I554/POW(10,$J554)*MAXIFS(Token!$B:$B,Token!$A:$A,$K554)&gt;0.01),$L554/86400+DATE(1970,1,1)+$G$6,)</f>
        <v/>
      </c>
      <c r="B554" s="27" t="str">
        <f t="shared" si="1"/>
        <v/>
      </c>
      <c r="C554" s="14" t="str">
        <f>IF($A554&lt;&gt;"",MINIFS(Merchant!$A:$A,Merchant!$B:$B,$G$2),)</f>
        <v/>
      </c>
      <c r="D554" s="14" t="str">
        <f t="shared" si="2"/>
        <v/>
      </c>
      <c r="E554" s="14" t="str">
        <f t="shared" si="3"/>
        <v/>
      </c>
      <c r="F554" s="7" t="str">
        <f>IF($A554&lt;&gt;"",MAXIFS(Token!$B:$B,Token!$A:$A,$D554),)</f>
        <v/>
      </c>
    </row>
    <row r="555">
      <c r="A555" s="39" t="str">
        <f>IF(AND($L555*1&gt;=$G$3,$L555*1&lt;=$G$4,$I555*$J555&gt;0,OR($I555&lt;&gt;$I556,$L555-$L556&gt;25),$I555/POW(10,$J555)*MAXIFS(Token!$B:$B,Token!$A:$A,$K555)&gt;0.01),$L555/86400+DATE(1970,1,1)+$G$6,)</f>
        <v/>
      </c>
      <c r="B555" s="27" t="str">
        <f t="shared" si="1"/>
        <v/>
      </c>
      <c r="C555" s="14" t="str">
        <f>IF($A555&lt;&gt;"",MINIFS(Merchant!$A:$A,Merchant!$B:$B,$G$2),)</f>
        <v/>
      </c>
      <c r="D555" s="14" t="str">
        <f t="shared" si="2"/>
        <v/>
      </c>
      <c r="E555" s="14" t="str">
        <f t="shared" si="3"/>
        <v/>
      </c>
      <c r="F555" s="7" t="str">
        <f>IF($A555&lt;&gt;"",MAXIFS(Token!$B:$B,Token!$A:$A,$D555),)</f>
        <v/>
      </c>
    </row>
    <row r="556">
      <c r="A556" s="39" t="str">
        <f>IF(AND($L556*1&gt;=$G$3,$L556*1&lt;=$G$4,$I556*$J556&gt;0,OR($I556&lt;&gt;$I557,$L556-$L557&gt;25),$I556/POW(10,$J556)*MAXIFS(Token!$B:$B,Token!$A:$A,$K556)&gt;0.01),$L556/86400+DATE(1970,1,1)+$G$6,)</f>
        <v/>
      </c>
      <c r="B556" s="27" t="str">
        <f t="shared" si="1"/>
        <v/>
      </c>
      <c r="C556" s="14" t="str">
        <f>IF($A556&lt;&gt;"",MINIFS(Merchant!$A:$A,Merchant!$B:$B,$G$2),)</f>
        <v/>
      </c>
      <c r="D556" s="14" t="str">
        <f t="shared" si="2"/>
        <v/>
      </c>
      <c r="E556" s="14" t="str">
        <f t="shared" si="3"/>
        <v/>
      </c>
      <c r="F556" s="7" t="str">
        <f>IF($A556&lt;&gt;"",MAXIFS(Token!$B:$B,Token!$A:$A,$D556),)</f>
        <v/>
      </c>
    </row>
    <row r="557">
      <c r="A557" s="39" t="str">
        <f>IF(AND($L557*1&gt;=$G$3,$L557*1&lt;=$G$4,$I557*$J557&gt;0,OR($I557&lt;&gt;$I558,$L557-$L558&gt;25),$I557/POW(10,$J557)*MAXIFS(Token!$B:$B,Token!$A:$A,$K557)&gt;0.01),$L557/86400+DATE(1970,1,1)+$G$6,)</f>
        <v/>
      </c>
      <c r="B557" s="27" t="str">
        <f t="shared" si="1"/>
        <v/>
      </c>
      <c r="C557" s="14" t="str">
        <f>IF($A557&lt;&gt;"",MINIFS(Merchant!$A:$A,Merchant!$B:$B,$G$2),)</f>
        <v/>
      </c>
      <c r="D557" s="14" t="str">
        <f t="shared" si="2"/>
        <v/>
      </c>
      <c r="E557" s="14" t="str">
        <f t="shared" si="3"/>
        <v/>
      </c>
      <c r="F557" s="7" t="str">
        <f>IF($A557&lt;&gt;"",MAXIFS(Token!$B:$B,Token!$A:$A,$D557),)</f>
        <v/>
      </c>
    </row>
    <row r="558">
      <c r="A558" s="39" t="str">
        <f>IF(AND($L558*1&gt;=$G$3,$L558*1&lt;=$G$4,$I558*$J558&gt;0,OR($I558&lt;&gt;$I559,$L558-$L559&gt;25),$I558/POW(10,$J558)*MAXIFS(Token!$B:$B,Token!$A:$A,$K558)&gt;0.01),$L558/86400+DATE(1970,1,1)+$G$6,)</f>
        <v/>
      </c>
      <c r="B558" s="27" t="str">
        <f t="shared" si="1"/>
        <v/>
      </c>
      <c r="C558" s="14" t="str">
        <f>IF($A558&lt;&gt;"",MINIFS(Merchant!$A:$A,Merchant!$B:$B,$G$2),)</f>
        <v/>
      </c>
      <c r="D558" s="14" t="str">
        <f t="shared" si="2"/>
        <v/>
      </c>
      <c r="E558" s="14" t="str">
        <f t="shared" si="3"/>
        <v/>
      </c>
      <c r="F558" s="7" t="str">
        <f>IF($A558&lt;&gt;"",MAXIFS(Token!$B:$B,Token!$A:$A,$D558),)</f>
        <v/>
      </c>
    </row>
    <row r="559">
      <c r="A559" s="39" t="str">
        <f>IF(AND($L559*1&gt;=$G$3,$L559*1&lt;=$G$4,$I559*$J559&gt;0,OR($I559&lt;&gt;$I560,$L559-$L560&gt;25),$I559/POW(10,$J559)*MAXIFS(Token!$B:$B,Token!$A:$A,$K559)&gt;0.01),$L559/86400+DATE(1970,1,1)+$G$6,)</f>
        <v/>
      </c>
      <c r="B559" s="27" t="str">
        <f t="shared" si="1"/>
        <v/>
      </c>
      <c r="C559" s="14" t="str">
        <f>IF($A559&lt;&gt;"",MINIFS(Merchant!$A:$A,Merchant!$B:$B,$G$2),)</f>
        <v/>
      </c>
      <c r="D559" s="14" t="str">
        <f t="shared" si="2"/>
        <v/>
      </c>
      <c r="E559" s="14" t="str">
        <f t="shared" si="3"/>
        <v/>
      </c>
      <c r="F559" s="7" t="str">
        <f>IF($A559&lt;&gt;"",MAXIFS(Token!$B:$B,Token!$A:$A,$D559),)</f>
        <v/>
      </c>
    </row>
    <row r="560">
      <c r="A560" s="39" t="str">
        <f>IF(AND($L560*1&gt;=$G$3,$L560*1&lt;=$G$4,$I560*$J560&gt;0,OR($I560&lt;&gt;$I561,$L560-$L561&gt;25),$I560/POW(10,$J560)*MAXIFS(Token!$B:$B,Token!$A:$A,$K560)&gt;0.01),$L560/86400+DATE(1970,1,1)+$G$6,)</f>
        <v/>
      </c>
      <c r="B560" s="27" t="str">
        <f t="shared" si="1"/>
        <v/>
      </c>
      <c r="C560" s="14" t="str">
        <f>IF($A560&lt;&gt;"",MINIFS(Merchant!$A:$A,Merchant!$B:$B,$G$2),)</f>
        <v/>
      </c>
      <c r="D560" s="14" t="str">
        <f t="shared" si="2"/>
        <v/>
      </c>
      <c r="E560" s="14" t="str">
        <f t="shared" si="3"/>
        <v/>
      </c>
      <c r="F560" s="7" t="str">
        <f>IF($A560&lt;&gt;"",MAXIFS(Token!$B:$B,Token!$A:$A,$D560),)</f>
        <v/>
      </c>
    </row>
    <row r="561">
      <c r="A561" s="39" t="str">
        <f>IF(AND($L561*1&gt;=$G$3,$L561*1&lt;=$G$4,$I561*$J561&gt;0,OR($I561&lt;&gt;$I562,$L561-$L562&gt;25),$I561/POW(10,$J561)*MAXIFS(Token!$B:$B,Token!$A:$A,$K561)&gt;0.01),$L561/86400+DATE(1970,1,1)+$G$6,)</f>
        <v/>
      </c>
      <c r="B561" s="27" t="str">
        <f t="shared" si="1"/>
        <v/>
      </c>
      <c r="C561" s="14" t="str">
        <f>IF($A561&lt;&gt;"",MINIFS(Merchant!$A:$A,Merchant!$B:$B,$G$2),)</f>
        <v/>
      </c>
      <c r="D561" s="14" t="str">
        <f t="shared" si="2"/>
        <v/>
      </c>
      <c r="E561" s="14" t="str">
        <f t="shared" si="3"/>
        <v/>
      </c>
      <c r="F561" s="7" t="str">
        <f>IF($A561&lt;&gt;"",MAXIFS(Token!$B:$B,Token!$A:$A,$D561),)</f>
        <v/>
      </c>
    </row>
    <row r="562">
      <c r="A562" s="39" t="str">
        <f>IF(AND($L562*1&gt;=$G$3,$L562*1&lt;=$G$4,$I562*$J562&gt;0,OR($I562&lt;&gt;$I563,$L562-$L563&gt;25),$I562/POW(10,$J562)*MAXIFS(Token!$B:$B,Token!$A:$A,$K562)&gt;0.01),$L562/86400+DATE(1970,1,1)+$G$6,)</f>
        <v/>
      </c>
      <c r="B562" s="27" t="str">
        <f t="shared" si="1"/>
        <v/>
      </c>
      <c r="C562" s="14" t="str">
        <f>IF($A562&lt;&gt;"",MINIFS(Merchant!$A:$A,Merchant!$B:$B,$G$2),)</f>
        <v/>
      </c>
      <c r="D562" s="14" t="str">
        <f t="shared" si="2"/>
        <v/>
      </c>
      <c r="E562" s="14" t="str">
        <f t="shared" si="3"/>
        <v/>
      </c>
      <c r="F562" s="7" t="str">
        <f>IF($A562&lt;&gt;"",MAXIFS(Token!$B:$B,Token!$A:$A,$D562),)</f>
        <v/>
      </c>
    </row>
    <row r="563">
      <c r="A563" s="39" t="str">
        <f>IF(AND($L563*1&gt;=$G$3,$L563*1&lt;=$G$4,$I563*$J563&gt;0,OR($I563&lt;&gt;$I564,$L563-$L564&gt;25),$I563/POW(10,$J563)*MAXIFS(Token!$B:$B,Token!$A:$A,$K563)&gt;0.01),$L563/86400+DATE(1970,1,1)+$G$6,)</f>
        <v/>
      </c>
      <c r="B563" s="27" t="str">
        <f t="shared" si="1"/>
        <v/>
      </c>
      <c r="C563" s="14" t="str">
        <f>IF($A563&lt;&gt;"",MINIFS(Merchant!$A:$A,Merchant!$B:$B,$G$2),)</f>
        <v/>
      </c>
      <c r="D563" s="14" t="str">
        <f t="shared" si="2"/>
        <v/>
      </c>
      <c r="E563" s="14" t="str">
        <f t="shared" si="3"/>
        <v/>
      </c>
      <c r="F563" s="7" t="str">
        <f>IF($A563&lt;&gt;"",MAXIFS(Token!$B:$B,Token!$A:$A,$D563),)</f>
        <v/>
      </c>
    </row>
    <row r="564">
      <c r="A564" s="39" t="str">
        <f>IF(AND($L564*1&gt;=$G$3,$L564*1&lt;=$G$4,$I564*$J564&gt;0,OR($I564&lt;&gt;$I565,$L564-$L565&gt;25),$I564/POW(10,$J564)*MAXIFS(Token!$B:$B,Token!$A:$A,$K564)&gt;0.01),$L564/86400+DATE(1970,1,1)+$G$6,)</f>
        <v/>
      </c>
      <c r="B564" s="27" t="str">
        <f t="shared" si="1"/>
        <v/>
      </c>
      <c r="C564" s="14" t="str">
        <f>IF($A564&lt;&gt;"",MINIFS(Merchant!$A:$A,Merchant!$B:$B,$G$2),)</f>
        <v/>
      </c>
      <c r="D564" s="14" t="str">
        <f t="shared" si="2"/>
        <v/>
      </c>
      <c r="E564" s="14" t="str">
        <f t="shared" si="3"/>
        <v/>
      </c>
      <c r="F564" s="7" t="str">
        <f>IF($A564&lt;&gt;"",MAXIFS(Token!$B:$B,Token!$A:$A,$D564),)</f>
        <v/>
      </c>
    </row>
    <row r="565">
      <c r="A565" s="39" t="str">
        <f>IF(AND($L565*1&gt;=$G$3,$L565*1&lt;=$G$4,$I565*$J565&gt;0,OR($I565&lt;&gt;$I566,$L565-$L566&gt;25),$I565/POW(10,$J565)*MAXIFS(Token!$B:$B,Token!$A:$A,$K565)&gt;0.01),$L565/86400+DATE(1970,1,1)+$G$6,)</f>
        <v/>
      </c>
      <c r="B565" s="27" t="str">
        <f t="shared" si="1"/>
        <v/>
      </c>
      <c r="C565" s="14" t="str">
        <f>IF($A565&lt;&gt;"",MINIFS(Merchant!$A:$A,Merchant!$B:$B,$G$2),)</f>
        <v/>
      </c>
      <c r="D565" s="14" t="str">
        <f t="shared" si="2"/>
        <v/>
      </c>
      <c r="E565" s="14" t="str">
        <f t="shared" si="3"/>
        <v/>
      </c>
      <c r="F565" s="7" t="str">
        <f>IF($A565&lt;&gt;"",MAXIFS(Token!$B:$B,Token!$A:$A,$D565),)</f>
        <v/>
      </c>
    </row>
    <row r="566">
      <c r="A566" s="39" t="str">
        <f>IF(AND($L566*1&gt;=$G$3,$L566*1&lt;=$G$4,$I566*$J566&gt;0,OR($I566&lt;&gt;$I567,$L566-$L567&gt;25),$I566/POW(10,$J566)*MAXIFS(Token!$B:$B,Token!$A:$A,$K566)&gt;0.01),$L566/86400+DATE(1970,1,1)+$G$6,)</f>
        <v/>
      </c>
      <c r="B566" s="27" t="str">
        <f t="shared" si="1"/>
        <v/>
      </c>
      <c r="C566" s="14" t="str">
        <f>IF($A566&lt;&gt;"",MINIFS(Merchant!$A:$A,Merchant!$B:$B,$G$2),)</f>
        <v/>
      </c>
      <c r="D566" s="14" t="str">
        <f t="shared" si="2"/>
        <v/>
      </c>
      <c r="E566" s="14" t="str">
        <f t="shared" si="3"/>
        <v/>
      </c>
      <c r="F566" s="7" t="str">
        <f>IF($A566&lt;&gt;"",MAXIFS(Token!$B:$B,Token!$A:$A,$D566),)</f>
        <v/>
      </c>
    </row>
    <row r="567">
      <c r="A567" s="39" t="str">
        <f>IF(AND($L567*1&gt;=$G$3,$L567*1&lt;=$G$4,$I567*$J567&gt;0,OR($I567&lt;&gt;$I568,$L567-$L568&gt;25),$I567/POW(10,$J567)*MAXIFS(Token!$B:$B,Token!$A:$A,$K567)&gt;0.01),$L567/86400+DATE(1970,1,1)+$G$6,)</f>
        <v/>
      </c>
      <c r="B567" s="27" t="str">
        <f t="shared" si="1"/>
        <v/>
      </c>
      <c r="C567" s="14" t="str">
        <f>IF($A567&lt;&gt;"",MINIFS(Merchant!$A:$A,Merchant!$B:$B,$G$2),)</f>
        <v/>
      </c>
      <c r="D567" s="14" t="str">
        <f t="shared" si="2"/>
        <v/>
      </c>
      <c r="E567" s="14" t="str">
        <f t="shared" si="3"/>
        <v/>
      </c>
      <c r="F567" s="7" t="str">
        <f>IF($A567&lt;&gt;"",MAXIFS(Token!$B:$B,Token!$A:$A,$D567),)</f>
        <v/>
      </c>
    </row>
    <row r="568">
      <c r="A568" s="39" t="str">
        <f>IF(AND($L568*1&gt;=$G$3,$L568*1&lt;=$G$4,$I568*$J568&gt;0,OR($I568&lt;&gt;$I569,$L568-$L569&gt;25),$I568/POW(10,$J568)*MAXIFS(Token!$B:$B,Token!$A:$A,$K568)&gt;0.01),$L568/86400+DATE(1970,1,1)+$G$6,)</f>
        <v/>
      </c>
      <c r="B568" s="27" t="str">
        <f t="shared" si="1"/>
        <v/>
      </c>
      <c r="C568" s="14" t="str">
        <f>IF($A568&lt;&gt;"",MINIFS(Merchant!$A:$A,Merchant!$B:$B,$G$2),)</f>
        <v/>
      </c>
      <c r="D568" s="14" t="str">
        <f t="shared" si="2"/>
        <v/>
      </c>
      <c r="E568" s="14" t="str">
        <f t="shared" si="3"/>
        <v/>
      </c>
      <c r="F568" s="7" t="str">
        <f>IF($A568&lt;&gt;"",MAXIFS(Token!$B:$B,Token!$A:$A,$D568),)</f>
        <v/>
      </c>
    </row>
    <row r="569">
      <c r="A569" s="39" t="str">
        <f>IF(AND($L569*1&gt;=$G$3,$L569*1&lt;=$G$4,$I569*$J569&gt;0,OR($I569&lt;&gt;$I570,$L569-$L570&gt;25),$I569/POW(10,$J569)*MAXIFS(Token!$B:$B,Token!$A:$A,$K569)&gt;0.01),$L569/86400+DATE(1970,1,1)+$G$6,)</f>
        <v/>
      </c>
      <c r="B569" s="27" t="str">
        <f t="shared" si="1"/>
        <v/>
      </c>
      <c r="C569" s="14" t="str">
        <f>IF($A569&lt;&gt;"",MINIFS(Merchant!$A:$A,Merchant!$B:$B,$G$2),)</f>
        <v/>
      </c>
      <c r="D569" s="14" t="str">
        <f t="shared" si="2"/>
        <v/>
      </c>
      <c r="E569" s="14" t="str">
        <f t="shared" si="3"/>
        <v/>
      </c>
      <c r="F569" s="7" t="str">
        <f>IF($A569&lt;&gt;"",MAXIFS(Token!$B:$B,Token!$A:$A,$D569),)</f>
        <v/>
      </c>
    </row>
    <row r="570">
      <c r="A570" s="39" t="str">
        <f>IF(AND($L570*1&gt;=$G$3,$L570*1&lt;=$G$4,$I570*$J570&gt;0,OR($I570&lt;&gt;$I571,$L570-$L571&gt;25),$I570/POW(10,$J570)*MAXIFS(Token!$B:$B,Token!$A:$A,$K570)&gt;0.01),$L570/86400+DATE(1970,1,1)+$G$6,)</f>
        <v/>
      </c>
      <c r="B570" s="27" t="str">
        <f t="shared" si="1"/>
        <v/>
      </c>
      <c r="C570" s="14" t="str">
        <f>IF($A570&lt;&gt;"",MINIFS(Merchant!$A:$A,Merchant!$B:$B,$G$2),)</f>
        <v/>
      </c>
      <c r="D570" s="14" t="str">
        <f t="shared" si="2"/>
        <v/>
      </c>
      <c r="E570" s="14" t="str">
        <f t="shared" si="3"/>
        <v/>
      </c>
      <c r="F570" s="7" t="str">
        <f>IF($A570&lt;&gt;"",MAXIFS(Token!$B:$B,Token!$A:$A,$D570),)</f>
        <v/>
      </c>
    </row>
    <row r="571">
      <c r="A571" s="39" t="str">
        <f>IF(AND($L571*1&gt;=$G$3,$L571*1&lt;=$G$4,$I571*$J571&gt;0,OR($I571&lt;&gt;$I572,$L571-$L572&gt;25),$I571/POW(10,$J571)*MAXIFS(Token!$B:$B,Token!$A:$A,$K571)&gt;0.01),$L571/86400+DATE(1970,1,1)+$G$6,)</f>
        <v/>
      </c>
      <c r="B571" s="27" t="str">
        <f t="shared" si="1"/>
        <v/>
      </c>
      <c r="C571" s="14" t="str">
        <f>IF($A571&lt;&gt;"",MINIFS(Merchant!$A:$A,Merchant!$B:$B,$G$2),)</f>
        <v/>
      </c>
      <c r="D571" s="14" t="str">
        <f t="shared" si="2"/>
        <v/>
      </c>
      <c r="E571" s="14" t="str">
        <f t="shared" si="3"/>
        <v/>
      </c>
      <c r="F571" s="7" t="str">
        <f>IF($A571&lt;&gt;"",MAXIFS(Token!$B:$B,Token!$A:$A,$D571),)</f>
        <v/>
      </c>
    </row>
    <row r="572">
      <c r="A572" s="39" t="str">
        <f>IF(AND($L572*1&gt;=$G$3,$L572*1&lt;=$G$4,$I572*$J572&gt;0,OR($I572&lt;&gt;$I573,$L572-$L573&gt;25),$I572/POW(10,$J572)*MAXIFS(Token!$B:$B,Token!$A:$A,$K572)&gt;0.01),$L572/86400+DATE(1970,1,1)+$G$6,)</f>
        <v/>
      </c>
      <c r="B572" s="27" t="str">
        <f t="shared" si="1"/>
        <v/>
      </c>
      <c r="C572" s="14" t="str">
        <f>IF($A572&lt;&gt;"",MINIFS(Merchant!$A:$A,Merchant!$B:$B,$G$2),)</f>
        <v/>
      </c>
      <c r="D572" s="14" t="str">
        <f t="shared" si="2"/>
        <v/>
      </c>
      <c r="E572" s="14" t="str">
        <f t="shared" si="3"/>
        <v/>
      </c>
      <c r="F572" s="7" t="str">
        <f>IF($A572&lt;&gt;"",MAXIFS(Token!$B:$B,Token!$A:$A,$D572),)</f>
        <v/>
      </c>
    </row>
    <row r="573">
      <c r="A573" s="39" t="str">
        <f>IF(AND($L573*1&gt;=$G$3,$L573*1&lt;=$G$4,$I573*$J573&gt;0,OR($I573&lt;&gt;$I574,$L573-$L574&gt;25),$I573/POW(10,$J573)*MAXIFS(Token!$B:$B,Token!$A:$A,$K573)&gt;0.01),$L573/86400+DATE(1970,1,1)+$G$6,)</f>
        <v/>
      </c>
      <c r="B573" s="27" t="str">
        <f t="shared" si="1"/>
        <v/>
      </c>
      <c r="C573" s="14" t="str">
        <f>IF($A573&lt;&gt;"",MINIFS(Merchant!$A:$A,Merchant!$B:$B,$G$2),)</f>
        <v/>
      </c>
      <c r="D573" s="14" t="str">
        <f t="shared" si="2"/>
        <v/>
      </c>
      <c r="E573" s="14" t="str">
        <f t="shared" si="3"/>
        <v/>
      </c>
      <c r="F573" s="7" t="str">
        <f>IF($A573&lt;&gt;"",MAXIFS(Token!$B:$B,Token!$A:$A,$D573),)</f>
        <v/>
      </c>
    </row>
    <row r="574">
      <c r="A574" s="39" t="str">
        <f>IF(AND($L574*1&gt;=$G$3,$L574*1&lt;=$G$4,$I574*$J574&gt;0,OR($I574&lt;&gt;$I575,$L574-$L575&gt;25),$I574/POW(10,$J574)*MAXIFS(Token!$B:$B,Token!$A:$A,$K574)&gt;0.01),$L574/86400+DATE(1970,1,1)+$G$6,)</f>
        <v/>
      </c>
      <c r="B574" s="27" t="str">
        <f t="shared" si="1"/>
        <v/>
      </c>
      <c r="C574" s="14" t="str">
        <f>IF($A574&lt;&gt;"",MINIFS(Merchant!$A:$A,Merchant!$B:$B,$G$2),)</f>
        <v/>
      </c>
      <c r="D574" s="14" t="str">
        <f t="shared" si="2"/>
        <v/>
      </c>
      <c r="E574" s="14" t="str">
        <f t="shared" si="3"/>
        <v/>
      </c>
      <c r="F574" s="7" t="str">
        <f>IF($A574&lt;&gt;"",MAXIFS(Token!$B:$B,Token!$A:$A,$D574),)</f>
        <v/>
      </c>
    </row>
    <row r="575">
      <c r="A575" s="39" t="str">
        <f>IF(AND($L575*1&gt;=$G$3,$L575*1&lt;=$G$4,$I575*$J575&gt;0,OR($I575&lt;&gt;$I576,$L575-$L576&gt;25),$I575/POW(10,$J575)*MAXIFS(Token!$B:$B,Token!$A:$A,$K575)&gt;0.01),$L575/86400+DATE(1970,1,1)+$G$6,)</f>
        <v/>
      </c>
      <c r="B575" s="27" t="str">
        <f t="shared" si="1"/>
        <v/>
      </c>
      <c r="C575" s="14" t="str">
        <f>IF($A575&lt;&gt;"",MINIFS(Merchant!$A:$A,Merchant!$B:$B,$G$2),)</f>
        <v/>
      </c>
      <c r="D575" s="14" t="str">
        <f t="shared" si="2"/>
        <v/>
      </c>
      <c r="E575" s="14" t="str">
        <f t="shared" si="3"/>
        <v/>
      </c>
      <c r="F575" s="7" t="str">
        <f>IF($A575&lt;&gt;"",MAXIFS(Token!$B:$B,Token!$A:$A,$D575),)</f>
        <v/>
      </c>
    </row>
    <row r="576">
      <c r="A576" s="39" t="str">
        <f>IF(AND($L576*1&gt;=$G$3,$L576*1&lt;=$G$4,$I576*$J576&gt;0,OR($I576&lt;&gt;$I577,$L576-$L577&gt;25),$I576/POW(10,$J576)*MAXIFS(Token!$B:$B,Token!$A:$A,$K576)&gt;0.01),$L576/86400+DATE(1970,1,1)+$G$6,)</f>
        <v/>
      </c>
      <c r="B576" s="27" t="str">
        <f t="shared" si="1"/>
        <v/>
      </c>
      <c r="C576" s="14" t="str">
        <f>IF($A576&lt;&gt;"",MINIFS(Merchant!$A:$A,Merchant!$B:$B,$G$2),)</f>
        <v/>
      </c>
      <c r="D576" s="14" t="str">
        <f t="shared" si="2"/>
        <v/>
      </c>
      <c r="E576" s="14" t="str">
        <f t="shared" si="3"/>
        <v/>
      </c>
      <c r="F576" s="7" t="str">
        <f>IF($A576&lt;&gt;"",MAXIFS(Token!$B:$B,Token!$A:$A,$D576),)</f>
        <v/>
      </c>
    </row>
    <row r="577">
      <c r="A577" s="39" t="str">
        <f>IF(AND($L577*1&gt;=$G$3,$L577*1&lt;=$G$4,$I577*$J577&gt;0,OR($I577&lt;&gt;$I578,$L577-$L578&gt;25),$I577/POW(10,$J577)*MAXIFS(Token!$B:$B,Token!$A:$A,$K577)&gt;0.01),$L577/86400+DATE(1970,1,1)+$G$6,)</f>
        <v/>
      </c>
      <c r="B577" s="27" t="str">
        <f t="shared" si="1"/>
        <v/>
      </c>
      <c r="C577" s="14" t="str">
        <f>IF($A577&lt;&gt;"",MINIFS(Merchant!$A:$A,Merchant!$B:$B,$G$2),)</f>
        <v/>
      </c>
      <c r="D577" s="14" t="str">
        <f t="shared" si="2"/>
        <v/>
      </c>
      <c r="E577" s="14" t="str">
        <f t="shared" si="3"/>
        <v/>
      </c>
      <c r="F577" s="7" t="str">
        <f>IF($A577&lt;&gt;"",MAXIFS(Token!$B:$B,Token!$A:$A,$D577),)</f>
        <v/>
      </c>
    </row>
    <row r="578">
      <c r="A578" s="39" t="str">
        <f>IF(AND($L578*1&gt;=$G$3,$L578*1&lt;=$G$4,$I578*$J578&gt;0,OR($I578&lt;&gt;$I579,$L578-$L579&gt;25),$I578/POW(10,$J578)*MAXIFS(Token!$B:$B,Token!$A:$A,$K578)&gt;0.01),$L578/86400+DATE(1970,1,1)+$G$6,)</f>
        <v/>
      </c>
      <c r="B578" s="27" t="str">
        <f t="shared" si="1"/>
        <v/>
      </c>
      <c r="C578" s="14" t="str">
        <f>IF($A578&lt;&gt;"",MINIFS(Merchant!$A:$A,Merchant!$B:$B,$G$2),)</f>
        <v/>
      </c>
      <c r="D578" s="14" t="str">
        <f t="shared" si="2"/>
        <v/>
      </c>
      <c r="E578" s="14" t="str">
        <f t="shared" si="3"/>
        <v/>
      </c>
      <c r="F578" s="7" t="str">
        <f>IF($A578&lt;&gt;"",MAXIFS(Token!$B:$B,Token!$A:$A,$D578),)</f>
        <v/>
      </c>
    </row>
    <row r="579">
      <c r="A579" s="39" t="str">
        <f>IF(AND($L579*1&gt;=$G$3,$L579*1&lt;=$G$4,$I579*$J579&gt;0,OR($I579&lt;&gt;$I580,$L579-$L580&gt;25),$I579/POW(10,$J579)*MAXIFS(Token!$B:$B,Token!$A:$A,$K579)&gt;0.01),$L579/86400+DATE(1970,1,1)+$G$6,)</f>
        <v/>
      </c>
      <c r="B579" s="27" t="str">
        <f t="shared" si="1"/>
        <v/>
      </c>
      <c r="C579" s="14" t="str">
        <f>IF($A579&lt;&gt;"",MINIFS(Merchant!$A:$A,Merchant!$B:$B,$G$2),)</f>
        <v/>
      </c>
      <c r="D579" s="14" t="str">
        <f t="shared" si="2"/>
        <v/>
      </c>
      <c r="E579" s="14" t="str">
        <f t="shared" si="3"/>
        <v/>
      </c>
      <c r="F579" s="7" t="str">
        <f>IF($A579&lt;&gt;"",MAXIFS(Token!$B:$B,Token!$A:$A,$D579),)</f>
        <v/>
      </c>
    </row>
    <row r="580">
      <c r="A580" s="39" t="str">
        <f>IF(AND($L580*1&gt;=$G$3,$L580*1&lt;=$G$4,$I580*$J580&gt;0,OR($I580&lt;&gt;$I581,$L580-$L581&gt;25),$I580/POW(10,$J580)*MAXIFS(Token!$B:$B,Token!$A:$A,$K580)&gt;0.01),$L580/86400+DATE(1970,1,1)+$G$6,)</f>
        <v/>
      </c>
      <c r="B580" s="27" t="str">
        <f t="shared" si="1"/>
        <v/>
      </c>
      <c r="C580" s="14" t="str">
        <f>IF($A580&lt;&gt;"",MINIFS(Merchant!$A:$A,Merchant!$B:$B,$G$2),)</f>
        <v/>
      </c>
      <c r="D580" s="14" t="str">
        <f t="shared" si="2"/>
        <v/>
      </c>
      <c r="E580" s="14" t="str">
        <f t="shared" si="3"/>
        <v/>
      </c>
      <c r="F580" s="7" t="str">
        <f>IF($A580&lt;&gt;"",MAXIFS(Token!$B:$B,Token!$A:$A,$D580),)</f>
        <v/>
      </c>
    </row>
    <row r="581">
      <c r="A581" s="39" t="str">
        <f>IF(AND($L581*1&gt;=$G$3,$L581*1&lt;=$G$4,$I581*$J581&gt;0,OR($I581&lt;&gt;$I582,$L581-$L582&gt;25),$I581/POW(10,$J581)*MAXIFS(Token!$B:$B,Token!$A:$A,$K581)&gt;0.01),$L581/86400+DATE(1970,1,1)+$G$6,)</f>
        <v/>
      </c>
      <c r="B581" s="27" t="str">
        <f t="shared" si="1"/>
        <v/>
      </c>
      <c r="C581" s="14" t="str">
        <f>IF($A581&lt;&gt;"",MINIFS(Merchant!$A:$A,Merchant!$B:$B,$G$2),)</f>
        <v/>
      </c>
      <c r="D581" s="14" t="str">
        <f t="shared" si="2"/>
        <v/>
      </c>
      <c r="E581" s="14" t="str">
        <f t="shared" si="3"/>
        <v/>
      </c>
      <c r="F581" s="7" t="str">
        <f>IF($A581&lt;&gt;"",MAXIFS(Token!$B:$B,Token!$A:$A,$D581),)</f>
        <v/>
      </c>
    </row>
    <row r="582">
      <c r="A582" s="39" t="str">
        <f>IF(AND($L582*1&gt;=$G$3,$L582*1&lt;=$G$4,$I582*$J582&gt;0,OR($I582&lt;&gt;$I583,$L582-$L583&gt;25),$I582/POW(10,$J582)*MAXIFS(Token!$B:$B,Token!$A:$A,$K582)&gt;0.01),$L582/86400+DATE(1970,1,1)+$G$6,)</f>
        <v/>
      </c>
      <c r="B582" s="27" t="str">
        <f t="shared" si="1"/>
        <v/>
      </c>
      <c r="C582" s="14" t="str">
        <f>IF($A582&lt;&gt;"",MINIFS(Merchant!$A:$A,Merchant!$B:$B,$G$2),)</f>
        <v/>
      </c>
      <c r="D582" s="14" t="str">
        <f t="shared" si="2"/>
        <v/>
      </c>
      <c r="E582" s="14" t="str">
        <f t="shared" si="3"/>
        <v/>
      </c>
      <c r="F582" s="7" t="str">
        <f>IF($A582&lt;&gt;"",MAXIFS(Token!$B:$B,Token!$A:$A,$D582),)</f>
        <v/>
      </c>
    </row>
    <row r="583">
      <c r="A583" s="39" t="str">
        <f>IF(AND($L583*1&gt;=$G$3,$L583*1&lt;=$G$4,$I583*$J583&gt;0,OR($I583&lt;&gt;$I584,$L583-$L584&gt;25),$I583/POW(10,$J583)*MAXIFS(Token!$B:$B,Token!$A:$A,$K583)&gt;0.01),$L583/86400+DATE(1970,1,1)+$G$6,)</f>
        <v/>
      </c>
      <c r="B583" s="27" t="str">
        <f t="shared" si="1"/>
        <v/>
      </c>
      <c r="C583" s="14" t="str">
        <f>IF($A583&lt;&gt;"",MINIFS(Merchant!$A:$A,Merchant!$B:$B,$G$2),)</f>
        <v/>
      </c>
      <c r="D583" s="14" t="str">
        <f t="shared" si="2"/>
        <v/>
      </c>
      <c r="E583" s="14" t="str">
        <f t="shared" si="3"/>
        <v/>
      </c>
      <c r="F583" s="7" t="str">
        <f>IF($A583&lt;&gt;"",MAXIFS(Token!$B:$B,Token!$A:$A,$D583),)</f>
        <v/>
      </c>
    </row>
    <row r="584">
      <c r="A584" s="39" t="str">
        <f>IF(AND($L584*1&gt;=$G$3,$L584*1&lt;=$G$4,$I584*$J584&gt;0,OR($I584&lt;&gt;$I585,$L584-$L585&gt;25),$I584/POW(10,$J584)*MAXIFS(Token!$B:$B,Token!$A:$A,$K584)&gt;0.01),$L584/86400+DATE(1970,1,1)+$G$6,)</f>
        <v/>
      </c>
      <c r="B584" s="27" t="str">
        <f t="shared" si="1"/>
        <v/>
      </c>
      <c r="C584" s="14" t="str">
        <f>IF($A584&lt;&gt;"",MINIFS(Merchant!$A:$A,Merchant!$B:$B,$G$2),)</f>
        <v/>
      </c>
      <c r="D584" s="14" t="str">
        <f t="shared" si="2"/>
        <v/>
      </c>
      <c r="E584" s="14" t="str">
        <f t="shared" si="3"/>
        <v/>
      </c>
      <c r="F584" s="7" t="str">
        <f>IF($A584&lt;&gt;"",MAXIFS(Token!$B:$B,Token!$A:$A,$D584),)</f>
        <v/>
      </c>
    </row>
    <row r="585">
      <c r="A585" s="39" t="str">
        <f>IF(AND($L585*1&gt;=$G$3,$L585*1&lt;=$G$4,$I585*$J585&gt;0,OR($I585&lt;&gt;$I586,$L585-$L586&gt;25),$I585/POW(10,$J585)*MAXIFS(Token!$B:$B,Token!$A:$A,$K585)&gt;0.01),$L585/86400+DATE(1970,1,1)+$G$6,)</f>
        <v/>
      </c>
      <c r="B585" s="27" t="str">
        <f t="shared" si="1"/>
        <v/>
      </c>
      <c r="C585" s="14" t="str">
        <f>IF($A585&lt;&gt;"",MINIFS(Merchant!$A:$A,Merchant!$B:$B,$G$2),)</f>
        <v/>
      </c>
      <c r="D585" s="14" t="str">
        <f t="shared" si="2"/>
        <v/>
      </c>
      <c r="E585" s="14" t="str">
        <f t="shared" si="3"/>
        <v/>
      </c>
      <c r="F585" s="7" t="str">
        <f>IF($A585&lt;&gt;"",MAXIFS(Token!$B:$B,Token!$A:$A,$D585),)</f>
        <v/>
      </c>
    </row>
    <row r="586">
      <c r="A586" s="39" t="str">
        <f>IF(AND($L586*1&gt;=$G$3,$L586*1&lt;=$G$4,$I586*$J586&gt;0,OR($I586&lt;&gt;$I587,$L586-$L587&gt;25),$I586/POW(10,$J586)*MAXIFS(Token!$B:$B,Token!$A:$A,$K586)&gt;0.01),$L586/86400+DATE(1970,1,1)+$G$6,)</f>
        <v/>
      </c>
      <c r="B586" s="27" t="str">
        <f t="shared" si="1"/>
        <v/>
      </c>
      <c r="C586" s="14" t="str">
        <f>IF($A586&lt;&gt;"",MINIFS(Merchant!$A:$A,Merchant!$B:$B,$G$2),)</f>
        <v/>
      </c>
      <c r="D586" s="14" t="str">
        <f t="shared" si="2"/>
        <v/>
      </c>
      <c r="E586" s="14" t="str">
        <f t="shared" si="3"/>
        <v/>
      </c>
      <c r="F586" s="7" t="str">
        <f>IF($A586&lt;&gt;"",MAXIFS(Token!$B:$B,Token!$A:$A,$D586),)</f>
        <v/>
      </c>
    </row>
    <row r="587">
      <c r="A587" s="39" t="str">
        <f>IF(AND($L587*1&gt;=$G$3,$L587*1&lt;=$G$4,$I587*$J587&gt;0,OR($I587&lt;&gt;$I588,$L587-$L588&gt;25),$I587/POW(10,$J587)*MAXIFS(Token!$B:$B,Token!$A:$A,$K587)&gt;0.01),$L587/86400+DATE(1970,1,1)+$G$6,)</f>
        <v/>
      </c>
      <c r="B587" s="27" t="str">
        <f t="shared" si="1"/>
        <v/>
      </c>
      <c r="C587" s="14" t="str">
        <f>IF($A587&lt;&gt;"",MINIFS(Merchant!$A:$A,Merchant!$B:$B,$G$2),)</f>
        <v/>
      </c>
      <c r="D587" s="14" t="str">
        <f t="shared" si="2"/>
        <v/>
      </c>
      <c r="E587" s="14" t="str">
        <f t="shared" si="3"/>
        <v/>
      </c>
      <c r="F587" s="7" t="str">
        <f>IF($A587&lt;&gt;"",MAXIFS(Token!$B:$B,Token!$A:$A,$D587),)</f>
        <v/>
      </c>
    </row>
    <row r="588">
      <c r="A588" s="39" t="str">
        <f>IF(AND($L588*1&gt;=$G$3,$L588*1&lt;=$G$4,$I588*$J588&gt;0,OR($I588&lt;&gt;$I589,$L588-$L589&gt;25),$I588/POW(10,$J588)*MAXIFS(Token!$B:$B,Token!$A:$A,$K588)&gt;0.01),$L588/86400+DATE(1970,1,1)+$G$6,)</f>
        <v/>
      </c>
      <c r="B588" s="27" t="str">
        <f t="shared" si="1"/>
        <v/>
      </c>
      <c r="C588" s="14" t="str">
        <f>IF($A588&lt;&gt;"",MINIFS(Merchant!$A:$A,Merchant!$B:$B,$G$2),)</f>
        <v/>
      </c>
      <c r="D588" s="14" t="str">
        <f t="shared" si="2"/>
        <v/>
      </c>
      <c r="E588" s="14" t="str">
        <f t="shared" si="3"/>
        <v/>
      </c>
      <c r="F588" s="7" t="str">
        <f>IF($A588&lt;&gt;"",MAXIFS(Token!$B:$B,Token!$A:$A,$D588),)</f>
        <v/>
      </c>
    </row>
    <row r="589">
      <c r="A589" s="39" t="str">
        <f>IF(AND($L589*1&gt;=$G$3,$L589*1&lt;=$G$4,$I589*$J589&gt;0,OR($I589&lt;&gt;$I590,$L589-$L590&gt;25),$I589/POW(10,$J589)*MAXIFS(Token!$B:$B,Token!$A:$A,$K589)&gt;0.01),$L589/86400+DATE(1970,1,1)+$G$6,)</f>
        <v/>
      </c>
      <c r="B589" s="27" t="str">
        <f t="shared" si="1"/>
        <v/>
      </c>
      <c r="C589" s="14" t="str">
        <f>IF($A589&lt;&gt;"",MINIFS(Merchant!$A:$A,Merchant!$B:$B,$G$2),)</f>
        <v/>
      </c>
      <c r="D589" s="14" t="str">
        <f t="shared" si="2"/>
        <v/>
      </c>
      <c r="E589" s="14" t="str">
        <f t="shared" si="3"/>
        <v/>
      </c>
      <c r="F589" s="7" t="str">
        <f>IF($A589&lt;&gt;"",MAXIFS(Token!$B:$B,Token!$A:$A,$D589),)</f>
        <v/>
      </c>
    </row>
    <row r="590">
      <c r="A590" s="39" t="str">
        <f>IF(AND($L590*1&gt;=$G$3,$L590*1&lt;=$G$4,$I590*$J590&gt;0,OR($I590&lt;&gt;$I591,$L590-$L591&gt;25),$I590/POW(10,$J590)*MAXIFS(Token!$B:$B,Token!$A:$A,$K590)&gt;0.01),$L590/86400+DATE(1970,1,1)+$G$6,)</f>
        <v/>
      </c>
      <c r="B590" s="27" t="str">
        <f t="shared" si="1"/>
        <v/>
      </c>
      <c r="C590" s="14" t="str">
        <f>IF($A590&lt;&gt;"",MINIFS(Merchant!$A:$A,Merchant!$B:$B,$G$2),)</f>
        <v/>
      </c>
      <c r="D590" s="14" t="str">
        <f t="shared" si="2"/>
        <v/>
      </c>
      <c r="E590" s="14" t="str">
        <f t="shared" si="3"/>
        <v/>
      </c>
      <c r="F590" s="7" t="str">
        <f>IF($A590&lt;&gt;"",MAXIFS(Token!$B:$B,Token!$A:$A,$D590),)</f>
        <v/>
      </c>
    </row>
    <row r="591">
      <c r="A591" s="39" t="str">
        <f>IF(AND($L591*1&gt;=$G$3,$L591*1&lt;=$G$4,$I591*$J591&gt;0,OR($I591&lt;&gt;$I592,$L591-$L592&gt;25),$I591/POW(10,$J591)*MAXIFS(Token!$B:$B,Token!$A:$A,$K591)&gt;0.01),$L591/86400+DATE(1970,1,1)+$G$6,)</f>
        <v/>
      </c>
      <c r="B591" s="27" t="str">
        <f t="shared" si="1"/>
        <v/>
      </c>
      <c r="C591" s="14" t="str">
        <f>IF($A591&lt;&gt;"",MINIFS(Merchant!$A:$A,Merchant!$B:$B,$G$2),)</f>
        <v/>
      </c>
      <c r="D591" s="14" t="str">
        <f t="shared" si="2"/>
        <v/>
      </c>
      <c r="E591" s="14" t="str">
        <f t="shared" si="3"/>
        <v/>
      </c>
      <c r="F591" s="7" t="str">
        <f>IF($A591&lt;&gt;"",MAXIFS(Token!$B:$B,Token!$A:$A,$D591),)</f>
        <v/>
      </c>
    </row>
    <row r="592">
      <c r="A592" s="39" t="str">
        <f>IF(AND($L592*1&gt;=$G$3,$L592*1&lt;=$G$4,$I592*$J592&gt;0,OR($I592&lt;&gt;$I593,$L592-$L593&gt;25),$I592/POW(10,$J592)*MAXIFS(Token!$B:$B,Token!$A:$A,$K592)&gt;0.01),$L592/86400+DATE(1970,1,1)+$G$6,)</f>
        <v/>
      </c>
      <c r="B592" s="27" t="str">
        <f t="shared" si="1"/>
        <v/>
      </c>
      <c r="C592" s="14" t="str">
        <f>IF($A592&lt;&gt;"",MINIFS(Merchant!$A:$A,Merchant!$B:$B,$G$2),)</f>
        <v/>
      </c>
      <c r="D592" s="14" t="str">
        <f t="shared" si="2"/>
        <v/>
      </c>
      <c r="E592" s="14" t="str">
        <f t="shared" si="3"/>
        <v/>
      </c>
      <c r="F592" s="7" t="str">
        <f>IF($A592&lt;&gt;"",MAXIFS(Token!$B:$B,Token!$A:$A,$D592),)</f>
        <v/>
      </c>
    </row>
    <row r="593">
      <c r="A593" s="39" t="str">
        <f>IF(AND($L593*1&gt;=$G$3,$L593*1&lt;=$G$4,$I593*$J593&gt;0,OR($I593&lt;&gt;$I594,$L593-$L594&gt;25),$I593/POW(10,$J593)*MAXIFS(Token!$B:$B,Token!$A:$A,$K593)&gt;0.01),$L593/86400+DATE(1970,1,1)+$G$6,)</f>
        <v/>
      </c>
      <c r="B593" s="27" t="str">
        <f t="shared" si="1"/>
        <v/>
      </c>
      <c r="C593" s="14" t="str">
        <f>IF($A593&lt;&gt;"",MINIFS(Merchant!$A:$A,Merchant!$B:$B,$G$2),)</f>
        <v/>
      </c>
      <c r="D593" s="14" t="str">
        <f t="shared" si="2"/>
        <v/>
      </c>
      <c r="E593" s="14" t="str">
        <f t="shared" si="3"/>
        <v/>
      </c>
      <c r="F593" s="7" t="str">
        <f>IF($A593&lt;&gt;"",MAXIFS(Token!$B:$B,Token!$A:$A,$D593),)</f>
        <v/>
      </c>
    </row>
    <row r="594">
      <c r="A594" s="39" t="str">
        <f>IF(AND($L594*1&gt;=$G$3,$L594*1&lt;=$G$4,$I594*$J594&gt;0,OR($I594&lt;&gt;$I595,$L594-$L595&gt;25),$I594/POW(10,$J594)*MAXIFS(Token!$B:$B,Token!$A:$A,$K594)&gt;0.01),$L594/86400+DATE(1970,1,1)+$G$6,)</f>
        <v/>
      </c>
      <c r="B594" s="27" t="str">
        <f t="shared" si="1"/>
        <v/>
      </c>
      <c r="C594" s="14" t="str">
        <f>IF($A594&lt;&gt;"",MINIFS(Merchant!$A:$A,Merchant!$B:$B,$G$2),)</f>
        <v/>
      </c>
      <c r="D594" s="14" t="str">
        <f t="shared" si="2"/>
        <v/>
      </c>
      <c r="E594" s="14" t="str">
        <f t="shared" si="3"/>
        <v/>
      </c>
      <c r="F594" s="7" t="str">
        <f>IF($A594&lt;&gt;"",MAXIFS(Token!$B:$B,Token!$A:$A,$D594),)</f>
        <v/>
      </c>
    </row>
    <row r="595">
      <c r="A595" s="39" t="str">
        <f>IF(AND($L595*1&gt;=$G$3,$L595*1&lt;=$G$4,$I595*$J595&gt;0,OR($I595&lt;&gt;$I596,$L595-$L596&gt;25),$I595/POW(10,$J595)*MAXIFS(Token!$B:$B,Token!$A:$A,$K595)&gt;0.01),$L595/86400+DATE(1970,1,1)+$G$6,)</f>
        <v/>
      </c>
      <c r="B595" s="27" t="str">
        <f t="shared" si="1"/>
        <v/>
      </c>
      <c r="C595" s="14" t="str">
        <f>IF($A595&lt;&gt;"",MINIFS(Merchant!$A:$A,Merchant!$B:$B,$G$2),)</f>
        <v/>
      </c>
      <c r="D595" s="14" t="str">
        <f t="shared" si="2"/>
        <v/>
      </c>
      <c r="E595" s="14" t="str">
        <f t="shared" si="3"/>
        <v/>
      </c>
      <c r="F595" s="7" t="str">
        <f>IF($A595&lt;&gt;"",MAXIFS(Token!$B:$B,Token!$A:$A,$D595),)</f>
        <v/>
      </c>
    </row>
    <row r="596">
      <c r="A596" s="39" t="str">
        <f>IF(AND($L596*1&gt;=$G$3,$L596*1&lt;=$G$4,$I596*$J596&gt;0,OR($I596&lt;&gt;$I597,$L596-$L597&gt;25),$I596/POW(10,$J596)*MAXIFS(Token!$B:$B,Token!$A:$A,$K596)&gt;0.01),$L596/86400+DATE(1970,1,1)+$G$6,)</f>
        <v/>
      </c>
      <c r="B596" s="27" t="str">
        <f t="shared" si="1"/>
        <v/>
      </c>
      <c r="C596" s="14" t="str">
        <f>IF($A596&lt;&gt;"",MINIFS(Merchant!$A:$A,Merchant!$B:$B,$G$2),)</f>
        <v/>
      </c>
      <c r="D596" s="14" t="str">
        <f t="shared" si="2"/>
        <v/>
      </c>
      <c r="E596" s="14" t="str">
        <f t="shared" si="3"/>
        <v/>
      </c>
      <c r="F596" s="7" t="str">
        <f>IF($A596&lt;&gt;"",MAXIFS(Token!$B:$B,Token!$A:$A,$D596),)</f>
        <v/>
      </c>
    </row>
    <row r="597">
      <c r="A597" s="39" t="str">
        <f>IF(AND($L597*1&gt;=$G$3,$L597*1&lt;=$G$4,$I597*$J597&gt;0,OR($I597&lt;&gt;$I598,$L597-$L598&gt;25),$I597/POW(10,$J597)*MAXIFS(Token!$B:$B,Token!$A:$A,$K597)&gt;0.01),$L597/86400+DATE(1970,1,1)+$G$6,)</f>
        <v/>
      </c>
      <c r="B597" s="27" t="str">
        <f t="shared" si="1"/>
        <v/>
      </c>
      <c r="C597" s="14" t="str">
        <f>IF($A597&lt;&gt;"",MINIFS(Merchant!$A:$A,Merchant!$B:$B,$G$2),)</f>
        <v/>
      </c>
      <c r="D597" s="14" t="str">
        <f t="shared" si="2"/>
        <v/>
      </c>
      <c r="E597" s="14" t="str">
        <f t="shared" si="3"/>
        <v/>
      </c>
      <c r="F597" s="7" t="str">
        <f>IF($A597&lt;&gt;"",MAXIFS(Token!$B:$B,Token!$A:$A,$D597),)</f>
        <v/>
      </c>
    </row>
    <row r="598">
      <c r="A598" s="39" t="str">
        <f>IF(AND($L598*1&gt;=$G$3,$L598*1&lt;=$G$4,$I598*$J598&gt;0,OR($I598&lt;&gt;$I599,$L598-$L599&gt;25),$I598/POW(10,$J598)*MAXIFS(Token!$B:$B,Token!$A:$A,$K598)&gt;0.01),$L598/86400+DATE(1970,1,1)+$G$6,)</f>
        <v/>
      </c>
      <c r="B598" s="27" t="str">
        <f t="shared" si="1"/>
        <v/>
      </c>
      <c r="C598" s="14" t="str">
        <f>IF($A598&lt;&gt;"",MINIFS(Merchant!$A:$A,Merchant!$B:$B,$G$2),)</f>
        <v/>
      </c>
      <c r="D598" s="14" t="str">
        <f t="shared" si="2"/>
        <v/>
      </c>
      <c r="E598" s="14" t="str">
        <f t="shared" si="3"/>
        <v/>
      </c>
      <c r="F598" s="7" t="str">
        <f>IF($A598&lt;&gt;"",MAXIFS(Token!$B:$B,Token!$A:$A,$D598),)</f>
        <v/>
      </c>
    </row>
    <row r="599">
      <c r="A599" s="39" t="str">
        <f>IF(AND($L599*1&gt;=$G$3,$L599*1&lt;=$G$4,$I599*$J599&gt;0,OR($I599&lt;&gt;$I600,$L599-$L600&gt;25),$I599/POW(10,$J599)*MAXIFS(Token!$B:$B,Token!$A:$A,$K599)&gt;0.01),$L599/86400+DATE(1970,1,1)+$G$6,)</f>
        <v/>
      </c>
      <c r="B599" s="27" t="str">
        <f t="shared" si="1"/>
        <v/>
      </c>
      <c r="C599" s="14" t="str">
        <f>IF($A599&lt;&gt;"",MINIFS(Merchant!$A:$A,Merchant!$B:$B,$G$2),)</f>
        <v/>
      </c>
      <c r="D599" s="14" t="str">
        <f t="shared" si="2"/>
        <v/>
      </c>
      <c r="E599" s="14" t="str">
        <f t="shared" si="3"/>
        <v/>
      </c>
      <c r="F599" s="7" t="str">
        <f>IF($A599&lt;&gt;"",MAXIFS(Token!$B:$B,Token!$A:$A,$D599),)</f>
        <v/>
      </c>
    </row>
    <row r="600">
      <c r="A600" s="39" t="str">
        <f>IF(AND($L600*1&gt;=$G$3,$L600*1&lt;=$G$4,$I600*$J600&gt;0,OR($I600&lt;&gt;$I601,$L600-$L601&gt;25),$I600/POW(10,$J600)*MAXIFS(Token!$B:$B,Token!$A:$A,$K600)&gt;0.01),$L600/86400+DATE(1970,1,1)+$G$6,)</f>
        <v/>
      </c>
      <c r="B600" s="27" t="str">
        <f t="shared" si="1"/>
        <v/>
      </c>
      <c r="C600" s="14" t="str">
        <f>IF($A600&lt;&gt;"",MINIFS(Merchant!$A:$A,Merchant!$B:$B,$G$2),)</f>
        <v/>
      </c>
      <c r="D600" s="14" t="str">
        <f t="shared" si="2"/>
        <v/>
      </c>
      <c r="E600" s="14" t="str">
        <f t="shared" si="3"/>
        <v/>
      </c>
      <c r="F600" s="7" t="str">
        <f>IF($A600&lt;&gt;"",MAXIFS(Token!$B:$B,Token!$A:$A,$D600),)</f>
        <v/>
      </c>
    </row>
    <row r="601">
      <c r="A601" s="39" t="str">
        <f>IF(AND($L601*1&gt;=$G$3,$L601*1&lt;=$G$4,$I601*$J601&gt;0,OR($I601&lt;&gt;$I602,$L601-$L602&gt;25),$I601/POW(10,$J601)*MAXIFS(Token!$B:$B,Token!$A:$A,$K601)&gt;0.01),$L601/86400+DATE(1970,1,1)+$G$6,)</f>
        <v/>
      </c>
      <c r="B601" s="27" t="str">
        <f t="shared" si="1"/>
        <v/>
      </c>
      <c r="C601" s="14" t="str">
        <f>IF($A601&lt;&gt;"",MINIFS(Merchant!$A:$A,Merchant!$B:$B,$G$2),)</f>
        <v/>
      </c>
      <c r="D601" s="14" t="str">
        <f t="shared" si="2"/>
        <v/>
      </c>
      <c r="E601" s="14" t="str">
        <f t="shared" si="3"/>
        <v/>
      </c>
      <c r="F601" s="7" t="str">
        <f>IF($A601&lt;&gt;"",MAXIFS(Token!$B:$B,Token!$A:$A,$D601),)</f>
        <v/>
      </c>
    </row>
    <row r="602">
      <c r="A602" s="39" t="str">
        <f>IF(AND($L602*1&gt;=$G$3,$L602*1&lt;=$G$4,$I602*$J602&gt;0,OR($I602&lt;&gt;$I603,$L602-$L603&gt;25),$I602/POW(10,$J602)*MAXIFS(Token!$B:$B,Token!$A:$A,$K602)&gt;0.01),$L602/86400+DATE(1970,1,1)+$G$6,)</f>
        <v/>
      </c>
      <c r="B602" s="27" t="str">
        <f t="shared" si="1"/>
        <v/>
      </c>
      <c r="C602" s="14" t="str">
        <f>IF($A602&lt;&gt;"",MINIFS(Merchant!$A:$A,Merchant!$B:$B,$G$2),)</f>
        <v/>
      </c>
      <c r="D602" s="14" t="str">
        <f t="shared" si="2"/>
        <v/>
      </c>
      <c r="E602" s="14" t="str">
        <f t="shared" si="3"/>
        <v/>
      </c>
      <c r="F602" s="7" t="str">
        <f>IF($A602&lt;&gt;"",MAXIFS(Token!$B:$B,Token!$A:$A,$D602),)</f>
        <v/>
      </c>
    </row>
    <row r="603">
      <c r="A603" s="39" t="str">
        <f>IF(AND($L603*1&gt;=$G$3,$L603*1&lt;=$G$4,$I603*$J603&gt;0,OR($I603&lt;&gt;$I604,$L603-$L604&gt;25),$I603/POW(10,$J603)*MAXIFS(Token!$B:$B,Token!$A:$A,$K603)&gt;0.01),$L603/86400+DATE(1970,1,1)+$G$6,)</f>
        <v/>
      </c>
      <c r="B603" s="27" t="str">
        <f t="shared" si="1"/>
        <v/>
      </c>
      <c r="C603" s="14" t="str">
        <f>IF($A603&lt;&gt;"",MINIFS(Merchant!$A:$A,Merchant!$B:$B,$G$2),)</f>
        <v/>
      </c>
      <c r="D603" s="14" t="str">
        <f t="shared" si="2"/>
        <v/>
      </c>
      <c r="E603" s="14" t="str">
        <f t="shared" si="3"/>
        <v/>
      </c>
      <c r="F603" s="7" t="str">
        <f>IF($A603&lt;&gt;"",MAXIFS(Token!$B:$B,Token!$A:$A,$D603),)</f>
        <v/>
      </c>
    </row>
    <row r="604">
      <c r="A604" s="39" t="str">
        <f>IF(AND($L604*1&gt;=$G$3,$L604*1&lt;=$G$4,$I604*$J604&gt;0,OR($I604&lt;&gt;$I605,$L604-$L605&gt;25),$I604/POW(10,$J604)*MAXIFS(Token!$B:$B,Token!$A:$A,$K604)&gt;0.01),$L604/86400+DATE(1970,1,1)+$G$6,)</f>
        <v/>
      </c>
      <c r="B604" s="27" t="str">
        <f t="shared" si="1"/>
        <v/>
      </c>
      <c r="C604" s="14" t="str">
        <f>IF($A604&lt;&gt;"",MINIFS(Merchant!$A:$A,Merchant!$B:$B,$G$2),)</f>
        <v/>
      </c>
      <c r="D604" s="14" t="str">
        <f t="shared" si="2"/>
        <v/>
      </c>
      <c r="E604" s="14" t="str">
        <f t="shared" si="3"/>
        <v/>
      </c>
      <c r="F604" s="7" t="str">
        <f>IF($A604&lt;&gt;"",MAXIFS(Token!$B:$B,Token!$A:$A,$D604),)</f>
        <v/>
      </c>
    </row>
    <row r="605">
      <c r="A605" s="39" t="str">
        <f>IF(AND($L605*1&gt;=$G$3,$L605*1&lt;=$G$4,$I605*$J605&gt;0,OR($I605&lt;&gt;$I606,$L605-$L606&gt;25),$I605/POW(10,$J605)*MAXIFS(Token!$B:$B,Token!$A:$A,$K605)&gt;0.01),$L605/86400+DATE(1970,1,1)+$G$6,)</f>
        <v/>
      </c>
      <c r="B605" s="27" t="str">
        <f t="shared" si="1"/>
        <v/>
      </c>
      <c r="C605" s="14" t="str">
        <f>IF($A605&lt;&gt;"",MINIFS(Merchant!$A:$A,Merchant!$B:$B,$G$2),)</f>
        <v/>
      </c>
      <c r="D605" s="14" t="str">
        <f t="shared" si="2"/>
        <v/>
      </c>
      <c r="E605" s="14" t="str">
        <f t="shared" si="3"/>
        <v/>
      </c>
      <c r="F605" s="7" t="str">
        <f>IF($A605&lt;&gt;"",MAXIFS(Token!$B:$B,Token!$A:$A,$D605),)</f>
        <v/>
      </c>
    </row>
    <row r="606">
      <c r="A606" s="39" t="str">
        <f>IF(AND($L606*1&gt;=$G$3,$L606*1&lt;=$G$4,$I606*$J606&gt;0,OR($I606&lt;&gt;$I607,$L606-$L607&gt;25),$I606/POW(10,$J606)*MAXIFS(Token!$B:$B,Token!$A:$A,$K606)&gt;0.01),$L606/86400+DATE(1970,1,1)+$G$6,)</f>
        <v/>
      </c>
      <c r="B606" s="27" t="str">
        <f t="shared" si="1"/>
        <v/>
      </c>
      <c r="C606" s="14" t="str">
        <f>IF($A606&lt;&gt;"",MINIFS(Merchant!$A:$A,Merchant!$B:$B,$G$2),)</f>
        <v/>
      </c>
      <c r="D606" s="14" t="str">
        <f t="shared" si="2"/>
        <v/>
      </c>
      <c r="E606" s="14" t="str">
        <f t="shared" si="3"/>
        <v/>
      </c>
      <c r="F606" s="7" t="str">
        <f>IF($A606&lt;&gt;"",MAXIFS(Token!$B:$B,Token!$A:$A,$D606),)</f>
        <v/>
      </c>
    </row>
    <row r="607">
      <c r="A607" s="39" t="str">
        <f>IF(AND($L607*1&gt;=$G$3,$L607*1&lt;=$G$4,$I607*$J607&gt;0,OR($I607&lt;&gt;$I608,$L607-$L608&gt;25),$I607/POW(10,$J607)*MAXIFS(Token!$B:$B,Token!$A:$A,$K607)&gt;0.01),$L607/86400+DATE(1970,1,1)+$G$6,)</f>
        <v/>
      </c>
      <c r="B607" s="27" t="str">
        <f t="shared" si="1"/>
        <v/>
      </c>
      <c r="C607" s="14" t="str">
        <f>IF($A607&lt;&gt;"",MINIFS(Merchant!$A:$A,Merchant!$B:$B,$G$2),)</f>
        <v/>
      </c>
      <c r="D607" s="14" t="str">
        <f t="shared" si="2"/>
        <v/>
      </c>
      <c r="E607" s="14" t="str">
        <f t="shared" si="3"/>
        <v/>
      </c>
      <c r="F607" s="7" t="str">
        <f>IF($A607&lt;&gt;"",MAXIFS(Token!$B:$B,Token!$A:$A,$D607),)</f>
        <v/>
      </c>
    </row>
    <row r="608">
      <c r="A608" s="39" t="str">
        <f>IF(AND($L608*1&gt;=$G$3,$L608*1&lt;=$G$4,$I608*$J608&gt;0,OR($I608&lt;&gt;$I609,$L608-$L609&gt;25),$I608/POW(10,$J608)*MAXIFS(Token!$B:$B,Token!$A:$A,$K608)&gt;0.01),$L608/86400+DATE(1970,1,1)+$G$6,)</f>
        <v/>
      </c>
      <c r="B608" s="27" t="str">
        <f t="shared" si="1"/>
        <v/>
      </c>
      <c r="C608" s="14" t="str">
        <f>IF($A608&lt;&gt;"",MINIFS(Merchant!$A:$A,Merchant!$B:$B,$G$2),)</f>
        <v/>
      </c>
      <c r="D608" s="14" t="str">
        <f t="shared" si="2"/>
        <v/>
      </c>
      <c r="E608" s="14" t="str">
        <f t="shared" si="3"/>
        <v/>
      </c>
      <c r="F608" s="7" t="str">
        <f>IF($A608&lt;&gt;"",MAXIFS(Token!$B:$B,Token!$A:$A,$D608),)</f>
        <v/>
      </c>
    </row>
    <row r="609">
      <c r="A609" s="39" t="str">
        <f>IF(AND($L609*1&gt;=$G$3,$L609*1&lt;=$G$4,$I609*$J609&gt;0,OR($I609&lt;&gt;$I610,$L609-$L610&gt;25),$I609/POW(10,$J609)*MAXIFS(Token!$B:$B,Token!$A:$A,$K609)&gt;0.01),$L609/86400+DATE(1970,1,1)+$G$6,)</f>
        <v/>
      </c>
      <c r="B609" s="27" t="str">
        <f t="shared" si="1"/>
        <v/>
      </c>
      <c r="C609" s="14" t="str">
        <f>IF($A609&lt;&gt;"",MINIFS(Merchant!$A:$A,Merchant!$B:$B,$G$2),)</f>
        <v/>
      </c>
      <c r="D609" s="14" t="str">
        <f t="shared" si="2"/>
        <v/>
      </c>
      <c r="E609" s="14" t="str">
        <f t="shared" si="3"/>
        <v/>
      </c>
      <c r="F609" s="7" t="str">
        <f>IF($A609&lt;&gt;"",MAXIFS(Token!$B:$B,Token!$A:$A,$D609),)</f>
        <v/>
      </c>
    </row>
    <row r="610">
      <c r="A610" s="39" t="str">
        <f>IF(AND($L610*1&gt;=$G$3,$L610*1&lt;=$G$4,$I610*$J610&gt;0,OR($I610&lt;&gt;$I611,$L610-$L611&gt;25),$I610/POW(10,$J610)*MAXIFS(Token!$B:$B,Token!$A:$A,$K610)&gt;0.01),$L610/86400+DATE(1970,1,1)+$G$6,)</f>
        <v/>
      </c>
      <c r="B610" s="27" t="str">
        <f t="shared" si="1"/>
        <v/>
      </c>
      <c r="C610" s="14" t="str">
        <f>IF($A610&lt;&gt;"",MINIFS(Merchant!$A:$A,Merchant!$B:$B,$G$2),)</f>
        <v/>
      </c>
      <c r="D610" s="14" t="str">
        <f t="shared" si="2"/>
        <v/>
      </c>
      <c r="E610" s="14" t="str">
        <f t="shared" si="3"/>
        <v/>
      </c>
      <c r="F610" s="7" t="str">
        <f>IF($A610&lt;&gt;"",MAXIFS(Token!$B:$B,Token!$A:$A,$D610),)</f>
        <v/>
      </c>
    </row>
    <row r="611">
      <c r="A611" s="39" t="str">
        <f>IF(AND($L611*1&gt;=$G$3,$L611*1&lt;=$G$4,$I611*$J611&gt;0,OR($I611&lt;&gt;$I612,$L611-$L612&gt;25),$I611/POW(10,$J611)*MAXIFS(Token!$B:$B,Token!$A:$A,$K611)&gt;0.01),$L611/86400+DATE(1970,1,1)+$G$6,)</f>
        <v/>
      </c>
      <c r="B611" s="27" t="str">
        <f t="shared" si="1"/>
        <v/>
      </c>
      <c r="C611" s="14" t="str">
        <f>IF($A611&lt;&gt;"",MINIFS(Merchant!$A:$A,Merchant!$B:$B,$G$2),)</f>
        <v/>
      </c>
      <c r="D611" s="14" t="str">
        <f t="shared" si="2"/>
        <v/>
      </c>
      <c r="E611" s="14" t="str">
        <f t="shared" si="3"/>
        <v/>
      </c>
      <c r="F611" s="7" t="str">
        <f>IF($A611&lt;&gt;"",MAXIFS(Token!$B:$B,Token!$A:$A,$D611),)</f>
        <v/>
      </c>
    </row>
    <row r="612">
      <c r="A612" s="39" t="str">
        <f>IF(AND($L612*1&gt;=$G$3,$L612*1&lt;=$G$4,$I612*$J612&gt;0,OR($I612&lt;&gt;$I613,$L612-$L613&gt;25),$I612/POW(10,$J612)*MAXIFS(Token!$B:$B,Token!$A:$A,$K612)&gt;0.01),$L612/86400+DATE(1970,1,1)+$G$6,)</f>
        <v/>
      </c>
      <c r="B612" s="27" t="str">
        <f t="shared" si="1"/>
        <v/>
      </c>
      <c r="C612" s="14" t="str">
        <f>IF($A612&lt;&gt;"",MINIFS(Merchant!$A:$A,Merchant!$B:$B,$G$2),)</f>
        <v/>
      </c>
      <c r="D612" s="14" t="str">
        <f t="shared" si="2"/>
        <v/>
      </c>
      <c r="E612" s="14" t="str">
        <f t="shared" si="3"/>
        <v/>
      </c>
      <c r="F612" s="7" t="str">
        <f>IF($A612&lt;&gt;"",MAXIFS(Token!$B:$B,Token!$A:$A,$D612),)</f>
        <v/>
      </c>
    </row>
    <row r="613">
      <c r="A613" s="39" t="str">
        <f>IF(AND($L613*1&gt;=$G$3,$L613*1&lt;=$G$4,$I613*$J613&gt;0,OR($I613&lt;&gt;$I614,$L613-$L614&gt;25),$I613/POW(10,$J613)*MAXIFS(Token!$B:$B,Token!$A:$A,$K613)&gt;0.01),$L613/86400+DATE(1970,1,1)+$G$6,)</f>
        <v/>
      </c>
      <c r="B613" s="27" t="str">
        <f t="shared" si="1"/>
        <v/>
      </c>
      <c r="C613" s="14" t="str">
        <f>IF($A613&lt;&gt;"",MINIFS(Merchant!$A:$A,Merchant!$B:$B,$G$2),)</f>
        <v/>
      </c>
      <c r="D613" s="14" t="str">
        <f t="shared" si="2"/>
        <v/>
      </c>
      <c r="E613" s="14" t="str">
        <f t="shared" si="3"/>
        <v/>
      </c>
      <c r="F613" s="7" t="str">
        <f>IF($A613&lt;&gt;"",MAXIFS(Token!$B:$B,Token!$A:$A,$D613),)</f>
        <v/>
      </c>
    </row>
    <row r="614">
      <c r="A614" s="39" t="str">
        <f>IF(AND($L614*1&gt;=$G$3,$L614*1&lt;=$G$4,$I614*$J614&gt;0,OR($I614&lt;&gt;$I615,$L614-$L615&gt;25),$I614/POW(10,$J614)*MAXIFS(Token!$B:$B,Token!$A:$A,$K614)&gt;0.01),$L614/86400+DATE(1970,1,1)+$G$6,)</f>
        <v/>
      </c>
      <c r="B614" s="27" t="str">
        <f t="shared" si="1"/>
        <v/>
      </c>
      <c r="C614" s="14" t="str">
        <f>IF($A614&lt;&gt;"",MINIFS(Merchant!$A:$A,Merchant!$B:$B,$G$2),)</f>
        <v/>
      </c>
      <c r="D614" s="14" t="str">
        <f t="shared" si="2"/>
        <v/>
      </c>
      <c r="E614" s="14" t="str">
        <f t="shared" si="3"/>
        <v/>
      </c>
      <c r="F614" s="7" t="str">
        <f>IF($A614&lt;&gt;"",MAXIFS(Token!$B:$B,Token!$A:$A,$D614),)</f>
        <v/>
      </c>
    </row>
    <row r="615">
      <c r="A615" s="39" t="str">
        <f>IF(AND($L615*1&gt;=$G$3,$L615*1&lt;=$G$4,$I615*$J615&gt;0,OR($I615&lt;&gt;$I616,$L615-$L616&gt;25),$I615/POW(10,$J615)*MAXIFS(Token!$B:$B,Token!$A:$A,$K615)&gt;0.01),$L615/86400+DATE(1970,1,1)+$G$6,)</f>
        <v/>
      </c>
      <c r="B615" s="27" t="str">
        <f t="shared" si="1"/>
        <v/>
      </c>
      <c r="C615" s="14" t="str">
        <f>IF($A615&lt;&gt;"",MINIFS(Merchant!$A:$A,Merchant!$B:$B,$G$2),)</f>
        <v/>
      </c>
      <c r="D615" s="14" t="str">
        <f t="shared" si="2"/>
        <v/>
      </c>
      <c r="E615" s="14" t="str">
        <f t="shared" si="3"/>
        <v/>
      </c>
      <c r="F615" s="7" t="str">
        <f>IF($A615&lt;&gt;"",MAXIFS(Token!$B:$B,Token!$A:$A,$D615),)</f>
        <v/>
      </c>
    </row>
    <row r="616">
      <c r="A616" s="39" t="str">
        <f>IF(AND($L616*1&gt;=$G$3,$L616*1&lt;=$G$4,$I616*$J616&gt;0,OR($I616&lt;&gt;$I617,$L616-$L617&gt;25),$I616/POW(10,$J616)*MAXIFS(Token!$B:$B,Token!$A:$A,$K616)&gt;0.01),$L616/86400+DATE(1970,1,1)+$G$6,)</f>
        <v/>
      </c>
      <c r="B616" s="27" t="str">
        <f t="shared" si="1"/>
        <v/>
      </c>
      <c r="C616" s="14" t="str">
        <f>IF($A616&lt;&gt;"",MINIFS(Merchant!$A:$A,Merchant!$B:$B,$G$2),)</f>
        <v/>
      </c>
      <c r="D616" s="14" t="str">
        <f t="shared" si="2"/>
        <v/>
      </c>
      <c r="E616" s="14" t="str">
        <f t="shared" si="3"/>
        <v/>
      </c>
      <c r="F616" s="7" t="str">
        <f>IF($A616&lt;&gt;"",MAXIFS(Token!$B:$B,Token!$A:$A,$D616),)</f>
        <v/>
      </c>
    </row>
    <row r="617">
      <c r="A617" s="39" t="str">
        <f>IF(AND($L617*1&gt;=$G$3,$L617*1&lt;=$G$4,$I617*$J617&gt;0,OR($I617&lt;&gt;$I618,$L617-$L618&gt;25),$I617/POW(10,$J617)*MAXIFS(Token!$B:$B,Token!$A:$A,$K617)&gt;0.01),$L617/86400+DATE(1970,1,1)+$G$6,)</f>
        <v/>
      </c>
      <c r="B617" s="27" t="str">
        <f t="shared" si="1"/>
        <v/>
      </c>
      <c r="C617" s="14" t="str">
        <f>IF($A617&lt;&gt;"",MINIFS(Merchant!$A:$A,Merchant!$B:$B,$G$2),)</f>
        <v/>
      </c>
      <c r="D617" s="14" t="str">
        <f t="shared" si="2"/>
        <v/>
      </c>
      <c r="E617" s="14" t="str">
        <f t="shared" si="3"/>
        <v/>
      </c>
      <c r="F617" s="7" t="str">
        <f>IF($A617&lt;&gt;"",MAXIFS(Token!$B:$B,Token!$A:$A,$D617),)</f>
        <v/>
      </c>
    </row>
    <row r="618">
      <c r="A618" s="39" t="str">
        <f>IF(AND($L618*1&gt;=$G$3,$L618*1&lt;=$G$4,$I618*$J618&gt;0,OR($I618&lt;&gt;$I619,$L618-$L619&gt;25),$I618/POW(10,$J618)*MAXIFS(Token!$B:$B,Token!$A:$A,$K618)&gt;0.01),$L618/86400+DATE(1970,1,1)+$G$6,)</f>
        <v/>
      </c>
      <c r="B618" s="27" t="str">
        <f t="shared" si="1"/>
        <v/>
      </c>
      <c r="C618" s="14" t="str">
        <f>IF($A618&lt;&gt;"",MINIFS(Merchant!$A:$A,Merchant!$B:$B,$G$2),)</f>
        <v/>
      </c>
      <c r="D618" s="14" t="str">
        <f t="shared" si="2"/>
        <v/>
      </c>
      <c r="E618" s="14" t="str">
        <f t="shared" si="3"/>
        <v/>
      </c>
      <c r="F618" s="7" t="str">
        <f>IF($A618&lt;&gt;"",MAXIFS(Token!$B:$B,Token!$A:$A,$D618),)</f>
        <v/>
      </c>
    </row>
    <row r="619">
      <c r="A619" s="39" t="str">
        <f>IF(AND($L619*1&gt;=$G$3,$L619*1&lt;=$G$4,$I619*$J619&gt;0,OR($I619&lt;&gt;$I620,$L619-$L620&gt;25),$I619/POW(10,$J619)*MAXIFS(Token!$B:$B,Token!$A:$A,$K619)&gt;0.01),$L619/86400+DATE(1970,1,1)+$G$6,)</f>
        <v/>
      </c>
      <c r="B619" s="27" t="str">
        <f t="shared" si="1"/>
        <v/>
      </c>
      <c r="C619" s="14" t="str">
        <f>IF($A619&lt;&gt;"",MINIFS(Merchant!$A:$A,Merchant!$B:$B,$G$2),)</f>
        <v/>
      </c>
      <c r="D619" s="14" t="str">
        <f t="shared" si="2"/>
        <v/>
      </c>
      <c r="E619" s="14" t="str">
        <f t="shared" si="3"/>
        <v/>
      </c>
      <c r="F619" s="7" t="str">
        <f>IF($A619&lt;&gt;"",MAXIFS(Token!$B:$B,Token!$A:$A,$D619),)</f>
        <v/>
      </c>
    </row>
    <row r="620">
      <c r="A620" s="39" t="str">
        <f>IF(AND($L620*1&gt;=$G$3,$L620*1&lt;=$G$4,$I620*$J620&gt;0,OR($I620&lt;&gt;$I621,$L620-$L621&gt;25),$I620/POW(10,$J620)*MAXIFS(Token!$B:$B,Token!$A:$A,$K620)&gt;0.01),$L620/86400+DATE(1970,1,1)+$G$6,)</f>
        <v/>
      </c>
      <c r="B620" s="27" t="str">
        <f t="shared" si="1"/>
        <v/>
      </c>
      <c r="C620" s="14" t="str">
        <f>IF($A620&lt;&gt;"",MINIFS(Merchant!$A:$A,Merchant!$B:$B,$G$2),)</f>
        <v/>
      </c>
      <c r="D620" s="14" t="str">
        <f t="shared" si="2"/>
        <v/>
      </c>
      <c r="E620" s="14" t="str">
        <f t="shared" si="3"/>
        <v/>
      </c>
      <c r="F620" s="7" t="str">
        <f>IF($A620&lt;&gt;"",MAXIFS(Token!$B:$B,Token!$A:$A,$D620),)</f>
        <v/>
      </c>
    </row>
    <row r="621">
      <c r="A621" s="39" t="str">
        <f>IF(AND($L621*1&gt;=$G$3,$L621*1&lt;=$G$4,$I621*$J621&gt;0,OR($I621&lt;&gt;$I622,$L621-$L622&gt;25),$I621/POW(10,$J621)*MAXIFS(Token!$B:$B,Token!$A:$A,$K621)&gt;0.01),$L621/86400+DATE(1970,1,1)+$G$6,)</f>
        <v/>
      </c>
      <c r="B621" s="27" t="str">
        <f t="shared" si="1"/>
        <v/>
      </c>
      <c r="C621" s="14" t="str">
        <f>IF($A621&lt;&gt;"",MINIFS(Merchant!$A:$A,Merchant!$B:$B,$G$2),)</f>
        <v/>
      </c>
      <c r="D621" s="14" t="str">
        <f t="shared" si="2"/>
        <v/>
      </c>
      <c r="E621" s="14" t="str">
        <f t="shared" si="3"/>
        <v/>
      </c>
      <c r="F621" s="7" t="str">
        <f>IF($A621&lt;&gt;"",MAXIFS(Token!$B:$B,Token!$A:$A,$D621),)</f>
        <v/>
      </c>
    </row>
    <row r="622">
      <c r="A622" s="39" t="str">
        <f>IF(AND($L622*1&gt;=$G$3,$L622*1&lt;=$G$4,$I622*$J622&gt;0,OR($I622&lt;&gt;$I623,$L622-$L623&gt;25),$I622/POW(10,$J622)*MAXIFS(Token!$B:$B,Token!$A:$A,$K622)&gt;0.01),$L622/86400+DATE(1970,1,1)+$G$6,)</f>
        <v/>
      </c>
      <c r="B622" s="27" t="str">
        <f t="shared" si="1"/>
        <v/>
      </c>
      <c r="C622" s="14" t="str">
        <f>IF($A622&lt;&gt;"",MINIFS(Merchant!$A:$A,Merchant!$B:$B,$G$2),)</f>
        <v/>
      </c>
      <c r="D622" s="14" t="str">
        <f t="shared" si="2"/>
        <v/>
      </c>
      <c r="E622" s="14" t="str">
        <f t="shared" si="3"/>
        <v/>
      </c>
      <c r="F622" s="7" t="str">
        <f>IF($A622&lt;&gt;"",MAXIFS(Token!$B:$B,Token!$A:$A,$D622),)</f>
        <v/>
      </c>
    </row>
    <row r="623">
      <c r="A623" s="39" t="str">
        <f>IF(AND($L623*1&gt;=$G$3,$L623*1&lt;=$G$4,$I623*$J623&gt;0,OR($I623&lt;&gt;$I624,$L623-$L624&gt;25),$I623/POW(10,$J623)*MAXIFS(Token!$B:$B,Token!$A:$A,$K623)&gt;0.01),$L623/86400+DATE(1970,1,1)+$G$6,)</f>
        <v/>
      </c>
      <c r="B623" s="27" t="str">
        <f t="shared" si="1"/>
        <v/>
      </c>
      <c r="C623" s="14" t="str">
        <f>IF($A623&lt;&gt;"",MINIFS(Merchant!$A:$A,Merchant!$B:$B,$G$2),)</f>
        <v/>
      </c>
      <c r="D623" s="14" t="str">
        <f t="shared" si="2"/>
        <v/>
      </c>
      <c r="E623" s="14" t="str">
        <f t="shared" si="3"/>
        <v/>
      </c>
      <c r="F623" s="7" t="str">
        <f>IF($A623&lt;&gt;"",MAXIFS(Token!$B:$B,Token!$A:$A,$D623),)</f>
        <v/>
      </c>
    </row>
    <row r="624">
      <c r="A624" s="39" t="str">
        <f>IF(AND($L624*1&gt;=$G$3,$L624*1&lt;=$G$4,$I624*$J624&gt;0,OR($I624&lt;&gt;$I625,$L624-$L625&gt;25),$I624/POW(10,$J624)*MAXIFS(Token!$B:$B,Token!$A:$A,$K624)&gt;0.01),$L624/86400+DATE(1970,1,1)+$G$6,)</f>
        <v/>
      </c>
      <c r="B624" s="27" t="str">
        <f t="shared" si="1"/>
        <v/>
      </c>
      <c r="C624" s="14" t="str">
        <f>IF($A624&lt;&gt;"",MINIFS(Merchant!$A:$A,Merchant!$B:$B,$G$2),)</f>
        <v/>
      </c>
      <c r="D624" s="14" t="str">
        <f t="shared" si="2"/>
        <v/>
      </c>
      <c r="E624" s="14" t="str">
        <f t="shared" si="3"/>
        <v/>
      </c>
      <c r="F624" s="7" t="str">
        <f>IF($A624&lt;&gt;"",MAXIFS(Token!$B:$B,Token!$A:$A,$D624),)</f>
        <v/>
      </c>
    </row>
    <row r="625">
      <c r="A625" s="39" t="str">
        <f>IF(AND($L625*1&gt;=$G$3,$L625*1&lt;=$G$4,$I625*$J625&gt;0,OR($I625&lt;&gt;$I626,$L625-$L626&gt;25),$I625/POW(10,$J625)*MAXIFS(Token!$B:$B,Token!$A:$A,$K625)&gt;0.01),$L625/86400+DATE(1970,1,1)+$G$6,)</f>
        <v/>
      </c>
      <c r="B625" s="27" t="str">
        <f t="shared" si="1"/>
        <v/>
      </c>
      <c r="C625" s="14" t="str">
        <f>IF($A625&lt;&gt;"",MINIFS(Merchant!$A:$A,Merchant!$B:$B,$G$2),)</f>
        <v/>
      </c>
      <c r="D625" s="14" t="str">
        <f t="shared" si="2"/>
        <v/>
      </c>
      <c r="E625" s="14" t="str">
        <f t="shared" si="3"/>
        <v/>
      </c>
      <c r="F625" s="7" t="str">
        <f>IF($A625&lt;&gt;"",MAXIFS(Token!$B:$B,Token!$A:$A,$D625),)</f>
        <v/>
      </c>
    </row>
    <row r="626">
      <c r="A626" s="39" t="str">
        <f>IF(AND($L626*1&gt;=$G$3,$L626*1&lt;=$G$4,$I626*$J626&gt;0,OR($I626&lt;&gt;$I627,$L626-$L627&gt;25),$I626/POW(10,$J626)*MAXIFS(Token!$B:$B,Token!$A:$A,$K626)&gt;0.01),$L626/86400+DATE(1970,1,1)+$G$6,)</f>
        <v/>
      </c>
      <c r="B626" s="27" t="str">
        <f t="shared" si="1"/>
        <v/>
      </c>
      <c r="C626" s="14" t="str">
        <f>IF($A626&lt;&gt;"",MINIFS(Merchant!$A:$A,Merchant!$B:$B,$G$2),)</f>
        <v/>
      </c>
      <c r="D626" s="14" t="str">
        <f t="shared" si="2"/>
        <v/>
      </c>
      <c r="E626" s="14" t="str">
        <f t="shared" si="3"/>
        <v/>
      </c>
      <c r="F626" s="7" t="str">
        <f>IF($A626&lt;&gt;"",MAXIFS(Token!$B:$B,Token!$A:$A,$D626),)</f>
        <v/>
      </c>
    </row>
    <row r="627">
      <c r="A627" s="39" t="str">
        <f>IF(AND($L627*1&gt;=$G$3,$L627*1&lt;=$G$4,$I627*$J627&gt;0,OR($I627&lt;&gt;$I628,$L627-$L628&gt;25),$I627/POW(10,$J627)*MAXIFS(Token!$B:$B,Token!$A:$A,$K627)&gt;0.01),$L627/86400+DATE(1970,1,1)+$G$6,)</f>
        <v/>
      </c>
      <c r="B627" s="27" t="str">
        <f t="shared" si="1"/>
        <v/>
      </c>
      <c r="C627" s="14" t="str">
        <f>IF($A627&lt;&gt;"",MINIFS(Merchant!$A:$A,Merchant!$B:$B,$G$2),)</f>
        <v/>
      </c>
      <c r="D627" s="14" t="str">
        <f t="shared" si="2"/>
        <v/>
      </c>
      <c r="E627" s="14" t="str">
        <f t="shared" si="3"/>
        <v/>
      </c>
      <c r="F627" s="7" t="str">
        <f>IF($A627&lt;&gt;"",MAXIFS(Token!$B:$B,Token!$A:$A,$D627),)</f>
        <v/>
      </c>
    </row>
    <row r="628">
      <c r="A628" s="39" t="str">
        <f>IF(AND($L628*1&gt;=$G$3,$L628*1&lt;=$G$4,$I628*$J628&gt;0,OR($I628&lt;&gt;$I629,$L628-$L629&gt;25),$I628/POW(10,$J628)*MAXIFS(Token!$B:$B,Token!$A:$A,$K628)&gt;0.01),$L628/86400+DATE(1970,1,1)+$G$6,)</f>
        <v/>
      </c>
      <c r="B628" s="27" t="str">
        <f t="shared" si="1"/>
        <v/>
      </c>
      <c r="C628" s="14" t="str">
        <f>IF($A628&lt;&gt;"",MINIFS(Merchant!$A:$A,Merchant!$B:$B,$G$2),)</f>
        <v/>
      </c>
      <c r="D628" s="14" t="str">
        <f t="shared" si="2"/>
        <v/>
      </c>
      <c r="E628" s="14" t="str">
        <f t="shared" si="3"/>
        <v/>
      </c>
      <c r="F628" s="7" t="str">
        <f>IF($A628&lt;&gt;"",MAXIFS(Token!$B:$B,Token!$A:$A,$D628),)</f>
        <v/>
      </c>
    </row>
    <row r="629">
      <c r="A629" s="39" t="str">
        <f>IF(AND($L629*1&gt;=$G$3,$L629*1&lt;=$G$4,$I629*$J629&gt;0,OR($I629&lt;&gt;$I630,$L629-$L630&gt;25),$I629/POW(10,$J629)*MAXIFS(Token!$B:$B,Token!$A:$A,$K629)&gt;0.01),$L629/86400+DATE(1970,1,1)+$G$6,)</f>
        <v/>
      </c>
      <c r="B629" s="27" t="str">
        <f t="shared" si="1"/>
        <v/>
      </c>
      <c r="C629" s="14" t="str">
        <f>IF($A629&lt;&gt;"",MINIFS(Merchant!$A:$A,Merchant!$B:$B,$G$2),)</f>
        <v/>
      </c>
      <c r="D629" s="14" t="str">
        <f t="shared" si="2"/>
        <v/>
      </c>
      <c r="E629" s="14" t="str">
        <f t="shared" si="3"/>
        <v/>
      </c>
      <c r="F629" s="7" t="str">
        <f>IF($A629&lt;&gt;"",MAXIFS(Token!$B:$B,Token!$A:$A,$D629),)</f>
        <v/>
      </c>
    </row>
    <row r="630">
      <c r="A630" s="39" t="str">
        <f>IF(AND($L630*1&gt;=$G$3,$L630*1&lt;=$G$4,$I630*$J630&gt;0,OR($I630&lt;&gt;$I631,$L630-$L631&gt;25),$I630/POW(10,$J630)*MAXIFS(Token!$B:$B,Token!$A:$A,$K630)&gt;0.01),$L630/86400+DATE(1970,1,1)+$G$6,)</f>
        <v/>
      </c>
      <c r="B630" s="27" t="str">
        <f t="shared" si="1"/>
        <v/>
      </c>
      <c r="C630" s="14" t="str">
        <f>IF($A630&lt;&gt;"",MINIFS(Merchant!$A:$A,Merchant!$B:$B,$G$2),)</f>
        <v/>
      </c>
      <c r="D630" s="14" t="str">
        <f t="shared" si="2"/>
        <v/>
      </c>
      <c r="E630" s="14" t="str">
        <f t="shared" si="3"/>
        <v/>
      </c>
      <c r="F630" s="7" t="str">
        <f>IF($A630&lt;&gt;"",MAXIFS(Token!$B:$B,Token!$A:$A,$D630),)</f>
        <v/>
      </c>
    </row>
    <row r="631">
      <c r="A631" s="39" t="str">
        <f>IF(AND($L631*1&gt;=$G$3,$L631*1&lt;=$G$4,$I631*$J631&gt;0,OR($I631&lt;&gt;$I632,$L631-$L632&gt;25),$I631/POW(10,$J631)*MAXIFS(Token!$B:$B,Token!$A:$A,$K631)&gt;0.01),$L631/86400+DATE(1970,1,1)+$G$6,)</f>
        <v/>
      </c>
      <c r="B631" s="27" t="str">
        <f t="shared" si="1"/>
        <v/>
      </c>
      <c r="C631" s="14" t="str">
        <f>IF($A631&lt;&gt;"",MINIFS(Merchant!$A:$A,Merchant!$B:$B,$G$2),)</f>
        <v/>
      </c>
      <c r="D631" s="14" t="str">
        <f t="shared" si="2"/>
        <v/>
      </c>
      <c r="E631" s="14" t="str">
        <f t="shared" si="3"/>
        <v/>
      </c>
      <c r="F631" s="7" t="str">
        <f>IF($A631&lt;&gt;"",MAXIFS(Token!$B:$B,Token!$A:$A,$D631),)</f>
        <v/>
      </c>
    </row>
    <row r="632">
      <c r="A632" s="39" t="str">
        <f>IF(AND($L632*1&gt;=$G$3,$L632*1&lt;=$G$4,$I632*$J632&gt;0,OR($I632&lt;&gt;$I633,$L632-$L633&gt;25),$I632/POW(10,$J632)*MAXIFS(Token!$B:$B,Token!$A:$A,$K632)&gt;0.01),$L632/86400+DATE(1970,1,1)+$G$6,)</f>
        <v/>
      </c>
      <c r="B632" s="27" t="str">
        <f t="shared" si="1"/>
        <v/>
      </c>
      <c r="C632" s="14" t="str">
        <f>IF($A632&lt;&gt;"",MINIFS(Merchant!$A:$A,Merchant!$B:$B,$G$2),)</f>
        <v/>
      </c>
      <c r="D632" s="14" t="str">
        <f t="shared" si="2"/>
        <v/>
      </c>
      <c r="E632" s="14" t="str">
        <f t="shared" si="3"/>
        <v/>
      </c>
      <c r="F632" s="7" t="str">
        <f>IF($A632&lt;&gt;"",MAXIFS(Token!$B:$B,Token!$A:$A,$D632),)</f>
        <v/>
      </c>
    </row>
    <row r="633">
      <c r="A633" s="39" t="str">
        <f>IF(AND($L633*1&gt;=$G$3,$L633*1&lt;=$G$4,$I633*$J633&gt;0,OR($I633&lt;&gt;$I634,$L633-$L634&gt;25),$I633/POW(10,$J633)*MAXIFS(Token!$B:$B,Token!$A:$A,$K633)&gt;0.01),$L633/86400+DATE(1970,1,1)+$G$6,)</f>
        <v/>
      </c>
      <c r="B633" s="27" t="str">
        <f t="shared" si="1"/>
        <v/>
      </c>
      <c r="C633" s="14" t="str">
        <f>IF($A633&lt;&gt;"",MINIFS(Merchant!$A:$A,Merchant!$B:$B,$G$2),)</f>
        <v/>
      </c>
      <c r="D633" s="14" t="str">
        <f t="shared" si="2"/>
        <v/>
      </c>
      <c r="E633" s="14" t="str">
        <f t="shared" si="3"/>
        <v/>
      </c>
      <c r="F633" s="7" t="str">
        <f>IF($A633&lt;&gt;"",MAXIFS(Token!$B:$B,Token!$A:$A,$D633),)</f>
        <v/>
      </c>
    </row>
    <row r="634">
      <c r="A634" s="39" t="str">
        <f>IF(AND($L634*1&gt;=$G$3,$L634*1&lt;=$G$4,$I634*$J634&gt;0,OR($I634&lt;&gt;$I635,$L634-$L635&gt;25),$I634/POW(10,$J634)*MAXIFS(Token!$B:$B,Token!$A:$A,$K634)&gt;0.01),$L634/86400+DATE(1970,1,1)+$G$6,)</f>
        <v/>
      </c>
      <c r="B634" s="27" t="str">
        <f t="shared" si="1"/>
        <v/>
      </c>
      <c r="C634" s="14" t="str">
        <f>IF($A634&lt;&gt;"",MINIFS(Merchant!$A:$A,Merchant!$B:$B,$G$2),)</f>
        <v/>
      </c>
      <c r="D634" s="14" t="str">
        <f t="shared" si="2"/>
        <v/>
      </c>
      <c r="E634" s="14" t="str">
        <f t="shared" si="3"/>
        <v/>
      </c>
      <c r="F634" s="7" t="str">
        <f>IF($A634&lt;&gt;"",MAXIFS(Token!$B:$B,Token!$A:$A,$D634),)</f>
        <v/>
      </c>
    </row>
    <row r="635">
      <c r="A635" s="39" t="str">
        <f>IF(AND($L635*1&gt;=$G$3,$L635*1&lt;=$G$4,$I635*$J635&gt;0,OR($I635&lt;&gt;$I636,$L635-$L636&gt;25),$I635/POW(10,$J635)*MAXIFS(Token!$B:$B,Token!$A:$A,$K635)&gt;0.01),$L635/86400+DATE(1970,1,1)+$G$6,)</f>
        <v/>
      </c>
      <c r="B635" s="27" t="str">
        <f t="shared" si="1"/>
        <v/>
      </c>
      <c r="C635" s="14" t="str">
        <f>IF($A635&lt;&gt;"",MINIFS(Merchant!$A:$A,Merchant!$B:$B,$G$2),)</f>
        <v/>
      </c>
      <c r="D635" s="14" t="str">
        <f t="shared" si="2"/>
        <v/>
      </c>
      <c r="E635" s="14" t="str">
        <f t="shared" si="3"/>
        <v/>
      </c>
      <c r="F635" s="7" t="str">
        <f>IF($A635&lt;&gt;"",MAXIFS(Token!$B:$B,Token!$A:$A,$D635),)</f>
        <v/>
      </c>
    </row>
    <row r="636">
      <c r="A636" s="39" t="str">
        <f>IF(AND($L636*1&gt;=$G$3,$L636*1&lt;=$G$4,$I636*$J636&gt;0,OR($I636&lt;&gt;$I637,$L636-$L637&gt;25),$I636/POW(10,$J636)*MAXIFS(Token!$B:$B,Token!$A:$A,$K636)&gt;0.01),$L636/86400+DATE(1970,1,1)+$G$6,)</f>
        <v/>
      </c>
      <c r="B636" s="27" t="str">
        <f t="shared" si="1"/>
        <v/>
      </c>
      <c r="C636" s="14" t="str">
        <f>IF($A636&lt;&gt;"",MINIFS(Merchant!$A:$A,Merchant!$B:$B,$G$2),)</f>
        <v/>
      </c>
      <c r="D636" s="14" t="str">
        <f t="shared" si="2"/>
        <v/>
      </c>
      <c r="E636" s="14" t="str">
        <f t="shared" si="3"/>
        <v/>
      </c>
      <c r="F636" s="7" t="str">
        <f>IF($A636&lt;&gt;"",MAXIFS(Token!$B:$B,Token!$A:$A,$D636),)</f>
        <v/>
      </c>
    </row>
    <row r="637">
      <c r="A637" s="39" t="str">
        <f>IF(AND($L637*1&gt;=$G$3,$L637*1&lt;=$G$4,$I637*$J637&gt;0,OR($I637&lt;&gt;$I638,$L637-$L638&gt;25),$I637/POW(10,$J637)*MAXIFS(Token!$B:$B,Token!$A:$A,$K637)&gt;0.01),$L637/86400+DATE(1970,1,1)+$G$6,)</f>
        <v/>
      </c>
      <c r="B637" s="27" t="str">
        <f t="shared" si="1"/>
        <v/>
      </c>
      <c r="C637" s="14" t="str">
        <f>IF($A637&lt;&gt;"",MINIFS(Merchant!$A:$A,Merchant!$B:$B,$G$2),)</f>
        <v/>
      </c>
      <c r="D637" s="14" t="str">
        <f t="shared" si="2"/>
        <v/>
      </c>
      <c r="E637" s="14" t="str">
        <f t="shared" si="3"/>
        <v/>
      </c>
      <c r="F637" s="7" t="str">
        <f>IF($A637&lt;&gt;"",MAXIFS(Token!$B:$B,Token!$A:$A,$D637),)</f>
        <v/>
      </c>
    </row>
    <row r="638">
      <c r="A638" s="39" t="str">
        <f>IF(AND($L638*1&gt;=$G$3,$L638*1&lt;=$G$4,$I638*$J638&gt;0,OR($I638&lt;&gt;$I639,$L638-$L639&gt;25),$I638/POW(10,$J638)*MAXIFS(Token!$B:$B,Token!$A:$A,$K638)&gt;0.01),$L638/86400+DATE(1970,1,1)+$G$6,)</f>
        <v/>
      </c>
      <c r="B638" s="27" t="str">
        <f t="shared" si="1"/>
        <v/>
      </c>
      <c r="C638" s="14" t="str">
        <f>IF($A638&lt;&gt;"",MINIFS(Merchant!$A:$A,Merchant!$B:$B,$G$2),)</f>
        <v/>
      </c>
      <c r="D638" s="14" t="str">
        <f t="shared" si="2"/>
        <v/>
      </c>
      <c r="E638" s="14" t="str">
        <f t="shared" si="3"/>
        <v/>
      </c>
      <c r="F638" s="7" t="str">
        <f>IF($A638&lt;&gt;"",MAXIFS(Token!$B:$B,Token!$A:$A,$D638),)</f>
        <v/>
      </c>
    </row>
    <row r="639">
      <c r="A639" s="39" t="str">
        <f>IF(AND($L639*1&gt;=$G$3,$L639*1&lt;=$G$4,$I639*$J639&gt;0,OR($I639&lt;&gt;$I640,$L639-$L640&gt;25),$I639/POW(10,$J639)*MAXIFS(Token!$B:$B,Token!$A:$A,$K639)&gt;0.01),$L639/86400+DATE(1970,1,1)+$G$6,)</f>
        <v/>
      </c>
      <c r="B639" s="27" t="str">
        <f t="shared" si="1"/>
        <v/>
      </c>
      <c r="C639" s="14" t="str">
        <f>IF($A639&lt;&gt;"",MINIFS(Merchant!$A:$A,Merchant!$B:$B,$G$2),)</f>
        <v/>
      </c>
      <c r="D639" s="14" t="str">
        <f t="shared" si="2"/>
        <v/>
      </c>
      <c r="E639" s="14" t="str">
        <f t="shared" si="3"/>
        <v/>
      </c>
      <c r="F639" s="7" t="str">
        <f>IF($A639&lt;&gt;"",MAXIFS(Token!$B:$B,Token!$A:$A,$D639),)</f>
        <v/>
      </c>
    </row>
    <row r="640">
      <c r="A640" s="39" t="str">
        <f>IF(AND($L640*1&gt;=$G$3,$L640*1&lt;=$G$4,$I640*$J640&gt;0,OR($I640&lt;&gt;$I641,$L640-$L641&gt;25),$I640/POW(10,$J640)*MAXIFS(Token!$B:$B,Token!$A:$A,$K640)&gt;0.01),$L640/86400+DATE(1970,1,1)+$G$6,)</f>
        <v/>
      </c>
      <c r="B640" s="27" t="str">
        <f t="shared" si="1"/>
        <v/>
      </c>
      <c r="C640" s="14" t="str">
        <f>IF($A640&lt;&gt;"",MINIFS(Merchant!$A:$A,Merchant!$B:$B,$G$2),)</f>
        <v/>
      </c>
      <c r="D640" s="14" t="str">
        <f t="shared" si="2"/>
        <v/>
      </c>
      <c r="E640" s="14" t="str">
        <f t="shared" si="3"/>
        <v/>
      </c>
      <c r="F640" s="7" t="str">
        <f>IF($A640&lt;&gt;"",MAXIFS(Token!$B:$B,Token!$A:$A,$D640),)</f>
        <v/>
      </c>
    </row>
    <row r="641">
      <c r="A641" s="39" t="str">
        <f>IF(AND($L641*1&gt;=$G$3,$L641*1&lt;=$G$4,$I641*$J641&gt;0,OR($I641&lt;&gt;$I642,$L641-$L642&gt;25),$I641/POW(10,$J641)*MAXIFS(Token!$B:$B,Token!$A:$A,$K641)&gt;0.01),$L641/86400+DATE(1970,1,1)+$G$6,)</f>
        <v/>
      </c>
      <c r="B641" s="27" t="str">
        <f t="shared" si="1"/>
        <v/>
      </c>
      <c r="C641" s="14" t="str">
        <f>IF($A641&lt;&gt;"",MINIFS(Merchant!$A:$A,Merchant!$B:$B,$G$2),)</f>
        <v/>
      </c>
      <c r="D641" s="14" t="str">
        <f t="shared" si="2"/>
        <v/>
      </c>
      <c r="E641" s="14" t="str">
        <f t="shared" si="3"/>
        <v/>
      </c>
      <c r="F641" s="7" t="str">
        <f>IF($A641&lt;&gt;"",MAXIFS(Token!$B:$B,Token!$A:$A,$D641),)</f>
        <v/>
      </c>
    </row>
    <row r="642">
      <c r="A642" s="39" t="str">
        <f>IF(AND($L642*1&gt;=$G$3,$L642*1&lt;=$G$4,$I642*$J642&gt;0,OR($I642&lt;&gt;$I643,$L642-$L643&gt;25),$I642/POW(10,$J642)*MAXIFS(Token!$B:$B,Token!$A:$A,$K642)&gt;0.01),$L642/86400+DATE(1970,1,1)+$G$6,)</f>
        <v/>
      </c>
      <c r="B642" s="27" t="str">
        <f t="shared" si="1"/>
        <v/>
      </c>
      <c r="C642" s="14" t="str">
        <f>IF($A642&lt;&gt;"",MINIFS(Merchant!$A:$A,Merchant!$B:$B,$G$2),)</f>
        <v/>
      </c>
      <c r="D642" s="14" t="str">
        <f t="shared" si="2"/>
        <v/>
      </c>
      <c r="E642" s="14" t="str">
        <f t="shared" si="3"/>
        <v/>
      </c>
      <c r="F642" s="7" t="str">
        <f>IF($A642&lt;&gt;"",MAXIFS(Token!$B:$B,Token!$A:$A,$D642),)</f>
        <v/>
      </c>
    </row>
    <row r="643">
      <c r="A643" s="39" t="str">
        <f>IF(AND($L643*1&gt;=$G$3,$L643*1&lt;=$G$4,$I643*$J643&gt;0,OR($I643&lt;&gt;$I644,$L643-$L644&gt;25),$I643/POW(10,$J643)*MAXIFS(Token!$B:$B,Token!$A:$A,$K643)&gt;0.01),$L643/86400+DATE(1970,1,1)+$G$6,)</f>
        <v/>
      </c>
      <c r="B643" s="27" t="str">
        <f t="shared" si="1"/>
        <v/>
      </c>
      <c r="C643" s="14" t="str">
        <f>IF($A643&lt;&gt;"",MINIFS(Merchant!$A:$A,Merchant!$B:$B,$G$2),)</f>
        <v/>
      </c>
      <c r="D643" s="14" t="str">
        <f t="shared" si="2"/>
        <v/>
      </c>
      <c r="E643" s="14" t="str">
        <f t="shared" si="3"/>
        <v/>
      </c>
      <c r="F643" s="7" t="str">
        <f>IF($A643&lt;&gt;"",MAXIFS(Token!$B:$B,Token!$A:$A,$D643),)</f>
        <v/>
      </c>
    </row>
    <row r="644">
      <c r="A644" s="39" t="str">
        <f>IF(AND($L644*1&gt;=$G$3,$L644*1&lt;=$G$4,$I644*$J644&gt;0,OR($I644&lt;&gt;$I645,$L644-$L645&gt;25),$I644/POW(10,$J644)*MAXIFS(Token!$B:$B,Token!$A:$A,$K644)&gt;0.01),$L644/86400+DATE(1970,1,1)+$G$6,)</f>
        <v/>
      </c>
      <c r="B644" s="27" t="str">
        <f t="shared" si="1"/>
        <v/>
      </c>
      <c r="C644" s="14" t="str">
        <f>IF($A644&lt;&gt;"",MINIFS(Merchant!$A:$A,Merchant!$B:$B,$G$2),)</f>
        <v/>
      </c>
      <c r="D644" s="14" t="str">
        <f t="shared" si="2"/>
        <v/>
      </c>
      <c r="E644" s="14" t="str">
        <f t="shared" si="3"/>
        <v/>
      </c>
      <c r="F644" s="7" t="str">
        <f>IF($A644&lt;&gt;"",MAXIFS(Token!$B:$B,Token!$A:$A,$D644),)</f>
        <v/>
      </c>
    </row>
    <row r="645">
      <c r="A645" s="39" t="str">
        <f>IF(AND($L645*1&gt;=$G$3,$L645*1&lt;=$G$4,$I645*$J645&gt;0,OR($I645&lt;&gt;$I646,$L645-$L646&gt;25),$I645/POW(10,$J645)*MAXIFS(Token!$B:$B,Token!$A:$A,$K645)&gt;0.01),$L645/86400+DATE(1970,1,1)+$G$6,)</f>
        <v/>
      </c>
      <c r="B645" s="27" t="str">
        <f t="shared" si="1"/>
        <v/>
      </c>
      <c r="C645" s="14" t="str">
        <f>IF($A645&lt;&gt;"",MINIFS(Merchant!$A:$A,Merchant!$B:$B,$G$2),)</f>
        <v/>
      </c>
      <c r="D645" s="14" t="str">
        <f t="shared" si="2"/>
        <v/>
      </c>
      <c r="E645" s="14" t="str">
        <f t="shared" si="3"/>
        <v/>
      </c>
      <c r="F645" s="7" t="str">
        <f>IF($A645&lt;&gt;"",MAXIFS(Token!$B:$B,Token!$A:$A,$D645),)</f>
        <v/>
      </c>
    </row>
    <row r="646">
      <c r="A646" s="39" t="str">
        <f>IF(AND($L646*1&gt;=$G$3,$L646*1&lt;=$G$4,$I646*$J646&gt;0,OR($I646&lt;&gt;$I647,$L646-$L647&gt;25),$I646/POW(10,$J646)*MAXIFS(Token!$B:$B,Token!$A:$A,$K646)&gt;0.01),$L646/86400+DATE(1970,1,1)+$G$6,)</f>
        <v/>
      </c>
      <c r="B646" s="27" t="str">
        <f t="shared" si="1"/>
        <v/>
      </c>
      <c r="C646" s="14" t="str">
        <f>IF($A646&lt;&gt;"",MINIFS(Merchant!$A:$A,Merchant!$B:$B,$G$2),)</f>
        <v/>
      </c>
      <c r="D646" s="14" t="str">
        <f t="shared" si="2"/>
        <v/>
      </c>
      <c r="E646" s="14" t="str">
        <f t="shared" si="3"/>
        <v/>
      </c>
      <c r="F646" s="7" t="str">
        <f>IF($A646&lt;&gt;"",MAXIFS(Token!$B:$B,Token!$A:$A,$D646),)</f>
        <v/>
      </c>
    </row>
    <row r="647">
      <c r="A647" s="39" t="str">
        <f>IF(AND($L647*1&gt;=$G$3,$L647*1&lt;=$G$4,$I647*$J647&gt;0,OR($I647&lt;&gt;$I648,$L647-$L648&gt;25),$I647/POW(10,$J647)*MAXIFS(Token!$B:$B,Token!$A:$A,$K647)&gt;0.01),$L647/86400+DATE(1970,1,1)+$G$6,)</f>
        <v/>
      </c>
      <c r="B647" s="27" t="str">
        <f t="shared" si="1"/>
        <v/>
      </c>
      <c r="C647" s="14" t="str">
        <f>IF($A647&lt;&gt;"",MINIFS(Merchant!$A:$A,Merchant!$B:$B,$G$2),)</f>
        <v/>
      </c>
      <c r="D647" s="14" t="str">
        <f t="shared" si="2"/>
        <v/>
      </c>
      <c r="E647" s="14" t="str">
        <f t="shared" si="3"/>
        <v/>
      </c>
      <c r="F647" s="7" t="str">
        <f>IF($A647&lt;&gt;"",MAXIFS(Token!$B:$B,Token!$A:$A,$D647),)</f>
        <v/>
      </c>
    </row>
    <row r="648">
      <c r="A648" s="39" t="str">
        <f>IF(AND($L648*1&gt;=$G$3,$L648*1&lt;=$G$4,$I648*$J648&gt;0,OR($I648&lt;&gt;$I649,$L648-$L649&gt;25),$I648/POW(10,$J648)*MAXIFS(Token!$B:$B,Token!$A:$A,$K648)&gt;0.01),$L648/86400+DATE(1970,1,1)+$G$6,)</f>
        <v/>
      </c>
      <c r="B648" s="27" t="str">
        <f t="shared" si="1"/>
        <v/>
      </c>
      <c r="C648" s="14" t="str">
        <f>IF($A648&lt;&gt;"",MINIFS(Merchant!$A:$A,Merchant!$B:$B,$G$2),)</f>
        <v/>
      </c>
      <c r="D648" s="14" t="str">
        <f t="shared" si="2"/>
        <v/>
      </c>
      <c r="E648" s="14" t="str">
        <f t="shared" si="3"/>
        <v/>
      </c>
      <c r="F648" s="7" t="str">
        <f>IF($A648&lt;&gt;"",MAXIFS(Token!$B:$B,Token!$A:$A,$D648),)</f>
        <v/>
      </c>
    </row>
    <row r="649">
      <c r="A649" s="39" t="str">
        <f>IF(AND($L649*1&gt;=$G$3,$L649*1&lt;=$G$4,$I649*$J649&gt;0,OR($I649&lt;&gt;$I650,$L649-$L650&gt;25),$I649/POW(10,$J649)*MAXIFS(Token!$B:$B,Token!$A:$A,$K649)&gt;0.01),$L649/86400+DATE(1970,1,1)+$G$6,)</f>
        <v/>
      </c>
      <c r="B649" s="27" t="str">
        <f t="shared" si="1"/>
        <v/>
      </c>
      <c r="C649" s="14" t="str">
        <f>IF($A649&lt;&gt;"",MINIFS(Merchant!$A:$A,Merchant!$B:$B,$G$2),)</f>
        <v/>
      </c>
      <c r="D649" s="14" t="str">
        <f t="shared" si="2"/>
        <v/>
      </c>
      <c r="E649" s="14" t="str">
        <f t="shared" si="3"/>
        <v/>
      </c>
      <c r="F649" s="7" t="str">
        <f>IF($A649&lt;&gt;"",MAXIFS(Token!$B:$B,Token!$A:$A,$D649),)</f>
        <v/>
      </c>
    </row>
    <row r="650">
      <c r="A650" s="39" t="str">
        <f>IF(AND($L650*1&gt;=$G$3,$L650*1&lt;=$G$4,$I650*$J650&gt;0,OR($I650&lt;&gt;$I651,$L650-$L651&gt;25),$I650/POW(10,$J650)*MAXIFS(Token!$B:$B,Token!$A:$A,$K650)&gt;0.01),$L650/86400+DATE(1970,1,1)+$G$6,)</f>
        <v/>
      </c>
      <c r="B650" s="27" t="str">
        <f t="shared" si="1"/>
        <v/>
      </c>
      <c r="C650" s="14" t="str">
        <f>IF($A650&lt;&gt;"",MINIFS(Merchant!$A:$A,Merchant!$B:$B,$G$2),)</f>
        <v/>
      </c>
      <c r="D650" s="14" t="str">
        <f t="shared" si="2"/>
        <v/>
      </c>
      <c r="E650" s="14" t="str">
        <f t="shared" si="3"/>
        <v/>
      </c>
      <c r="F650" s="7" t="str">
        <f>IF($A650&lt;&gt;"",MAXIFS(Token!$B:$B,Token!$A:$A,$D650),)</f>
        <v/>
      </c>
    </row>
    <row r="651">
      <c r="A651" s="39" t="str">
        <f>IF(AND($L651*1&gt;=$G$3,$L651*1&lt;=$G$4,$I651*$J651&gt;0,OR($I651&lt;&gt;$I652,$L651-$L652&gt;25),$I651/POW(10,$J651)*MAXIFS(Token!$B:$B,Token!$A:$A,$K651)&gt;0.01),$L651/86400+DATE(1970,1,1)+$G$6,)</f>
        <v/>
      </c>
      <c r="B651" s="27" t="str">
        <f t="shared" si="1"/>
        <v/>
      </c>
      <c r="C651" s="14" t="str">
        <f>IF($A651&lt;&gt;"",MINIFS(Merchant!$A:$A,Merchant!$B:$B,$G$2),)</f>
        <v/>
      </c>
      <c r="D651" s="14" t="str">
        <f t="shared" si="2"/>
        <v/>
      </c>
      <c r="E651" s="14" t="str">
        <f t="shared" si="3"/>
        <v/>
      </c>
      <c r="F651" s="7" t="str">
        <f>IF($A651&lt;&gt;"",MAXIFS(Token!$B:$B,Token!$A:$A,$D651),)</f>
        <v/>
      </c>
    </row>
    <row r="652">
      <c r="A652" s="39" t="str">
        <f>IF(AND($L652*1&gt;=$G$3,$L652*1&lt;=$G$4,$I652*$J652&gt;0,OR($I652&lt;&gt;$I653,$L652-$L653&gt;25),$I652/POW(10,$J652)*MAXIFS(Token!$B:$B,Token!$A:$A,$K652)&gt;0.01),$L652/86400+DATE(1970,1,1)+$G$6,)</f>
        <v/>
      </c>
      <c r="B652" s="27" t="str">
        <f t="shared" si="1"/>
        <v/>
      </c>
      <c r="C652" s="14" t="str">
        <f>IF($A652&lt;&gt;"",MINIFS(Merchant!$A:$A,Merchant!$B:$B,$G$2),)</f>
        <v/>
      </c>
      <c r="D652" s="14" t="str">
        <f t="shared" si="2"/>
        <v/>
      </c>
      <c r="E652" s="14" t="str">
        <f t="shared" si="3"/>
        <v/>
      </c>
      <c r="F652" s="7" t="str">
        <f>IF($A652&lt;&gt;"",MAXIFS(Token!$B:$B,Token!$A:$A,$D652),)</f>
        <v/>
      </c>
    </row>
    <row r="653">
      <c r="A653" s="39" t="str">
        <f>IF(AND($L653*1&gt;=$G$3,$L653*1&lt;=$G$4,$I653*$J653&gt;0,OR($I653&lt;&gt;$I654,$L653-$L654&gt;25),$I653/POW(10,$J653)*MAXIFS(Token!$B:$B,Token!$A:$A,$K653)&gt;0.01),$L653/86400+DATE(1970,1,1)+$G$6,)</f>
        <v/>
      </c>
      <c r="B653" s="27" t="str">
        <f t="shared" si="1"/>
        <v/>
      </c>
      <c r="C653" s="14" t="str">
        <f>IF($A653&lt;&gt;"",MINIFS(Merchant!$A:$A,Merchant!$B:$B,$G$2),)</f>
        <v/>
      </c>
      <c r="D653" s="14" t="str">
        <f t="shared" si="2"/>
        <v/>
      </c>
      <c r="E653" s="14" t="str">
        <f t="shared" si="3"/>
        <v/>
      </c>
      <c r="F653" s="7" t="str">
        <f>IF($A653&lt;&gt;"",MAXIFS(Token!$B:$B,Token!$A:$A,$D653),)</f>
        <v/>
      </c>
    </row>
    <row r="654">
      <c r="A654" s="39" t="str">
        <f>IF(AND($L654*1&gt;=$G$3,$L654*1&lt;=$G$4,$I654*$J654&gt;0,OR($I654&lt;&gt;$I655,$L654-$L655&gt;25),$I654/POW(10,$J654)*MAXIFS(Token!$B:$B,Token!$A:$A,$K654)&gt;0.01),$L654/86400+DATE(1970,1,1)+$G$6,)</f>
        <v/>
      </c>
      <c r="B654" s="27" t="str">
        <f t="shared" si="1"/>
        <v/>
      </c>
      <c r="C654" s="14" t="str">
        <f>IF($A654&lt;&gt;"",MINIFS(Merchant!$A:$A,Merchant!$B:$B,$G$2),)</f>
        <v/>
      </c>
      <c r="D654" s="14" t="str">
        <f t="shared" si="2"/>
        <v/>
      </c>
      <c r="E654" s="14" t="str">
        <f t="shared" si="3"/>
        <v/>
      </c>
      <c r="F654" s="7" t="str">
        <f>IF($A654&lt;&gt;"",MAXIFS(Token!$B:$B,Token!$A:$A,$D654),)</f>
        <v/>
      </c>
    </row>
    <row r="655">
      <c r="A655" s="39" t="str">
        <f>IF(AND($L655*1&gt;=$G$3,$L655*1&lt;=$G$4,$I655*$J655&gt;0,OR($I655&lt;&gt;$I656,$L655-$L656&gt;25),$I655/POW(10,$J655)*MAXIFS(Token!$B:$B,Token!$A:$A,$K655)&gt;0.01),$L655/86400+DATE(1970,1,1)+$G$6,)</f>
        <v/>
      </c>
      <c r="B655" s="27" t="str">
        <f t="shared" si="1"/>
        <v/>
      </c>
      <c r="C655" s="14" t="str">
        <f>IF($A655&lt;&gt;"",MINIFS(Merchant!$A:$A,Merchant!$B:$B,$G$2),)</f>
        <v/>
      </c>
      <c r="D655" s="14" t="str">
        <f t="shared" si="2"/>
        <v/>
      </c>
      <c r="E655" s="14" t="str">
        <f t="shared" si="3"/>
        <v/>
      </c>
      <c r="F655" s="7" t="str">
        <f>IF($A655&lt;&gt;"",MAXIFS(Token!$B:$B,Token!$A:$A,$D655),)</f>
        <v/>
      </c>
    </row>
    <row r="656">
      <c r="A656" s="39" t="str">
        <f>IF(AND($L656*1&gt;=$G$3,$L656*1&lt;=$G$4,$I656*$J656&gt;0,OR($I656&lt;&gt;$I657,$L656-$L657&gt;25),$I656/POW(10,$J656)*MAXIFS(Token!$B:$B,Token!$A:$A,$K656)&gt;0.01),$L656/86400+DATE(1970,1,1)+$G$6,)</f>
        <v/>
      </c>
      <c r="B656" s="27" t="str">
        <f t="shared" si="1"/>
        <v/>
      </c>
      <c r="C656" s="14" t="str">
        <f>IF($A656&lt;&gt;"",MINIFS(Merchant!$A:$A,Merchant!$B:$B,$G$2),)</f>
        <v/>
      </c>
      <c r="D656" s="14" t="str">
        <f t="shared" si="2"/>
        <v/>
      </c>
      <c r="E656" s="14" t="str">
        <f t="shared" si="3"/>
        <v/>
      </c>
      <c r="F656" s="7" t="str">
        <f>IF($A656&lt;&gt;"",MAXIFS(Token!$B:$B,Token!$A:$A,$D656),)</f>
        <v/>
      </c>
    </row>
    <row r="657">
      <c r="A657" s="39" t="str">
        <f>IF(AND($L657*1&gt;=$G$3,$L657*1&lt;=$G$4,$I657*$J657&gt;0,OR($I657&lt;&gt;$I658,$L657-$L658&gt;25),$I657/POW(10,$J657)*MAXIFS(Token!$B:$B,Token!$A:$A,$K657)&gt;0.01),$L657/86400+DATE(1970,1,1)+$G$6,)</f>
        <v/>
      </c>
      <c r="B657" s="27" t="str">
        <f t="shared" si="1"/>
        <v/>
      </c>
      <c r="C657" s="14" t="str">
        <f>IF($A657&lt;&gt;"",MINIFS(Merchant!$A:$A,Merchant!$B:$B,$G$2),)</f>
        <v/>
      </c>
      <c r="D657" s="14" t="str">
        <f t="shared" si="2"/>
        <v/>
      </c>
      <c r="E657" s="14" t="str">
        <f t="shared" si="3"/>
        <v/>
      </c>
      <c r="F657" s="7" t="str">
        <f>IF($A657&lt;&gt;"",MAXIFS(Token!$B:$B,Token!$A:$A,$D657),)</f>
        <v/>
      </c>
    </row>
    <row r="658">
      <c r="A658" s="39" t="str">
        <f>IF(AND($L658*1&gt;=$G$3,$L658*1&lt;=$G$4,$I658*$J658&gt;0,OR($I658&lt;&gt;$I659,$L658-$L659&gt;25),$I658/POW(10,$J658)*MAXIFS(Token!$B:$B,Token!$A:$A,$K658)&gt;0.01),$L658/86400+DATE(1970,1,1)+$G$6,)</f>
        <v/>
      </c>
      <c r="B658" s="27" t="str">
        <f t="shared" si="1"/>
        <v/>
      </c>
      <c r="C658" s="14" t="str">
        <f>IF($A658&lt;&gt;"",MINIFS(Merchant!$A:$A,Merchant!$B:$B,$G$2),)</f>
        <v/>
      </c>
      <c r="D658" s="14" t="str">
        <f t="shared" si="2"/>
        <v/>
      </c>
      <c r="E658" s="14" t="str">
        <f t="shared" si="3"/>
        <v/>
      </c>
      <c r="F658" s="7" t="str">
        <f>IF($A658&lt;&gt;"",MAXIFS(Token!$B:$B,Token!$A:$A,$D658),)</f>
        <v/>
      </c>
    </row>
    <row r="659">
      <c r="A659" s="39" t="str">
        <f>IF(AND($L659*1&gt;=$G$3,$L659*1&lt;=$G$4,$I659*$J659&gt;0,OR($I659&lt;&gt;$I660,$L659-$L660&gt;25),$I659/POW(10,$J659)*MAXIFS(Token!$B:$B,Token!$A:$A,$K659)&gt;0.01),$L659/86400+DATE(1970,1,1)+$G$6,)</f>
        <v/>
      </c>
      <c r="B659" s="27" t="str">
        <f t="shared" si="1"/>
        <v/>
      </c>
      <c r="C659" s="14" t="str">
        <f>IF($A659&lt;&gt;"",MINIFS(Merchant!$A:$A,Merchant!$B:$B,$G$2),)</f>
        <v/>
      </c>
      <c r="D659" s="14" t="str">
        <f t="shared" si="2"/>
        <v/>
      </c>
      <c r="E659" s="14" t="str">
        <f t="shared" si="3"/>
        <v/>
      </c>
      <c r="F659" s="7" t="str">
        <f>IF($A659&lt;&gt;"",MAXIFS(Token!$B:$B,Token!$A:$A,$D659),)</f>
        <v/>
      </c>
    </row>
    <row r="660">
      <c r="A660" s="39" t="str">
        <f>IF(AND($L660*1&gt;=$G$3,$L660*1&lt;=$G$4,$I660*$J660&gt;0,OR($I660&lt;&gt;$I661,$L660-$L661&gt;25),$I660/POW(10,$J660)*MAXIFS(Token!$B:$B,Token!$A:$A,$K660)&gt;0.01),$L660/86400+DATE(1970,1,1)+$G$6,)</f>
        <v/>
      </c>
      <c r="B660" s="27" t="str">
        <f t="shared" si="1"/>
        <v/>
      </c>
      <c r="C660" s="14" t="str">
        <f>IF($A660&lt;&gt;"",MINIFS(Merchant!$A:$A,Merchant!$B:$B,$G$2),)</f>
        <v/>
      </c>
      <c r="D660" s="14" t="str">
        <f t="shared" si="2"/>
        <v/>
      </c>
      <c r="E660" s="14" t="str">
        <f t="shared" si="3"/>
        <v/>
      </c>
      <c r="F660" s="7" t="str">
        <f>IF($A660&lt;&gt;"",MAXIFS(Token!$B:$B,Token!$A:$A,$D660),)</f>
        <v/>
      </c>
    </row>
    <row r="661">
      <c r="A661" s="39" t="str">
        <f>IF(AND($L661*1&gt;=$G$3,$L661*1&lt;=$G$4,$I661*$J661&gt;0,OR($I661&lt;&gt;$I662,$L661-$L662&gt;25),$I661/POW(10,$J661)*MAXIFS(Token!$B:$B,Token!$A:$A,$K661)&gt;0.01),$L661/86400+DATE(1970,1,1)+$G$6,)</f>
        <v/>
      </c>
      <c r="B661" s="27" t="str">
        <f t="shared" si="1"/>
        <v/>
      </c>
      <c r="C661" s="14" t="str">
        <f>IF($A661&lt;&gt;"",MINIFS(Merchant!$A:$A,Merchant!$B:$B,$G$2),)</f>
        <v/>
      </c>
      <c r="D661" s="14" t="str">
        <f t="shared" si="2"/>
        <v/>
      </c>
      <c r="E661" s="14" t="str">
        <f t="shared" si="3"/>
        <v/>
      </c>
      <c r="F661" s="7" t="str">
        <f>IF($A661&lt;&gt;"",MAXIFS(Token!$B:$B,Token!$A:$A,$D661),)</f>
        <v/>
      </c>
    </row>
    <row r="662">
      <c r="A662" s="39" t="str">
        <f>IF(AND($L662*1&gt;=$G$3,$L662*1&lt;=$G$4,$I662*$J662&gt;0,OR($I662&lt;&gt;$I663,$L662-$L663&gt;25),$I662/POW(10,$J662)*MAXIFS(Token!$B:$B,Token!$A:$A,$K662)&gt;0.01),$L662/86400+DATE(1970,1,1)+$G$6,)</f>
        <v/>
      </c>
      <c r="B662" s="27" t="str">
        <f t="shared" si="1"/>
        <v/>
      </c>
      <c r="C662" s="14" t="str">
        <f>IF($A662&lt;&gt;"",MINIFS(Merchant!$A:$A,Merchant!$B:$B,$G$2),)</f>
        <v/>
      </c>
      <c r="D662" s="14" t="str">
        <f t="shared" si="2"/>
        <v/>
      </c>
      <c r="E662" s="14" t="str">
        <f t="shared" si="3"/>
        <v/>
      </c>
      <c r="F662" s="7" t="str">
        <f>IF($A662&lt;&gt;"",MAXIFS(Token!$B:$B,Token!$A:$A,$D662),)</f>
        <v/>
      </c>
    </row>
    <row r="663">
      <c r="A663" s="39" t="str">
        <f>IF(AND($L663*1&gt;=$G$3,$L663*1&lt;=$G$4,$I663*$J663&gt;0,OR($I663&lt;&gt;$I664,$L663-$L664&gt;25),$I663/POW(10,$J663)*MAXIFS(Token!$B:$B,Token!$A:$A,$K663)&gt;0.01),$L663/86400+DATE(1970,1,1)+$G$6,)</f>
        <v/>
      </c>
      <c r="B663" s="27" t="str">
        <f t="shared" si="1"/>
        <v/>
      </c>
      <c r="C663" s="14" t="str">
        <f>IF($A663&lt;&gt;"",MINIFS(Merchant!$A:$A,Merchant!$B:$B,$G$2),)</f>
        <v/>
      </c>
      <c r="D663" s="14" t="str">
        <f t="shared" si="2"/>
        <v/>
      </c>
      <c r="E663" s="14" t="str">
        <f t="shared" si="3"/>
        <v/>
      </c>
      <c r="F663" s="7" t="str">
        <f>IF($A663&lt;&gt;"",MAXIFS(Token!$B:$B,Token!$A:$A,$D663),)</f>
        <v/>
      </c>
    </row>
    <row r="664">
      <c r="A664" s="39" t="str">
        <f>IF(AND($L664*1&gt;=$G$3,$L664*1&lt;=$G$4,$I664*$J664&gt;0,OR($I664&lt;&gt;$I665,$L664-$L665&gt;25),$I664/POW(10,$J664)*MAXIFS(Token!$B:$B,Token!$A:$A,$K664)&gt;0.01),$L664/86400+DATE(1970,1,1)+$G$6,)</f>
        <v/>
      </c>
      <c r="B664" s="27" t="str">
        <f t="shared" si="1"/>
        <v/>
      </c>
      <c r="C664" s="14" t="str">
        <f>IF($A664&lt;&gt;"",MINIFS(Merchant!$A:$A,Merchant!$B:$B,$G$2),)</f>
        <v/>
      </c>
      <c r="D664" s="14" t="str">
        <f t="shared" si="2"/>
        <v/>
      </c>
      <c r="E664" s="14" t="str">
        <f t="shared" si="3"/>
        <v/>
      </c>
      <c r="F664" s="7" t="str">
        <f>IF($A664&lt;&gt;"",MAXIFS(Token!$B:$B,Token!$A:$A,$D664),)</f>
        <v/>
      </c>
    </row>
    <row r="665">
      <c r="A665" s="39" t="str">
        <f>IF(AND($L665*1&gt;=$G$3,$L665*1&lt;=$G$4,$I665*$J665&gt;0,OR($I665&lt;&gt;$I666,$L665-$L666&gt;25),$I665/POW(10,$J665)*MAXIFS(Token!$B:$B,Token!$A:$A,$K665)&gt;0.01),$L665/86400+DATE(1970,1,1)+$G$6,)</f>
        <v/>
      </c>
      <c r="B665" s="27" t="str">
        <f t="shared" si="1"/>
        <v/>
      </c>
      <c r="C665" s="14" t="str">
        <f>IF($A665&lt;&gt;"",MINIFS(Merchant!$A:$A,Merchant!$B:$B,$G$2),)</f>
        <v/>
      </c>
      <c r="D665" s="14" t="str">
        <f t="shared" si="2"/>
        <v/>
      </c>
      <c r="E665" s="14" t="str">
        <f t="shared" si="3"/>
        <v/>
      </c>
      <c r="F665" s="7" t="str">
        <f>IF($A665&lt;&gt;"",MAXIFS(Token!$B:$B,Token!$A:$A,$D665),)</f>
        <v/>
      </c>
    </row>
    <row r="666">
      <c r="A666" s="39" t="str">
        <f>IF(AND($L666*1&gt;=$G$3,$L666*1&lt;=$G$4,$I666*$J666&gt;0,OR($I666&lt;&gt;$I667,$L666-$L667&gt;25),$I666/POW(10,$J666)*MAXIFS(Token!$B:$B,Token!$A:$A,$K666)&gt;0.01),$L666/86400+DATE(1970,1,1)+$G$6,)</f>
        <v/>
      </c>
      <c r="B666" s="27" t="str">
        <f t="shared" si="1"/>
        <v/>
      </c>
      <c r="C666" s="14" t="str">
        <f>IF($A666&lt;&gt;"",MINIFS(Merchant!$A:$A,Merchant!$B:$B,$G$2),)</f>
        <v/>
      </c>
      <c r="D666" s="14" t="str">
        <f t="shared" si="2"/>
        <v/>
      </c>
      <c r="E666" s="14" t="str">
        <f t="shared" si="3"/>
        <v/>
      </c>
      <c r="F666" s="7" t="str">
        <f>IF($A666&lt;&gt;"",MAXIFS(Token!$B:$B,Token!$A:$A,$D666),)</f>
        <v/>
      </c>
    </row>
    <row r="667">
      <c r="A667" s="39" t="str">
        <f>IF(AND($L667*1&gt;=$G$3,$L667*1&lt;=$G$4,$I667*$J667&gt;0,OR($I667&lt;&gt;$I668,$L667-$L668&gt;25),$I667/POW(10,$J667)*MAXIFS(Token!$B:$B,Token!$A:$A,$K667)&gt;0.01),$L667/86400+DATE(1970,1,1)+$G$6,)</f>
        <v/>
      </c>
      <c r="B667" s="27" t="str">
        <f t="shared" si="1"/>
        <v/>
      </c>
      <c r="C667" s="14" t="str">
        <f>IF($A667&lt;&gt;"",MINIFS(Merchant!$A:$A,Merchant!$B:$B,$G$2),)</f>
        <v/>
      </c>
      <c r="D667" s="14" t="str">
        <f t="shared" si="2"/>
        <v/>
      </c>
      <c r="E667" s="14" t="str">
        <f t="shared" si="3"/>
        <v/>
      </c>
      <c r="F667" s="7" t="str">
        <f>IF($A667&lt;&gt;"",MAXIFS(Token!$B:$B,Token!$A:$A,$D667),)</f>
        <v/>
      </c>
    </row>
    <row r="668">
      <c r="A668" s="39" t="str">
        <f>IF(AND($L668*1&gt;=$G$3,$L668*1&lt;=$G$4,$I668*$J668&gt;0,OR($I668&lt;&gt;$I669,$L668-$L669&gt;25),$I668/POW(10,$J668)*MAXIFS(Token!$B:$B,Token!$A:$A,$K668)&gt;0.01),$L668/86400+DATE(1970,1,1)+$G$6,)</f>
        <v/>
      </c>
      <c r="B668" s="27" t="str">
        <f t="shared" si="1"/>
        <v/>
      </c>
      <c r="C668" s="14" t="str">
        <f>IF($A668&lt;&gt;"",MINIFS(Merchant!$A:$A,Merchant!$B:$B,$G$2),)</f>
        <v/>
      </c>
      <c r="D668" s="14" t="str">
        <f t="shared" si="2"/>
        <v/>
      </c>
      <c r="E668" s="14" t="str">
        <f t="shared" si="3"/>
        <v/>
      </c>
      <c r="F668" s="7" t="str">
        <f>IF($A668&lt;&gt;"",MAXIFS(Token!$B:$B,Token!$A:$A,$D668),)</f>
        <v/>
      </c>
    </row>
    <row r="669">
      <c r="A669" s="39" t="str">
        <f>IF(AND($L669*1&gt;=$G$3,$L669*1&lt;=$G$4,$I669*$J669&gt;0,OR($I669&lt;&gt;$I670,$L669-$L670&gt;25),$I669/POW(10,$J669)*MAXIFS(Token!$B:$B,Token!$A:$A,$K669)&gt;0.01),$L669/86400+DATE(1970,1,1)+$G$6,)</f>
        <v/>
      </c>
      <c r="B669" s="27" t="str">
        <f t="shared" si="1"/>
        <v/>
      </c>
      <c r="C669" s="14" t="str">
        <f>IF($A669&lt;&gt;"",MINIFS(Merchant!$A:$A,Merchant!$B:$B,$G$2),)</f>
        <v/>
      </c>
      <c r="D669" s="14" t="str">
        <f t="shared" si="2"/>
        <v/>
      </c>
      <c r="E669" s="14" t="str">
        <f t="shared" si="3"/>
        <v/>
      </c>
      <c r="F669" s="7" t="str">
        <f>IF($A669&lt;&gt;"",MAXIFS(Token!$B:$B,Token!$A:$A,$D669),)</f>
        <v/>
      </c>
    </row>
    <row r="670">
      <c r="A670" s="39" t="str">
        <f>IF(AND($L670*1&gt;=$G$3,$L670*1&lt;=$G$4,$I670*$J670&gt;0,OR($I670&lt;&gt;$I671,$L670-$L671&gt;25),$I670/POW(10,$J670)*MAXIFS(Token!$B:$B,Token!$A:$A,$K670)&gt;0.01),$L670/86400+DATE(1970,1,1)+$G$6,)</f>
        <v/>
      </c>
      <c r="B670" s="27" t="str">
        <f t="shared" si="1"/>
        <v/>
      </c>
      <c r="C670" s="14" t="str">
        <f>IF($A670&lt;&gt;"",MINIFS(Merchant!$A:$A,Merchant!$B:$B,$G$2),)</f>
        <v/>
      </c>
      <c r="D670" s="14" t="str">
        <f t="shared" si="2"/>
        <v/>
      </c>
      <c r="E670" s="14" t="str">
        <f t="shared" si="3"/>
        <v/>
      </c>
      <c r="F670" s="7" t="str">
        <f>IF($A670&lt;&gt;"",MAXIFS(Token!$B:$B,Token!$A:$A,$D670),)</f>
        <v/>
      </c>
    </row>
    <row r="671">
      <c r="A671" s="39" t="str">
        <f>IF(AND($L671*1&gt;=$G$3,$L671*1&lt;=$G$4,$I671*$J671&gt;0,OR($I671&lt;&gt;$I672,$L671-$L672&gt;25),$I671/POW(10,$J671)*MAXIFS(Token!$B:$B,Token!$A:$A,$K671)&gt;0.01),$L671/86400+DATE(1970,1,1)+$G$6,)</f>
        <v/>
      </c>
      <c r="B671" s="27" t="str">
        <f t="shared" si="1"/>
        <v/>
      </c>
      <c r="C671" s="14" t="str">
        <f>IF($A671&lt;&gt;"",MINIFS(Merchant!$A:$A,Merchant!$B:$B,$G$2),)</f>
        <v/>
      </c>
      <c r="D671" s="14" t="str">
        <f t="shared" si="2"/>
        <v/>
      </c>
      <c r="E671" s="14" t="str">
        <f t="shared" si="3"/>
        <v/>
      </c>
      <c r="F671" s="7" t="str">
        <f>IF($A671&lt;&gt;"",MAXIFS(Token!$B:$B,Token!$A:$A,$D671),)</f>
        <v/>
      </c>
    </row>
    <row r="672">
      <c r="A672" s="39" t="str">
        <f>IF(AND($L672*1&gt;=$G$3,$L672*1&lt;=$G$4,$I672*$J672&gt;0,OR($I672&lt;&gt;$I673,$L672-$L673&gt;25),$I672/POW(10,$J672)*MAXIFS(Token!$B:$B,Token!$A:$A,$K672)&gt;0.01),$L672/86400+DATE(1970,1,1)+$G$6,)</f>
        <v/>
      </c>
      <c r="B672" s="27" t="str">
        <f t="shared" si="1"/>
        <v/>
      </c>
      <c r="C672" s="14" t="str">
        <f>IF($A672&lt;&gt;"",MINIFS(Merchant!$A:$A,Merchant!$B:$B,$G$2),)</f>
        <v/>
      </c>
      <c r="D672" s="14" t="str">
        <f t="shared" si="2"/>
        <v/>
      </c>
      <c r="E672" s="14" t="str">
        <f t="shared" si="3"/>
        <v/>
      </c>
      <c r="F672" s="7" t="str">
        <f>IF($A672&lt;&gt;"",MAXIFS(Token!$B:$B,Token!$A:$A,$D672),)</f>
        <v/>
      </c>
    </row>
    <row r="673">
      <c r="A673" s="39" t="str">
        <f>IF(AND($L673*1&gt;=$G$3,$L673*1&lt;=$G$4,$I673*$J673&gt;0,OR($I673&lt;&gt;$I674,$L673-$L674&gt;25),$I673/POW(10,$J673)*MAXIFS(Token!$B:$B,Token!$A:$A,$K673)&gt;0.01),$L673/86400+DATE(1970,1,1)+$G$6,)</f>
        <v/>
      </c>
      <c r="B673" s="27" t="str">
        <f t="shared" si="1"/>
        <v/>
      </c>
      <c r="C673" s="14" t="str">
        <f>IF($A673&lt;&gt;"",MINIFS(Merchant!$A:$A,Merchant!$B:$B,$G$2),)</f>
        <v/>
      </c>
      <c r="D673" s="14" t="str">
        <f t="shared" si="2"/>
        <v/>
      </c>
      <c r="E673" s="14" t="str">
        <f t="shared" si="3"/>
        <v/>
      </c>
      <c r="F673" s="7" t="str">
        <f>IF($A673&lt;&gt;"",MAXIFS(Token!$B:$B,Token!$A:$A,$D673),)</f>
        <v/>
      </c>
    </row>
    <row r="674">
      <c r="A674" s="39" t="str">
        <f>IF(AND($L674*1&gt;=$G$3,$L674*1&lt;=$G$4,$I674*$J674&gt;0,OR($I674&lt;&gt;$I675,$L674-$L675&gt;25),$I674/POW(10,$J674)*MAXIFS(Token!$B:$B,Token!$A:$A,$K674)&gt;0.01),$L674/86400+DATE(1970,1,1)+$G$6,)</f>
        <v/>
      </c>
      <c r="B674" s="27" t="str">
        <f t="shared" si="1"/>
        <v/>
      </c>
      <c r="C674" s="14" t="str">
        <f>IF($A674&lt;&gt;"",MINIFS(Merchant!$A:$A,Merchant!$B:$B,$G$2),)</f>
        <v/>
      </c>
      <c r="D674" s="14" t="str">
        <f t="shared" si="2"/>
        <v/>
      </c>
      <c r="E674" s="14" t="str">
        <f t="shared" si="3"/>
        <v/>
      </c>
      <c r="F674" s="7" t="str">
        <f>IF($A674&lt;&gt;"",MAXIFS(Token!$B:$B,Token!$A:$A,$D674),)</f>
        <v/>
      </c>
    </row>
    <row r="675">
      <c r="A675" s="39" t="str">
        <f>IF(AND($L675*1&gt;=$G$3,$L675*1&lt;=$G$4,$I675*$J675&gt;0,OR($I675&lt;&gt;$I676,$L675-$L676&gt;25),$I675/POW(10,$J675)*MAXIFS(Token!$B:$B,Token!$A:$A,$K675)&gt;0.01),$L675/86400+DATE(1970,1,1)+$G$6,)</f>
        <v/>
      </c>
      <c r="B675" s="27" t="str">
        <f t="shared" si="1"/>
        <v/>
      </c>
      <c r="C675" s="14" t="str">
        <f>IF($A675&lt;&gt;"",MINIFS(Merchant!$A:$A,Merchant!$B:$B,$G$2),)</f>
        <v/>
      </c>
      <c r="D675" s="14" t="str">
        <f t="shared" si="2"/>
        <v/>
      </c>
      <c r="E675" s="14" t="str">
        <f t="shared" si="3"/>
        <v/>
      </c>
      <c r="F675" s="7" t="str">
        <f>IF($A675&lt;&gt;"",MAXIFS(Token!$B:$B,Token!$A:$A,$D675),)</f>
        <v/>
      </c>
    </row>
    <row r="676">
      <c r="A676" s="39" t="str">
        <f>IF(AND($L676*1&gt;=$G$3,$L676*1&lt;=$G$4,$I676*$J676&gt;0,OR($I676&lt;&gt;$I677,$L676-$L677&gt;25),$I676/POW(10,$J676)*MAXIFS(Token!$B:$B,Token!$A:$A,$K676)&gt;0.01),$L676/86400+DATE(1970,1,1)+$G$6,)</f>
        <v/>
      </c>
      <c r="B676" s="27" t="str">
        <f t="shared" si="1"/>
        <v/>
      </c>
      <c r="C676" s="14" t="str">
        <f>IF($A676&lt;&gt;"",MINIFS(Merchant!$A:$A,Merchant!$B:$B,$G$2),)</f>
        <v/>
      </c>
      <c r="D676" s="14" t="str">
        <f t="shared" si="2"/>
        <v/>
      </c>
      <c r="E676" s="14" t="str">
        <f t="shared" si="3"/>
        <v/>
      </c>
      <c r="F676" s="7" t="str">
        <f>IF($A676&lt;&gt;"",MAXIFS(Token!$B:$B,Token!$A:$A,$D676),)</f>
        <v/>
      </c>
    </row>
    <row r="677">
      <c r="A677" s="39" t="str">
        <f>IF(AND($L677*1&gt;=$G$3,$L677*1&lt;=$G$4,$I677*$J677&gt;0,OR($I677&lt;&gt;$I678,$L677-$L678&gt;25),$I677/POW(10,$J677)*MAXIFS(Token!$B:$B,Token!$A:$A,$K677)&gt;0.01),$L677/86400+DATE(1970,1,1)+$G$6,)</f>
        <v/>
      </c>
      <c r="B677" s="27" t="str">
        <f t="shared" si="1"/>
        <v/>
      </c>
      <c r="C677" s="14" t="str">
        <f>IF($A677&lt;&gt;"",MINIFS(Merchant!$A:$A,Merchant!$B:$B,$G$2),)</f>
        <v/>
      </c>
      <c r="D677" s="14" t="str">
        <f t="shared" si="2"/>
        <v/>
      </c>
      <c r="E677" s="14" t="str">
        <f t="shared" si="3"/>
        <v/>
      </c>
      <c r="F677" s="7" t="str">
        <f>IF($A677&lt;&gt;"",MAXIFS(Token!$B:$B,Token!$A:$A,$D677),)</f>
        <v/>
      </c>
    </row>
    <row r="678">
      <c r="A678" s="39" t="str">
        <f>IF(AND($L678*1&gt;=$G$3,$L678*1&lt;=$G$4,$I678*$J678&gt;0,OR($I678&lt;&gt;$I679,$L678-$L679&gt;25),$I678/POW(10,$J678)*MAXIFS(Token!$B:$B,Token!$A:$A,$K678)&gt;0.01),$L678/86400+DATE(1970,1,1)+$G$6,)</f>
        <v/>
      </c>
      <c r="B678" s="27" t="str">
        <f t="shared" si="1"/>
        <v/>
      </c>
      <c r="C678" s="14" t="str">
        <f>IF($A678&lt;&gt;"",MINIFS(Merchant!$A:$A,Merchant!$B:$B,$G$2),)</f>
        <v/>
      </c>
      <c r="D678" s="14" t="str">
        <f t="shared" si="2"/>
        <v/>
      </c>
      <c r="E678" s="14" t="str">
        <f t="shared" si="3"/>
        <v/>
      </c>
      <c r="F678" s="7" t="str">
        <f>IF($A678&lt;&gt;"",MAXIFS(Token!$B:$B,Token!$A:$A,$D678),)</f>
        <v/>
      </c>
    </row>
    <row r="679">
      <c r="A679" s="39" t="str">
        <f>IF(AND($L679*1&gt;=$G$3,$L679*1&lt;=$G$4,$I679*$J679&gt;0,OR($I679&lt;&gt;$I680,$L679-$L680&gt;25),$I679/POW(10,$J679)*MAXIFS(Token!$B:$B,Token!$A:$A,$K679)&gt;0.01),$L679/86400+DATE(1970,1,1)+$G$6,)</f>
        <v/>
      </c>
      <c r="B679" s="27" t="str">
        <f t="shared" si="1"/>
        <v/>
      </c>
      <c r="C679" s="14" t="str">
        <f>IF($A679&lt;&gt;"",MINIFS(Merchant!$A:$A,Merchant!$B:$B,$G$2),)</f>
        <v/>
      </c>
      <c r="D679" s="14" t="str">
        <f t="shared" si="2"/>
        <v/>
      </c>
      <c r="E679" s="14" t="str">
        <f t="shared" si="3"/>
        <v/>
      </c>
      <c r="F679" s="7" t="str">
        <f>IF($A679&lt;&gt;"",MAXIFS(Token!$B:$B,Token!$A:$A,$D679),)</f>
        <v/>
      </c>
    </row>
    <row r="680">
      <c r="A680" s="39" t="str">
        <f>IF(AND($L680*1&gt;=$G$3,$L680*1&lt;=$G$4,$I680*$J680&gt;0,OR($I680&lt;&gt;$I681,$L680-$L681&gt;25),$I680/POW(10,$J680)*MAXIFS(Token!$B:$B,Token!$A:$A,$K680)&gt;0.01),$L680/86400+DATE(1970,1,1)+$G$6,)</f>
        <v/>
      </c>
      <c r="B680" s="27" t="str">
        <f t="shared" si="1"/>
        <v/>
      </c>
      <c r="C680" s="14" t="str">
        <f>IF($A680&lt;&gt;"",MINIFS(Merchant!$A:$A,Merchant!$B:$B,$G$2),)</f>
        <v/>
      </c>
      <c r="D680" s="14" t="str">
        <f t="shared" si="2"/>
        <v/>
      </c>
      <c r="E680" s="14" t="str">
        <f t="shared" si="3"/>
        <v/>
      </c>
      <c r="F680" s="7" t="str">
        <f>IF($A680&lt;&gt;"",MAXIFS(Token!$B:$B,Token!$A:$A,$D680),)</f>
        <v/>
      </c>
    </row>
    <row r="681">
      <c r="A681" s="39" t="str">
        <f>IF(AND($L681*1&gt;=$G$3,$L681*1&lt;=$G$4,$I681*$J681&gt;0,OR($I681&lt;&gt;$I682,$L681-$L682&gt;25),$I681/POW(10,$J681)*MAXIFS(Token!$B:$B,Token!$A:$A,$K681)&gt;0.01),$L681/86400+DATE(1970,1,1)+$G$6,)</f>
        <v/>
      </c>
      <c r="B681" s="27" t="str">
        <f t="shared" si="1"/>
        <v/>
      </c>
      <c r="C681" s="14" t="str">
        <f>IF($A681&lt;&gt;"",MINIFS(Merchant!$A:$A,Merchant!$B:$B,$G$2),)</f>
        <v/>
      </c>
      <c r="D681" s="14" t="str">
        <f t="shared" si="2"/>
        <v/>
      </c>
      <c r="E681" s="14" t="str">
        <f t="shared" si="3"/>
        <v/>
      </c>
      <c r="F681" s="7" t="str">
        <f>IF($A681&lt;&gt;"",MAXIFS(Token!$B:$B,Token!$A:$A,$D681),)</f>
        <v/>
      </c>
    </row>
    <row r="682">
      <c r="A682" s="39" t="str">
        <f>IF(AND($L682*1&gt;=$G$3,$L682*1&lt;=$G$4,$I682*$J682&gt;0,OR($I682&lt;&gt;$I683,$L682-$L683&gt;25),$I682/POW(10,$J682)*MAXIFS(Token!$B:$B,Token!$A:$A,$K682)&gt;0.01),$L682/86400+DATE(1970,1,1)+$G$6,)</f>
        <v/>
      </c>
      <c r="B682" s="27" t="str">
        <f t="shared" si="1"/>
        <v/>
      </c>
      <c r="C682" s="14" t="str">
        <f>IF($A682&lt;&gt;"",MINIFS(Merchant!$A:$A,Merchant!$B:$B,$G$2),)</f>
        <v/>
      </c>
      <c r="D682" s="14" t="str">
        <f t="shared" si="2"/>
        <v/>
      </c>
      <c r="E682" s="14" t="str">
        <f t="shared" si="3"/>
        <v/>
      </c>
      <c r="F682" s="7" t="str">
        <f>IF($A682&lt;&gt;"",MAXIFS(Token!$B:$B,Token!$A:$A,$D682),)</f>
        <v/>
      </c>
    </row>
    <row r="683">
      <c r="A683" s="39" t="str">
        <f>IF(AND($L683*1&gt;=$G$3,$L683*1&lt;=$G$4,$I683*$J683&gt;0,OR($I683&lt;&gt;$I684,$L683-$L684&gt;25),$I683/POW(10,$J683)*MAXIFS(Token!$B:$B,Token!$A:$A,$K683)&gt;0.01),$L683/86400+DATE(1970,1,1)+$G$6,)</f>
        <v/>
      </c>
      <c r="B683" s="27" t="str">
        <f t="shared" si="1"/>
        <v/>
      </c>
      <c r="C683" s="14" t="str">
        <f>IF($A683&lt;&gt;"",MINIFS(Merchant!$A:$A,Merchant!$B:$B,$G$2),)</f>
        <v/>
      </c>
      <c r="D683" s="14" t="str">
        <f t="shared" si="2"/>
        <v/>
      </c>
      <c r="E683" s="14" t="str">
        <f t="shared" si="3"/>
        <v/>
      </c>
      <c r="F683" s="7" t="str">
        <f>IF($A683&lt;&gt;"",MAXIFS(Token!$B:$B,Token!$A:$A,$D683),)</f>
        <v/>
      </c>
    </row>
    <row r="684">
      <c r="A684" s="39" t="str">
        <f>IF(AND($L684*1&gt;=$G$3,$L684*1&lt;=$G$4,$I684*$J684&gt;0,OR($I684&lt;&gt;$I685,$L684-$L685&gt;25),$I684/POW(10,$J684)*MAXIFS(Token!$B:$B,Token!$A:$A,$K684)&gt;0.01),$L684/86400+DATE(1970,1,1)+$G$6,)</f>
        <v/>
      </c>
      <c r="B684" s="27" t="str">
        <f t="shared" si="1"/>
        <v/>
      </c>
      <c r="C684" s="14" t="str">
        <f>IF($A684&lt;&gt;"",MINIFS(Merchant!$A:$A,Merchant!$B:$B,$G$2),)</f>
        <v/>
      </c>
      <c r="D684" s="14" t="str">
        <f t="shared" si="2"/>
        <v/>
      </c>
      <c r="E684" s="14" t="str">
        <f t="shared" si="3"/>
        <v/>
      </c>
      <c r="F684" s="7" t="str">
        <f>IF($A684&lt;&gt;"",MAXIFS(Token!$B:$B,Token!$A:$A,$D684),)</f>
        <v/>
      </c>
    </row>
    <row r="685">
      <c r="A685" s="39" t="str">
        <f>IF(AND($L685*1&gt;=$G$3,$L685*1&lt;=$G$4,$I685*$J685&gt;0,OR($I685&lt;&gt;$I686,$L685-$L686&gt;25),$I685/POW(10,$J685)*MAXIFS(Token!$B:$B,Token!$A:$A,$K685)&gt;0.01),$L685/86400+DATE(1970,1,1)+$G$6,)</f>
        <v/>
      </c>
      <c r="B685" s="27" t="str">
        <f t="shared" si="1"/>
        <v/>
      </c>
      <c r="C685" s="14" t="str">
        <f>IF($A685&lt;&gt;"",MINIFS(Merchant!$A:$A,Merchant!$B:$B,$G$2),)</f>
        <v/>
      </c>
      <c r="D685" s="14" t="str">
        <f t="shared" si="2"/>
        <v/>
      </c>
      <c r="E685" s="14" t="str">
        <f t="shared" si="3"/>
        <v/>
      </c>
      <c r="F685" s="7" t="str">
        <f>IF($A685&lt;&gt;"",MAXIFS(Token!$B:$B,Token!$A:$A,$D685),)</f>
        <v/>
      </c>
    </row>
    <row r="686">
      <c r="A686" s="39" t="str">
        <f>IF(AND($L686*1&gt;=$G$3,$L686*1&lt;=$G$4,$I686*$J686&gt;0,OR($I686&lt;&gt;$I687,$L686-$L687&gt;25),$I686/POW(10,$J686)*MAXIFS(Token!$B:$B,Token!$A:$A,$K686)&gt;0.01),$L686/86400+DATE(1970,1,1)+$G$6,)</f>
        <v/>
      </c>
      <c r="B686" s="27" t="str">
        <f t="shared" si="1"/>
        <v/>
      </c>
      <c r="C686" s="14" t="str">
        <f>IF($A686&lt;&gt;"",MINIFS(Merchant!$A:$A,Merchant!$B:$B,$G$2),)</f>
        <v/>
      </c>
      <c r="D686" s="14" t="str">
        <f t="shared" si="2"/>
        <v/>
      </c>
      <c r="E686" s="14" t="str">
        <f t="shared" si="3"/>
        <v/>
      </c>
      <c r="F686" s="7" t="str">
        <f>IF($A686&lt;&gt;"",MAXIFS(Token!$B:$B,Token!$A:$A,$D686),)</f>
        <v/>
      </c>
    </row>
    <row r="687">
      <c r="A687" s="39" t="str">
        <f>IF(AND($L687*1&gt;=$G$3,$L687*1&lt;=$G$4,$I687*$J687&gt;0,OR($I687&lt;&gt;$I688,$L687-$L688&gt;25),$I687/POW(10,$J687)*MAXIFS(Token!$B:$B,Token!$A:$A,$K687)&gt;0.01),$L687/86400+DATE(1970,1,1)+$G$6,)</f>
        <v/>
      </c>
      <c r="B687" s="27" t="str">
        <f t="shared" si="1"/>
        <v/>
      </c>
      <c r="C687" s="14" t="str">
        <f>IF($A687&lt;&gt;"",MINIFS(Merchant!$A:$A,Merchant!$B:$B,$G$2),)</f>
        <v/>
      </c>
      <c r="D687" s="14" t="str">
        <f t="shared" si="2"/>
        <v/>
      </c>
      <c r="E687" s="14" t="str">
        <f t="shared" si="3"/>
        <v/>
      </c>
      <c r="F687" s="7" t="str">
        <f>IF($A687&lt;&gt;"",MAXIFS(Token!$B:$B,Token!$A:$A,$D687),)</f>
        <v/>
      </c>
    </row>
    <row r="688">
      <c r="A688" s="39" t="str">
        <f>IF(AND($L688*1&gt;=$G$3,$L688*1&lt;=$G$4,$I688*$J688&gt;0,OR($I688&lt;&gt;$I689,$L688-$L689&gt;25),$I688/POW(10,$J688)*MAXIFS(Token!$B:$B,Token!$A:$A,$K688)&gt;0.01),$L688/86400+DATE(1970,1,1)+$G$6,)</f>
        <v/>
      </c>
      <c r="B688" s="27" t="str">
        <f t="shared" si="1"/>
        <v/>
      </c>
      <c r="C688" s="14" t="str">
        <f>IF($A688&lt;&gt;"",MINIFS(Merchant!$A:$A,Merchant!$B:$B,$G$2),)</f>
        <v/>
      </c>
      <c r="D688" s="14" t="str">
        <f t="shared" si="2"/>
        <v/>
      </c>
      <c r="E688" s="14" t="str">
        <f t="shared" si="3"/>
        <v/>
      </c>
      <c r="F688" s="7" t="str">
        <f>IF($A688&lt;&gt;"",MAXIFS(Token!$B:$B,Token!$A:$A,$D688),)</f>
        <v/>
      </c>
    </row>
    <row r="689">
      <c r="A689" s="39" t="str">
        <f>IF(AND($L689*1&gt;=$G$3,$L689*1&lt;=$G$4,$I689*$J689&gt;0,OR($I689&lt;&gt;$I690,$L689-$L690&gt;25),$I689/POW(10,$J689)*MAXIFS(Token!$B:$B,Token!$A:$A,$K689)&gt;0.01),$L689/86400+DATE(1970,1,1)+$G$6,)</f>
        <v/>
      </c>
      <c r="B689" s="27" t="str">
        <f t="shared" si="1"/>
        <v/>
      </c>
      <c r="C689" s="14" t="str">
        <f>IF($A689&lt;&gt;"",MINIFS(Merchant!$A:$A,Merchant!$B:$B,$G$2),)</f>
        <v/>
      </c>
      <c r="D689" s="14" t="str">
        <f t="shared" si="2"/>
        <v/>
      </c>
      <c r="E689" s="14" t="str">
        <f t="shared" si="3"/>
        <v/>
      </c>
      <c r="F689" s="7" t="str">
        <f>IF($A689&lt;&gt;"",MAXIFS(Token!$B:$B,Token!$A:$A,$D689),)</f>
        <v/>
      </c>
    </row>
    <row r="690">
      <c r="A690" s="39" t="str">
        <f>IF(AND($L690*1&gt;=$G$3,$L690*1&lt;=$G$4,$I690*$J690&gt;0,OR($I690&lt;&gt;$I691,$L690-$L691&gt;25),$I690/POW(10,$J690)*MAXIFS(Token!$B:$B,Token!$A:$A,$K690)&gt;0.01),$L690/86400+DATE(1970,1,1)+$G$6,)</f>
        <v/>
      </c>
      <c r="B690" s="27" t="str">
        <f t="shared" si="1"/>
        <v/>
      </c>
      <c r="C690" s="14" t="str">
        <f>IF($A690&lt;&gt;"",MINIFS(Merchant!$A:$A,Merchant!$B:$B,$G$2),)</f>
        <v/>
      </c>
      <c r="D690" s="14" t="str">
        <f t="shared" si="2"/>
        <v/>
      </c>
      <c r="E690" s="14" t="str">
        <f t="shared" si="3"/>
        <v/>
      </c>
      <c r="F690" s="7" t="str">
        <f>IF($A690&lt;&gt;"",MAXIFS(Token!$B:$B,Token!$A:$A,$D690),)</f>
        <v/>
      </c>
    </row>
    <row r="691">
      <c r="A691" s="39" t="str">
        <f>IF(AND($L691*1&gt;=$G$3,$L691*1&lt;=$G$4,$I691*$J691&gt;0,OR($I691&lt;&gt;$I692,$L691-$L692&gt;25),$I691/POW(10,$J691)*MAXIFS(Token!$B:$B,Token!$A:$A,$K691)&gt;0.01),$L691/86400+DATE(1970,1,1)+$G$6,)</f>
        <v/>
      </c>
      <c r="B691" s="27" t="str">
        <f t="shared" si="1"/>
        <v/>
      </c>
      <c r="C691" s="14" t="str">
        <f>IF($A691&lt;&gt;"",MINIFS(Merchant!$A:$A,Merchant!$B:$B,$G$2),)</f>
        <v/>
      </c>
      <c r="D691" s="14" t="str">
        <f t="shared" si="2"/>
        <v/>
      </c>
      <c r="E691" s="14" t="str">
        <f t="shared" si="3"/>
        <v/>
      </c>
      <c r="F691" s="7" t="str">
        <f>IF($A691&lt;&gt;"",MAXIFS(Token!$B:$B,Token!$A:$A,$D691),)</f>
        <v/>
      </c>
    </row>
    <row r="692">
      <c r="A692" s="39" t="str">
        <f>IF(AND($L692*1&gt;=$G$3,$L692*1&lt;=$G$4,$I692*$J692&gt;0,OR($I692&lt;&gt;$I693,$L692-$L693&gt;25),$I692/POW(10,$J692)*MAXIFS(Token!$B:$B,Token!$A:$A,$K692)&gt;0.01),$L692/86400+DATE(1970,1,1)+$G$6,)</f>
        <v/>
      </c>
      <c r="B692" s="27" t="str">
        <f t="shared" si="1"/>
        <v/>
      </c>
      <c r="C692" s="14" t="str">
        <f>IF($A692&lt;&gt;"",MINIFS(Merchant!$A:$A,Merchant!$B:$B,$G$2),)</f>
        <v/>
      </c>
      <c r="D692" s="14" t="str">
        <f t="shared" si="2"/>
        <v/>
      </c>
      <c r="E692" s="14" t="str">
        <f t="shared" si="3"/>
        <v/>
      </c>
      <c r="F692" s="7" t="str">
        <f>IF($A692&lt;&gt;"",MAXIFS(Token!$B:$B,Token!$A:$A,$D692),)</f>
        <v/>
      </c>
    </row>
    <row r="693">
      <c r="A693" s="39" t="str">
        <f>IF(AND($L693*1&gt;=$G$3,$L693*1&lt;=$G$4,$I693*$J693&gt;0,OR($I693&lt;&gt;$I694,$L693-$L694&gt;25),$I693/POW(10,$J693)*MAXIFS(Token!$B:$B,Token!$A:$A,$K693)&gt;0.01),$L693/86400+DATE(1970,1,1)+$G$6,)</f>
        <v/>
      </c>
      <c r="B693" s="27" t="str">
        <f t="shared" si="1"/>
        <v/>
      </c>
      <c r="C693" s="14" t="str">
        <f>IF($A693&lt;&gt;"",MINIFS(Merchant!$A:$A,Merchant!$B:$B,$G$2),)</f>
        <v/>
      </c>
      <c r="D693" s="14" t="str">
        <f t="shared" si="2"/>
        <v/>
      </c>
      <c r="E693" s="14" t="str">
        <f t="shared" si="3"/>
        <v/>
      </c>
      <c r="F693" s="7" t="str">
        <f>IF($A693&lt;&gt;"",MAXIFS(Token!$B:$B,Token!$A:$A,$D693),)</f>
        <v/>
      </c>
    </row>
    <row r="694">
      <c r="A694" s="39" t="str">
        <f>IF(AND($L694*1&gt;=$G$3,$L694*1&lt;=$G$4,$I694*$J694&gt;0,OR($I694&lt;&gt;$I695,$L694-$L695&gt;25),$I694/POW(10,$J694)*MAXIFS(Token!$B:$B,Token!$A:$A,$K694)&gt;0.01),$L694/86400+DATE(1970,1,1)+$G$6,)</f>
        <v/>
      </c>
      <c r="B694" s="27" t="str">
        <f t="shared" si="1"/>
        <v/>
      </c>
      <c r="C694" s="14" t="str">
        <f>IF($A694&lt;&gt;"",MINIFS(Merchant!$A:$A,Merchant!$B:$B,$G$2),)</f>
        <v/>
      </c>
      <c r="D694" s="14" t="str">
        <f t="shared" si="2"/>
        <v/>
      </c>
      <c r="E694" s="14" t="str">
        <f t="shared" si="3"/>
        <v/>
      </c>
      <c r="F694" s="7" t="str">
        <f>IF($A694&lt;&gt;"",MAXIFS(Token!$B:$B,Token!$A:$A,$D694),)</f>
        <v/>
      </c>
    </row>
    <row r="695">
      <c r="A695" s="39" t="str">
        <f>IF(AND($L695*1&gt;=$G$3,$L695*1&lt;=$G$4,$I695*$J695&gt;0,OR($I695&lt;&gt;$I696,$L695-$L696&gt;25),$I695/POW(10,$J695)*MAXIFS(Token!$B:$B,Token!$A:$A,$K695)&gt;0.01),$L695/86400+DATE(1970,1,1)+$G$6,)</f>
        <v/>
      </c>
      <c r="B695" s="27" t="str">
        <f t="shared" si="1"/>
        <v/>
      </c>
      <c r="C695" s="14" t="str">
        <f>IF($A695&lt;&gt;"",MINIFS(Merchant!$A:$A,Merchant!$B:$B,$G$2),)</f>
        <v/>
      </c>
      <c r="D695" s="14" t="str">
        <f t="shared" si="2"/>
        <v/>
      </c>
      <c r="E695" s="14" t="str">
        <f t="shared" si="3"/>
        <v/>
      </c>
      <c r="F695" s="7" t="str">
        <f>IF($A695&lt;&gt;"",MAXIFS(Token!$B:$B,Token!$A:$A,$D695),)</f>
        <v/>
      </c>
    </row>
    <row r="696">
      <c r="A696" s="39" t="str">
        <f>IF(AND($L696*1&gt;=$G$3,$L696*1&lt;=$G$4,$I696*$J696&gt;0,OR($I696&lt;&gt;$I697,$L696-$L697&gt;25),$I696/POW(10,$J696)*MAXIFS(Token!$B:$B,Token!$A:$A,$K696)&gt;0.01),$L696/86400+DATE(1970,1,1)+$G$6,)</f>
        <v/>
      </c>
      <c r="B696" s="27" t="str">
        <f t="shared" si="1"/>
        <v/>
      </c>
      <c r="C696" s="14" t="str">
        <f>IF($A696&lt;&gt;"",MINIFS(Merchant!$A:$A,Merchant!$B:$B,$G$2),)</f>
        <v/>
      </c>
      <c r="D696" s="14" t="str">
        <f t="shared" si="2"/>
        <v/>
      </c>
      <c r="E696" s="14" t="str">
        <f t="shared" si="3"/>
        <v/>
      </c>
      <c r="F696" s="7" t="str">
        <f>IF($A696&lt;&gt;"",MAXIFS(Token!$B:$B,Token!$A:$A,$D696),)</f>
        <v/>
      </c>
    </row>
    <row r="697">
      <c r="A697" s="39" t="str">
        <f>IF(AND($L697*1&gt;=$G$3,$L697*1&lt;=$G$4,$I697*$J697&gt;0,OR($I697&lt;&gt;$I698,$L697-$L698&gt;25),$I697/POW(10,$J697)*MAXIFS(Token!$B:$B,Token!$A:$A,$K697)&gt;0.01),$L697/86400+DATE(1970,1,1)+$G$6,)</f>
        <v/>
      </c>
      <c r="B697" s="27" t="str">
        <f t="shared" si="1"/>
        <v/>
      </c>
      <c r="C697" s="14" t="str">
        <f>IF($A697&lt;&gt;"",MINIFS(Merchant!$A:$A,Merchant!$B:$B,$G$2),)</f>
        <v/>
      </c>
      <c r="D697" s="14" t="str">
        <f t="shared" si="2"/>
        <v/>
      </c>
      <c r="E697" s="14" t="str">
        <f t="shared" si="3"/>
        <v/>
      </c>
      <c r="F697" s="7" t="str">
        <f>IF($A697&lt;&gt;"",MAXIFS(Token!$B:$B,Token!$A:$A,$D697),)</f>
        <v/>
      </c>
    </row>
    <row r="698">
      <c r="A698" s="39" t="str">
        <f>IF(AND($L698*1&gt;=$G$3,$L698*1&lt;=$G$4,$I698*$J698&gt;0,OR($I698&lt;&gt;$I699,$L698-$L699&gt;25),$I698/POW(10,$J698)*MAXIFS(Token!$B:$B,Token!$A:$A,$K698)&gt;0.01),$L698/86400+DATE(1970,1,1)+$G$6,)</f>
        <v/>
      </c>
      <c r="B698" s="27" t="str">
        <f t="shared" si="1"/>
        <v/>
      </c>
      <c r="C698" s="14" t="str">
        <f>IF($A698&lt;&gt;"",MINIFS(Merchant!$A:$A,Merchant!$B:$B,$G$2),)</f>
        <v/>
      </c>
      <c r="D698" s="14" t="str">
        <f t="shared" si="2"/>
        <v/>
      </c>
      <c r="E698" s="14" t="str">
        <f t="shared" si="3"/>
        <v/>
      </c>
      <c r="F698" s="7" t="str">
        <f>IF($A698&lt;&gt;"",MAXIFS(Token!$B:$B,Token!$A:$A,$D698),)</f>
        <v/>
      </c>
    </row>
    <row r="699">
      <c r="A699" s="39" t="str">
        <f>IF(AND($L699*1&gt;=$G$3,$L699*1&lt;=$G$4,$I699*$J699&gt;0,OR($I699&lt;&gt;$I700,$L699-$L700&gt;25),$I699/POW(10,$J699)*MAXIFS(Token!$B:$B,Token!$A:$A,$K699)&gt;0.01),$L699/86400+DATE(1970,1,1)+$G$6,)</f>
        <v/>
      </c>
      <c r="B699" s="27" t="str">
        <f t="shared" si="1"/>
        <v/>
      </c>
      <c r="C699" s="14" t="str">
        <f>IF($A699&lt;&gt;"",MINIFS(Merchant!$A:$A,Merchant!$B:$B,$G$2),)</f>
        <v/>
      </c>
      <c r="D699" s="14" t="str">
        <f t="shared" si="2"/>
        <v/>
      </c>
      <c r="E699" s="14" t="str">
        <f t="shared" si="3"/>
        <v/>
      </c>
      <c r="F699" s="7" t="str">
        <f>IF($A699&lt;&gt;"",MAXIFS(Token!$B:$B,Token!$A:$A,$D699),)</f>
        <v/>
      </c>
    </row>
    <row r="700">
      <c r="A700" s="39" t="str">
        <f>IF(AND($L700*1&gt;=$G$3,$L700*1&lt;=$G$4,$I700*$J700&gt;0,OR($I700&lt;&gt;$I701,$L700-$L701&gt;25),$I700/POW(10,$J700)*MAXIFS(Token!$B:$B,Token!$A:$A,$K700)&gt;0.01),$L700/86400+DATE(1970,1,1)+$G$6,)</f>
        <v/>
      </c>
      <c r="B700" s="27" t="str">
        <f t="shared" si="1"/>
        <v/>
      </c>
      <c r="C700" s="14" t="str">
        <f>IF($A700&lt;&gt;"",MINIFS(Merchant!$A:$A,Merchant!$B:$B,$G$2),)</f>
        <v/>
      </c>
      <c r="D700" s="14" t="str">
        <f t="shared" si="2"/>
        <v/>
      </c>
      <c r="E700" s="14" t="str">
        <f t="shared" si="3"/>
        <v/>
      </c>
      <c r="F700" s="7" t="str">
        <f>IF($A700&lt;&gt;"",MAXIFS(Token!$B:$B,Token!$A:$A,$D700),)</f>
        <v/>
      </c>
    </row>
    <row r="701">
      <c r="A701" s="39" t="str">
        <f>IF(AND($L701*1&gt;=$G$3,$L701*1&lt;=$G$4,$I701*$J701&gt;0,OR($I701&lt;&gt;$I702,$L701-$L702&gt;25),$I701/POW(10,$J701)*MAXIFS(Token!$B:$B,Token!$A:$A,$K701)&gt;0.01),$L701/86400+DATE(1970,1,1)+$G$6,)</f>
        <v/>
      </c>
      <c r="B701" s="27" t="str">
        <f t="shared" si="1"/>
        <v/>
      </c>
      <c r="C701" s="14" t="str">
        <f>IF($A701&lt;&gt;"",MINIFS(Merchant!$A:$A,Merchant!$B:$B,$G$2),)</f>
        <v/>
      </c>
      <c r="D701" s="14" t="str">
        <f t="shared" si="2"/>
        <v/>
      </c>
      <c r="E701" s="14" t="str">
        <f t="shared" si="3"/>
        <v/>
      </c>
      <c r="F701" s="7" t="str">
        <f>IF($A701&lt;&gt;"",MAXIFS(Token!$B:$B,Token!$A:$A,$D701),)</f>
        <v/>
      </c>
    </row>
    <row r="702">
      <c r="A702" s="39" t="str">
        <f>IF(AND($L702*1&gt;=$G$3,$L702*1&lt;=$G$4,$I702*$J702&gt;0,OR($I702&lt;&gt;$I703,$L702-$L703&gt;25),$I702/POW(10,$J702)*MAXIFS(Token!$B:$B,Token!$A:$A,$K702)&gt;0.01),$L702/86400+DATE(1970,1,1)+$G$6,)</f>
        <v/>
      </c>
      <c r="B702" s="27" t="str">
        <f t="shared" si="1"/>
        <v/>
      </c>
      <c r="C702" s="14" t="str">
        <f>IF($A702&lt;&gt;"",MINIFS(Merchant!$A:$A,Merchant!$B:$B,$G$2),)</f>
        <v/>
      </c>
      <c r="D702" s="14" t="str">
        <f t="shared" si="2"/>
        <v/>
      </c>
      <c r="E702" s="14" t="str">
        <f t="shared" si="3"/>
        <v/>
      </c>
      <c r="F702" s="7" t="str">
        <f>IF($A702&lt;&gt;"",MAXIFS(Token!$B:$B,Token!$A:$A,$D702),)</f>
        <v/>
      </c>
    </row>
    <row r="703">
      <c r="A703" s="39" t="str">
        <f>IF(AND($L703*1&gt;=$G$3,$L703*1&lt;=$G$4,$I703*$J703&gt;0,OR($I703&lt;&gt;$I704,$L703-$L704&gt;25),$I703/POW(10,$J703)*MAXIFS(Token!$B:$B,Token!$A:$A,$K703)&gt;0.01),$L703/86400+DATE(1970,1,1)+$G$6,)</f>
        <v/>
      </c>
      <c r="B703" s="27" t="str">
        <f t="shared" si="1"/>
        <v/>
      </c>
      <c r="C703" s="14" t="str">
        <f>IF($A703&lt;&gt;"",MINIFS(Merchant!$A:$A,Merchant!$B:$B,$G$2),)</f>
        <v/>
      </c>
      <c r="D703" s="14" t="str">
        <f t="shared" si="2"/>
        <v/>
      </c>
      <c r="E703" s="14" t="str">
        <f t="shared" si="3"/>
        <v/>
      </c>
      <c r="F703" s="7" t="str">
        <f>IF($A703&lt;&gt;"",MAXIFS(Token!$B:$B,Token!$A:$A,$D703),)</f>
        <v/>
      </c>
    </row>
    <row r="704">
      <c r="A704" s="39" t="str">
        <f>IF(AND($L704*1&gt;=$G$3,$L704*1&lt;=$G$4,$I704*$J704&gt;0,OR($I704&lt;&gt;$I705,$L704-$L705&gt;25),$I704/POW(10,$J704)*MAXIFS(Token!$B:$B,Token!$A:$A,$K704)&gt;0.01),$L704/86400+DATE(1970,1,1)+$G$6,)</f>
        <v/>
      </c>
      <c r="B704" s="27" t="str">
        <f t="shared" si="1"/>
        <v/>
      </c>
      <c r="C704" s="14" t="str">
        <f>IF($A704&lt;&gt;"",MINIFS(Merchant!$A:$A,Merchant!$B:$B,$G$2),)</f>
        <v/>
      </c>
      <c r="D704" s="14" t="str">
        <f t="shared" si="2"/>
        <v/>
      </c>
      <c r="E704" s="14" t="str">
        <f t="shared" si="3"/>
        <v/>
      </c>
      <c r="F704" s="7" t="str">
        <f>IF($A704&lt;&gt;"",MAXIFS(Token!$B:$B,Token!$A:$A,$D704),)</f>
        <v/>
      </c>
    </row>
    <row r="705">
      <c r="A705" s="39" t="str">
        <f>IF(AND($L705*1&gt;=$G$3,$L705*1&lt;=$G$4,$I705*$J705&gt;0,OR($I705&lt;&gt;$I706,$L705-$L706&gt;25),$I705/POW(10,$J705)*MAXIFS(Token!$B:$B,Token!$A:$A,$K705)&gt;0.01),$L705/86400+DATE(1970,1,1)+$G$6,)</f>
        <v/>
      </c>
      <c r="B705" s="27" t="str">
        <f t="shared" si="1"/>
        <v/>
      </c>
      <c r="C705" s="14" t="str">
        <f>IF($A705&lt;&gt;"",MINIFS(Merchant!$A:$A,Merchant!$B:$B,$G$2),)</f>
        <v/>
      </c>
      <c r="D705" s="14" t="str">
        <f t="shared" si="2"/>
        <v/>
      </c>
      <c r="E705" s="14" t="str">
        <f t="shared" si="3"/>
        <v/>
      </c>
      <c r="F705" s="7" t="str">
        <f>IF($A705&lt;&gt;"",MAXIFS(Token!$B:$B,Token!$A:$A,$D705),)</f>
        <v/>
      </c>
    </row>
    <row r="706">
      <c r="A706" s="39" t="str">
        <f>IF(AND($L706*1&gt;=$G$3,$L706*1&lt;=$G$4,$I706*$J706&gt;0,OR($I706&lt;&gt;$I707,$L706-$L707&gt;25),$I706/POW(10,$J706)*MAXIFS(Token!$B:$B,Token!$A:$A,$K706)&gt;0.01),$L706/86400+DATE(1970,1,1)+$G$6,)</f>
        <v/>
      </c>
      <c r="B706" s="27" t="str">
        <f t="shared" si="1"/>
        <v/>
      </c>
      <c r="C706" s="14" t="str">
        <f>IF($A706&lt;&gt;"",MINIFS(Merchant!$A:$A,Merchant!$B:$B,$G$2),)</f>
        <v/>
      </c>
      <c r="D706" s="14" t="str">
        <f t="shared" si="2"/>
        <v/>
      </c>
      <c r="E706" s="14" t="str">
        <f t="shared" si="3"/>
        <v/>
      </c>
      <c r="F706" s="7" t="str">
        <f>IF($A706&lt;&gt;"",MAXIFS(Token!$B:$B,Token!$A:$A,$D706),)</f>
        <v/>
      </c>
    </row>
    <row r="707">
      <c r="A707" s="39" t="str">
        <f>IF(AND($L707*1&gt;=$G$3,$L707*1&lt;=$G$4,$I707*$J707&gt;0,OR($I707&lt;&gt;$I708,$L707-$L708&gt;25),$I707/POW(10,$J707)*MAXIFS(Token!$B:$B,Token!$A:$A,$K707)&gt;0.01),$L707/86400+DATE(1970,1,1)+$G$6,)</f>
        <v/>
      </c>
      <c r="B707" s="27" t="str">
        <f t="shared" si="1"/>
        <v/>
      </c>
      <c r="C707" s="14" t="str">
        <f>IF($A707&lt;&gt;"",MINIFS(Merchant!$A:$A,Merchant!$B:$B,$G$2),)</f>
        <v/>
      </c>
      <c r="D707" s="14" t="str">
        <f t="shared" si="2"/>
        <v/>
      </c>
      <c r="E707" s="14" t="str">
        <f t="shared" si="3"/>
        <v/>
      </c>
      <c r="F707" s="7" t="str">
        <f>IF($A707&lt;&gt;"",MAXIFS(Token!$B:$B,Token!$A:$A,$D707),)</f>
        <v/>
      </c>
    </row>
    <row r="708">
      <c r="A708" s="39" t="str">
        <f>IF(AND($L708*1&gt;=$G$3,$L708*1&lt;=$G$4,$I708*$J708&gt;0,OR($I708&lt;&gt;$I709,$L708-$L709&gt;25),$I708/POW(10,$J708)*MAXIFS(Token!$B:$B,Token!$A:$A,$K708)&gt;0.01),$L708/86400+DATE(1970,1,1)+$G$6,)</f>
        <v/>
      </c>
      <c r="B708" s="27" t="str">
        <f t="shared" si="1"/>
        <v/>
      </c>
      <c r="C708" s="14" t="str">
        <f>IF($A708&lt;&gt;"",MINIFS(Merchant!$A:$A,Merchant!$B:$B,$G$2),)</f>
        <v/>
      </c>
      <c r="D708" s="14" t="str">
        <f t="shared" si="2"/>
        <v/>
      </c>
      <c r="E708" s="14" t="str">
        <f t="shared" si="3"/>
        <v/>
      </c>
      <c r="F708" s="7" t="str">
        <f>IF($A708&lt;&gt;"",MAXIFS(Token!$B:$B,Token!$A:$A,$D708),)</f>
        <v/>
      </c>
    </row>
    <row r="709">
      <c r="A709" s="39" t="str">
        <f>IF(AND($L709*1&gt;=$G$3,$L709*1&lt;=$G$4,$I709*$J709&gt;0,OR($I709&lt;&gt;$I710,$L709-$L710&gt;25),$I709/POW(10,$J709)*MAXIFS(Token!$B:$B,Token!$A:$A,$K709)&gt;0.01),$L709/86400+DATE(1970,1,1)+$G$6,)</f>
        <v/>
      </c>
      <c r="B709" s="27" t="str">
        <f t="shared" si="1"/>
        <v/>
      </c>
      <c r="C709" s="14" t="str">
        <f>IF($A709&lt;&gt;"",MINIFS(Merchant!$A:$A,Merchant!$B:$B,$G$2),)</f>
        <v/>
      </c>
      <c r="D709" s="14" t="str">
        <f t="shared" si="2"/>
        <v/>
      </c>
      <c r="E709" s="14" t="str">
        <f t="shared" si="3"/>
        <v/>
      </c>
      <c r="F709" s="7" t="str">
        <f>IF($A709&lt;&gt;"",MAXIFS(Token!$B:$B,Token!$A:$A,$D709),)</f>
        <v/>
      </c>
    </row>
    <row r="710">
      <c r="A710" s="39" t="str">
        <f>IF(AND($L710*1&gt;=$G$3,$L710*1&lt;=$G$4,$I710*$J710&gt;0,OR($I710&lt;&gt;$I711,$L710-$L711&gt;25),$I710/POW(10,$J710)*MAXIFS(Token!$B:$B,Token!$A:$A,$K710)&gt;0.01),$L710/86400+DATE(1970,1,1)+$G$6,)</f>
        <v/>
      </c>
      <c r="B710" s="27" t="str">
        <f t="shared" si="1"/>
        <v/>
      </c>
      <c r="C710" s="14" t="str">
        <f>IF($A710&lt;&gt;"",MINIFS(Merchant!$A:$A,Merchant!$B:$B,$G$2),)</f>
        <v/>
      </c>
      <c r="D710" s="14" t="str">
        <f t="shared" si="2"/>
        <v/>
      </c>
      <c r="E710" s="14" t="str">
        <f t="shared" si="3"/>
        <v/>
      </c>
      <c r="F710" s="7" t="str">
        <f>IF($A710&lt;&gt;"",MAXIFS(Token!$B:$B,Token!$A:$A,$D710),)</f>
        <v/>
      </c>
    </row>
    <row r="711">
      <c r="A711" s="39" t="str">
        <f>IF(AND($L711*1&gt;=$G$3,$L711*1&lt;=$G$4,$I711*$J711&gt;0,OR($I711&lt;&gt;$I712,$L711-$L712&gt;25),$I711/POW(10,$J711)*MAXIFS(Token!$B:$B,Token!$A:$A,$K711)&gt;0.01),$L711/86400+DATE(1970,1,1)+$G$6,)</f>
        <v/>
      </c>
      <c r="B711" s="27" t="str">
        <f t="shared" si="1"/>
        <v/>
      </c>
      <c r="C711" s="14" t="str">
        <f>IF($A711&lt;&gt;"",MINIFS(Merchant!$A:$A,Merchant!$B:$B,$G$2),)</f>
        <v/>
      </c>
      <c r="D711" s="14" t="str">
        <f t="shared" si="2"/>
        <v/>
      </c>
      <c r="E711" s="14" t="str">
        <f t="shared" si="3"/>
        <v/>
      </c>
      <c r="F711" s="7" t="str">
        <f>IF($A711&lt;&gt;"",MAXIFS(Token!$B:$B,Token!$A:$A,$D711),)</f>
        <v/>
      </c>
    </row>
    <row r="712">
      <c r="A712" s="39" t="str">
        <f>IF(AND($L712*1&gt;=$G$3,$L712*1&lt;=$G$4,$I712*$J712&gt;0,OR($I712&lt;&gt;$I713,$L712-$L713&gt;25),$I712/POW(10,$J712)*MAXIFS(Token!$B:$B,Token!$A:$A,$K712)&gt;0.01),$L712/86400+DATE(1970,1,1)+$G$6,)</f>
        <v/>
      </c>
      <c r="B712" s="27" t="str">
        <f t="shared" si="1"/>
        <v/>
      </c>
      <c r="C712" s="14" t="str">
        <f>IF($A712&lt;&gt;"",MINIFS(Merchant!$A:$A,Merchant!$B:$B,$G$2),)</f>
        <v/>
      </c>
      <c r="D712" s="14" t="str">
        <f t="shared" si="2"/>
        <v/>
      </c>
      <c r="E712" s="14" t="str">
        <f t="shared" si="3"/>
        <v/>
      </c>
      <c r="F712" s="7" t="str">
        <f>IF($A712&lt;&gt;"",MAXIFS(Token!$B:$B,Token!$A:$A,$D712),)</f>
        <v/>
      </c>
    </row>
    <row r="713">
      <c r="A713" s="39" t="str">
        <f>IF(AND($L713*1&gt;=$G$3,$L713*1&lt;=$G$4,$I713*$J713&gt;0,OR($I713&lt;&gt;$I714,$L713-$L714&gt;25),$I713/POW(10,$J713)*MAXIFS(Token!$B:$B,Token!$A:$A,$K713)&gt;0.01),$L713/86400+DATE(1970,1,1)+$G$6,)</f>
        <v/>
      </c>
      <c r="B713" s="27" t="str">
        <f t="shared" si="1"/>
        <v/>
      </c>
      <c r="C713" s="14" t="str">
        <f>IF($A713&lt;&gt;"",MINIFS(Merchant!$A:$A,Merchant!$B:$B,$G$2),)</f>
        <v/>
      </c>
      <c r="D713" s="14" t="str">
        <f t="shared" si="2"/>
        <v/>
      </c>
      <c r="E713" s="14" t="str">
        <f t="shared" si="3"/>
        <v/>
      </c>
      <c r="F713" s="7" t="str">
        <f>IF($A713&lt;&gt;"",MAXIFS(Token!$B:$B,Token!$A:$A,$D713),)</f>
        <v/>
      </c>
    </row>
    <row r="714">
      <c r="A714" s="39" t="str">
        <f>IF(AND($L714*1&gt;=$G$3,$L714*1&lt;=$G$4,$I714*$J714&gt;0,OR($I714&lt;&gt;$I715,$L714-$L715&gt;25),$I714/POW(10,$J714)*MAXIFS(Token!$B:$B,Token!$A:$A,$K714)&gt;0.01),$L714/86400+DATE(1970,1,1)+$G$6,)</f>
        <v/>
      </c>
      <c r="B714" s="27" t="str">
        <f t="shared" si="1"/>
        <v/>
      </c>
      <c r="C714" s="14" t="str">
        <f>IF($A714&lt;&gt;"",MINIFS(Merchant!$A:$A,Merchant!$B:$B,$G$2),)</f>
        <v/>
      </c>
      <c r="D714" s="14" t="str">
        <f t="shared" si="2"/>
        <v/>
      </c>
      <c r="E714" s="14" t="str">
        <f t="shared" si="3"/>
        <v/>
      </c>
      <c r="F714" s="7" t="str">
        <f>IF($A714&lt;&gt;"",MAXIFS(Token!$B:$B,Token!$A:$A,$D714),)</f>
        <v/>
      </c>
    </row>
    <row r="715">
      <c r="A715" s="39" t="str">
        <f>IF(AND($L715*1&gt;=$G$3,$L715*1&lt;=$G$4,$I715*$J715&gt;0,OR($I715&lt;&gt;$I716,$L715-$L716&gt;25),$I715/POW(10,$J715)*MAXIFS(Token!$B:$B,Token!$A:$A,$K715)&gt;0.01),$L715/86400+DATE(1970,1,1)+$G$6,)</f>
        <v/>
      </c>
      <c r="B715" s="27" t="str">
        <f t="shared" si="1"/>
        <v/>
      </c>
      <c r="C715" s="14" t="str">
        <f>IF($A715&lt;&gt;"",MINIFS(Merchant!$A:$A,Merchant!$B:$B,$G$2),)</f>
        <v/>
      </c>
      <c r="D715" s="14" t="str">
        <f t="shared" si="2"/>
        <v/>
      </c>
      <c r="E715" s="14" t="str">
        <f t="shared" si="3"/>
        <v/>
      </c>
      <c r="F715" s="7" t="str">
        <f>IF($A715&lt;&gt;"",MAXIFS(Token!$B:$B,Token!$A:$A,$D715),)</f>
        <v/>
      </c>
    </row>
    <row r="716">
      <c r="A716" s="39" t="str">
        <f>IF(AND($L716*1&gt;=$G$3,$L716*1&lt;=$G$4,$I716*$J716&gt;0,OR($I716&lt;&gt;$I717,$L716-$L717&gt;25),$I716/POW(10,$J716)*MAXIFS(Token!$B:$B,Token!$A:$A,$K716)&gt;0.01),$L716/86400+DATE(1970,1,1)+$G$6,)</f>
        <v/>
      </c>
      <c r="B716" s="27" t="str">
        <f t="shared" si="1"/>
        <v/>
      </c>
      <c r="C716" s="14" t="str">
        <f>IF($A716&lt;&gt;"",MINIFS(Merchant!$A:$A,Merchant!$B:$B,$G$2),)</f>
        <v/>
      </c>
      <c r="D716" s="14" t="str">
        <f t="shared" si="2"/>
        <v/>
      </c>
      <c r="E716" s="14" t="str">
        <f t="shared" si="3"/>
        <v/>
      </c>
      <c r="F716" s="7" t="str">
        <f>IF($A716&lt;&gt;"",MAXIFS(Token!$B:$B,Token!$A:$A,$D716),)</f>
        <v/>
      </c>
    </row>
    <row r="717">
      <c r="A717" s="39" t="str">
        <f>IF(AND($L717*1&gt;=$G$3,$L717*1&lt;=$G$4,$I717*$J717&gt;0,OR($I717&lt;&gt;$I718,$L717-$L718&gt;25),$I717/POW(10,$J717)*MAXIFS(Token!$B:$B,Token!$A:$A,$K717)&gt;0.01),$L717/86400+DATE(1970,1,1)+$G$6,)</f>
        <v/>
      </c>
      <c r="B717" s="27" t="str">
        <f t="shared" si="1"/>
        <v/>
      </c>
      <c r="C717" s="14" t="str">
        <f>IF($A717&lt;&gt;"",MINIFS(Merchant!$A:$A,Merchant!$B:$B,$G$2),)</f>
        <v/>
      </c>
      <c r="D717" s="14" t="str">
        <f t="shared" si="2"/>
        <v/>
      </c>
      <c r="E717" s="14" t="str">
        <f t="shared" si="3"/>
        <v/>
      </c>
      <c r="F717" s="7" t="str">
        <f>IF($A717&lt;&gt;"",MAXIFS(Token!$B:$B,Token!$A:$A,$D717),)</f>
        <v/>
      </c>
    </row>
    <row r="718">
      <c r="A718" s="39" t="str">
        <f>IF(AND($L718*1&gt;=$G$3,$L718*1&lt;=$G$4,$I718*$J718&gt;0,OR($I718&lt;&gt;$I719,$L718-$L719&gt;25),$I718/POW(10,$J718)*MAXIFS(Token!$B:$B,Token!$A:$A,$K718)&gt;0.01),$L718/86400+DATE(1970,1,1)+$G$6,)</f>
        <v/>
      </c>
      <c r="B718" s="27" t="str">
        <f t="shared" si="1"/>
        <v/>
      </c>
      <c r="C718" s="14" t="str">
        <f>IF($A718&lt;&gt;"",MINIFS(Merchant!$A:$A,Merchant!$B:$B,$G$2),)</f>
        <v/>
      </c>
      <c r="D718" s="14" t="str">
        <f t="shared" si="2"/>
        <v/>
      </c>
      <c r="E718" s="14" t="str">
        <f t="shared" si="3"/>
        <v/>
      </c>
      <c r="F718" s="7" t="str">
        <f>IF($A718&lt;&gt;"",MAXIFS(Token!$B:$B,Token!$A:$A,$D718),)</f>
        <v/>
      </c>
    </row>
    <row r="719">
      <c r="A719" s="39" t="str">
        <f>IF(AND($L719*1&gt;=$G$3,$L719*1&lt;=$G$4,$I719*$J719&gt;0,OR($I719&lt;&gt;$I720,$L719-$L720&gt;25),$I719/POW(10,$J719)*MAXIFS(Token!$B:$B,Token!$A:$A,$K719)&gt;0.01),$L719/86400+DATE(1970,1,1)+$G$6,)</f>
        <v/>
      </c>
      <c r="B719" s="27" t="str">
        <f t="shared" si="1"/>
        <v/>
      </c>
      <c r="C719" s="14" t="str">
        <f>IF($A719&lt;&gt;"",MINIFS(Merchant!$A:$A,Merchant!$B:$B,$G$2),)</f>
        <v/>
      </c>
      <c r="D719" s="14" t="str">
        <f t="shared" si="2"/>
        <v/>
      </c>
      <c r="E719" s="14" t="str">
        <f t="shared" si="3"/>
        <v/>
      </c>
      <c r="F719" s="7" t="str">
        <f>IF($A719&lt;&gt;"",MAXIFS(Token!$B:$B,Token!$A:$A,$D719),)</f>
        <v/>
      </c>
    </row>
    <row r="720">
      <c r="A720" s="39" t="str">
        <f>IF(AND($L720*1&gt;=$G$3,$L720*1&lt;=$G$4,$I720*$J720&gt;0,OR($I720&lt;&gt;$I721,$L720-$L721&gt;25),$I720/POW(10,$J720)*MAXIFS(Token!$B:$B,Token!$A:$A,$K720)&gt;0.01),$L720/86400+DATE(1970,1,1)+$G$6,)</f>
        <v/>
      </c>
      <c r="B720" s="27" t="str">
        <f t="shared" si="1"/>
        <v/>
      </c>
      <c r="C720" s="14" t="str">
        <f>IF($A720&lt;&gt;"",MINIFS(Merchant!$A:$A,Merchant!$B:$B,$G$2),)</f>
        <v/>
      </c>
      <c r="D720" s="14" t="str">
        <f t="shared" si="2"/>
        <v/>
      </c>
      <c r="E720" s="14" t="str">
        <f t="shared" si="3"/>
        <v/>
      </c>
      <c r="F720" s="7" t="str">
        <f>IF($A720&lt;&gt;"",MAXIFS(Token!$B:$B,Token!$A:$A,$D720),)</f>
        <v/>
      </c>
    </row>
    <row r="721">
      <c r="A721" s="39" t="str">
        <f>IF(AND($L721*1&gt;=$G$3,$L721*1&lt;=$G$4,$I721*$J721&gt;0,OR($I721&lt;&gt;$I722,$L721-$L722&gt;25),$I721/POW(10,$J721)*MAXIFS(Token!$B:$B,Token!$A:$A,$K721)&gt;0.01),$L721/86400+DATE(1970,1,1)+$G$6,)</f>
        <v/>
      </c>
      <c r="B721" s="27" t="str">
        <f t="shared" si="1"/>
        <v/>
      </c>
      <c r="C721" s="14" t="str">
        <f>IF($A721&lt;&gt;"",MINIFS(Merchant!$A:$A,Merchant!$B:$B,$G$2),)</f>
        <v/>
      </c>
      <c r="D721" s="14" t="str">
        <f t="shared" si="2"/>
        <v/>
      </c>
      <c r="E721" s="14" t="str">
        <f t="shared" si="3"/>
        <v/>
      </c>
      <c r="F721" s="7" t="str">
        <f>IF($A721&lt;&gt;"",MAXIFS(Token!$B:$B,Token!$A:$A,$D721),)</f>
        <v/>
      </c>
    </row>
    <row r="722">
      <c r="A722" s="39" t="str">
        <f>IF(AND($L722*1&gt;=$G$3,$L722*1&lt;=$G$4,$I722*$J722&gt;0,OR($I722&lt;&gt;$I723,$L722-$L723&gt;25),$I722/POW(10,$J722)*MAXIFS(Token!$B:$B,Token!$A:$A,$K722)&gt;0.01),$L722/86400+DATE(1970,1,1)+$G$6,)</f>
        <v/>
      </c>
      <c r="B722" s="27" t="str">
        <f t="shared" si="1"/>
        <v/>
      </c>
      <c r="C722" s="14" t="str">
        <f>IF($A722&lt;&gt;"",MINIFS(Merchant!$A:$A,Merchant!$B:$B,$G$2),)</f>
        <v/>
      </c>
      <c r="D722" s="14" t="str">
        <f t="shared" si="2"/>
        <v/>
      </c>
      <c r="E722" s="14" t="str">
        <f t="shared" si="3"/>
        <v/>
      </c>
      <c r="F722" s="7" t="str">
        <f>IF($A722&lt;&gt;"",MAXIFS(Token!$B:$B,Token!$A:$A,$D722),)</f>
        <v/>
      </c>
    </row>
    <row r="723">
      <c r="A723" s="39" t="str">
        <f>IF(AND($L723*1&gt;=$G$3,$L723*1&lt;=$G$4,$I723*$J723&gt;0,OR($I723&lt;&gt;$I724,$L723-$L724&gt;25),$I723/POW(10,$J723)*MAXIFS(Token!$B:$B,Token!$A:$A,$K723)&gt;0.01),$L723/86400+DATE(1970,1,1)+$G$6,)</f>
        <v/>
      </c>
      <c r="B723" s="27" t="str">
        <f t="shared" si="1"/>
        <v/>
      </c>
      <c r="C723" s="14" t="str">
        <f>IF($A723&lt;&gt;"",MINIFS(Merchant!$A:$A,Merchant!$B:$B,$G$2),)</f>
        <v/>
      </c>
      <c r="D723" s="14" t="str">
        <f t="shared" si="2"/>
        <v/>
      </c>
      <c r="E723" s="14" t="str">
        <f t="shared" si="3"/>
        <v/>
      </c>
      <c r="F723" s="7" t="str">
        <f>IF($A723&lt;&gt;"",MAXIFS(Token!$B:$B,Token!$A:$A,$D723),)</f>
        <v/>
      </c>
    </row>
    <row r="724">
      <c r="A724" s="39" t="str">
        <f>IF(AND($L724*1&gt;=$G$3,$L724*1&lt;=$G$4,$I724*$J724&gt;0,OR($I724&lt;&gt;$I725,$L724-$L725&gt;25),$I724/POW(10,$J724)*MAXIFS(Token!$B:$B,Token!$A:$A,$K724)&gt;0.01),$L724/86400+DATE(1970,1,1)+$G$6,)</f>
        <v/>
      </c>
      <c r="B724" s="27" t="str">
        <f t="shared" si="1"/>
        <v/>
      </c>
      <c r="C724" s="14" t="str">
        <f>IF($A724&lt;&gt;"",MINIFS(Merchant!$A:$A,Merchant!$B:$B,$G$2),)</f>
        <v/>
      </c>
      <c r="D724" s="14" t="str">
        <f t="shared" si="2"/>
        <v/>
      </c>
      <c r="E724" s="14" t="str">
        <f t="shared" si="3"/>
        <v/>
      </c>
      <c r="F724" s="7" t="str">
        <f>IF($A724&lt;&gt;"",MAXIFS(Token!$B:$B,Token!$A:$A,$D724),)</f>
        <v/>
      </c>
    </row>
    <row r="725">
      <c r="A725" s="39" t="str">
        <f>IF(AND($L725*1&gt;=$G$3,$L725*1&lt;=$G$4,$I725*$J725&gt;0,OR($I725&lt;&gt;$I726,$L725-$L726&gt;25),$I725/POW(10,$J725)*MAXIFS(Token!$B:$B,Token!$A:$A,$K725)&gt;0.01),$L725/86400+DATE(1970,1,1)+$G$6,)</f>
        <v/>
      </c>
      <c r="B725" s="27" t="str">
        <f t="shared" si="1"/>
        <v/>
      </c>
      <c r="C725" s="14" t="str">
        <f>IF($A725&lt;&gt;"",MINIFS(Merchant!$A:$A,Merchant!$B:$B,$G$2),)</f>
        <v/>
      </c>
      <c r="D725" s="14" t="str">
        <f t="shared" si="2"/>
        <v/>
      </c>
      <c r="E725" s="14" t="str">
        <f t="shared" si="3"/>
        <v/>
      </c>
      <c r="F725" s="7" t="str">
        <f>IF($A725&lt;&gt;"",MAXIFS(Token!$B:$B,Token!$A:$A,$D725),)</f>
        <v/>
      </c>
    </row>
    <row r="726">
      <c r="A726" s="39" t="str">
        <f>IF(AND($L726*1&gt;=$G$3,$L726*1&lt;=$G$4,$I726*$J726&gt;0,OR($I726&lt;&gt;$I727,$L726-$L727&gt;25),$I726/POW(10,$J726)*MAXIFS(Token!$B:$B,Token!$A:$A,$K726)&gt;0.01),$L726/86400+DATE(1970,1,1)+$G$6,)</f>
        <v/>
      </c>
      <c r="B726" s="27" t="str">
        <f t="shared" si="1"/>
        <v/>
      </c>
      <c r="C726" s="14" t="str">
        <f>IF($A726&lt;&gt;"",MINIFS(Merchant!$A:$A,Merchant!$B:$B,$G$2),)</f>
        <v/>
      </c>
      <c r="D726" s="14" t="str">
        <f t="shared" si="2"/>
        <v/>
      </c>
      <c r="E726" s="14" t="str">
        <f t="shared" si="3"/>
        <v/>
      </c>
      <c r="F726" s="7" t="str">
        <f>IF($A726&lt;&gt;"",MAXIFS(Token!$B:$B,Token!$A:$A,$D726),)</f>
        <v/>
      </c>
    </row>
    <row r="727">
      <c r="A727" s="39" t="str">
        <f>IF(AND($L727*1&gt;=$G$3,$L727*1&lt;=$G$4,$I727*$J727&gt;0,OR($I727&lt;&gt;$I728,$L727-$L728&gt;25),$I727/POW(10,$J727)*MAXIFS(Token!$B:$B,Token!$A:$A,$K727)&gt;0.01),$L727/86400+DATE(1970,1,1)+$G$6,)</f>
        <v/>
      </c>
      <c r="B727" s="27" t="str">
        <f t="shared" si="1"/>
        <v/>
      </c>
      <c r="C727" s="14" t="str">
        <f>IF($A727&lt;&gt;"",MINIFS(Merchant!$A:$A,Merchant!$B:$B,$G$2),)</f>
        <v/>
      </c>
      <c r="D727" s="14" t="str">
        <f t="shared" si="2"/>
        <v/>
      </c>
      <c r="E727" s="14" t="str">
        <f t="shared" si="3"/>
        <v/>
      </c>
      <c r="F727" s="7" t="str">
        <f>IF($A727&lt;&gt;"",MAXIFS(Token!$B:$B,Token!$A:$A,$D727),)</f>
        <v/>
      </c>
    </row>
    <row r="728">
      <c r="A728" s="39" t="str">
        <f>IF(AND($L728*1&gt;=$G$3,$L728*1&lt;=$G$4,$I728*$J728&gt;0,OR($I728&lt;&gt;$I729,$L728-$L729&gt;25),$I728/POW(10,$J728)*MAXIFS(Token!$B:$B,Token!$A:$A,$K728)&gt;0.01),$L728/86400+DATE(1970,1,1)+$G$6,)</f>
        <v/>
      </c>
      <c r="B728" s="27" t="str">
        <f t="shared" si="1"/>
        <v/>
      </c>
      <c r="C728" s="14" t="str">
        <f>IF($A728&lt;&gt;"",MINIFS(Merchant!$A:$A,Merchant!$B:$B,$G$2),)</f>
        <v/>
      </c>
      <c r="D728" s="14" t="str">
        <f t="shared" si="2"/>
        <v/>
      </c>
      <c r="E728" s="14" t="str">
        <f t="shared" si="3"/>
        <v/>
      </c>
      <c r="F728" s="7" t="str">
        <f>IF($A728&lt;&gt;"",MAXIFS(Token!$B:$B,Token!$A:$A,$D728),)</f>
        <v/>
      </c>
    </row>
    <row r="729">
      <c r="A729" s="39" t="str">
        <f>IF(AND($L729*1&gt;=$G$3,$L729*1&lt;=$G$4,$I729*$J729&gt;0,OR($I729&lt;&gt;$I730,$L729-$L730&gt;25),$I729/POW(10,$J729)*MAXIFS(Token!$B:$B,Token!$A:$A,$K729)&gt;0.01),$L729/86400+DATE(1970,1,1)+$G$6,)</f>
        <v/>
      </c>
      <c r="B729" s="27" t="str">
        <f t="shared" si="1"/>
        <v/>
      </c>
      <c r="C729" s="14" t="str">
        <f>IF($A729&lt;&gt;"",MINIFS(Merchant!$A:$A,Merchant!$B:$B,$G$2),)</f>
        <v/>
      </c>
      <c r="D729" s="14" t="str">
        <f t="shared" si="2"/>
        <v/>
      </c>
      <c r="E729" s="14" t="str">
        <f t="shared" si="3"/>
        <v/>
      </c>
      <c r="F729" s="7" t="str">
        <f>IF($A729&lt;&gt;"",MAXIFS(Token!$B:$B,Token!$A:$A,$D729),)</f>
        <v/>
      </c>
    </row>
    <row r="730">
      <c r="A730" s="39" t="str">
        <f>IF(AND($L730*1&gt;=$G$3,$L730*1&lt;=$G$4,$I730*$J730&gt;0,OR($I730&lt;&gt;$I731,$L730-$L731&gt;25),$I730/POW(10,$J730)*MAXIFS(Token!$B:$B,Token!$A:$A,$K730)&gt;0.01),$L730/86400+DATE(1970,1,1)+$G$6,)</f>
        <v/>
      </c>
      <c r="B730" s="27" t="str">
        <f t="shared" si="1"/>
        <v/>
      </c>
      <c r="C730" s="14" t="str">
        <f>IF($A730&lt;&gt;"",MINIFS(Merchant!$A:$A,Merchant!$B:$B,$G$2),)</f>
        <v/>
      </c>
      <c r="D730" s="14" t="str">
        <f t="shared" si="2"/>
        <v/>
      </c>
      <c r="E730" s="14" t="str">
        <f t="shared" si="3"/>
        <v/>
      </c>
      <c r="F730" s="7" t="str">
        <f>IF($A730&lt;&gt;"",MAXIFS(Token!$B:$B,Token!$A:$A,$D730),)</f>
        <v/>
      </c>
    </row>
    <row r="731">
      <c r="A731" s="39" t="str">
        <f>IF(AND($L731*1&gt;=$G$3,$L731*1&lt;=$G$4,$I731*$J731&gt;0,OR($I731&lt;&gt;$I732,$L731-$L732&gt;25),$I731/POW(10,$J731)*MAXIFS(Token!$B:$B,Token!$A:$A,$K731)&gt;0.01),$L731/86400+DATE(1970,1,1)+$G$6,)</f>
        <v/>
      </c>
      <c r="B731" s="27" t="str">
        <f t="shared" si="1"/>
        <v/>
      </c>
      <c r="C731" s="14" t="str">
        <f>IF($A731&lt;&gt;"",MINIFS(Merchant!$A:$A,Merchant!$B:$B,$G$2),)</f>
        <v/>
      </c>
      <c r="D731" s="14" t="str">
        <f t="shared" si="2"/>
        <v/>
      </c>
      <c r="E731" s="14" t="str">
        <f t="shared" si="3"/>
        <v/>
      </c>
      <c r="F731" s="7" t="str">
        <f>IF($A731&lt;&gt;"",MAXIFS(Token!$B:$B,Token!$A:$A,$D731),)</f>
        <v/>
      </c>
    </row>
    <row r="732">
      <c r="A732" s="39" t="str">
        <f>IF(AND($L732*1&gt;=$G$3,$L732*1&lt;=$G$4,$I732*$J732&gt;0,OR($I732&lt;&gt;$I733,$L732-$L733&gt;25),$I732/POW(10,$J732)*MAXIFS(Token!$B:$B,Token!$A:$A,$K732)&gt;0.01),$L732/86400+DATE(1970,1,1)+$G$6,)</f>
        <v/>
      </c>
      <c r="B732" s="27" t="str">
        <f t="shared" si="1"/>
        <v/>
      </c>
      <c r="C732" s="14" t="str">
        <f>IF($A732&lt;&gt;"",MINIFS(Merchant!$A:$A,Merchant!$B:$B,$G$2),)</f>
        <v/>
      </c>
      <c r="D732" s="14" t="str">
        <f t="shared" si="2"/>
        <v/>
      </c>
      <c r="E732" s="14" t="str">
        <f t="shared" si="3"/>
        <v/>
      </c>
      <c r="F732" s="7" t="str">
        <f>IF($A732&lt;&gt;"",MAXIFS(Token!$B:$B,Token!$A:$A,$D732),)</f>
        <v/>
      </c>
    </row>
    <row r="733">
      <c r="A733" s="39" t="str">
        <f>IF(AND($L733*1&gt;=$G$3,$L733*1&lt;=$G$4,$I733*$J733&gt;0,OR($I733&lt;&gt;$I734,$L733-$L734&gt;25),$I733/POW(10,$J733)*MAXIFS(Token!$B:$B,Token!$A:$A,$K733)&gt;0.01),$L733/86400+DATE(1970,1,1)+$G$6,)</f>
        <v/>
      </c>
      <c r="B733" s="27" t="str">
        <f t="shared" si="1"/>
        <v/>
      </c>
      <c r="C733" s="14" t="str">
        <f>IF($A733&lt;&gt;"",MINIFS(Merchant!$A:$A,Merchant!$B:$B,$G$2),)</f>
        <v/>
      </c>
      <c r="D733" s="14" t="str">
        <f t="shared" si="2"/>
        <v/>
      </c>
      <c r="E733" s="14" t="str">
        <f t="shared" si="3"/>
        <v/>
      </c>
      <c r="F733" s="7" t="str">
        <f>IF($A733&lt;&gt;"",MAXIFS(Token!$B:$B,Token!$A:$A,$D733),)</f>
        <v/>
      </c>
    </row>
    <row r="734">
      <c r="A734" s="39" t="str">
        <f>IF(AND($L734*1&gt;=$G$3,$L734*1&lt;=$G$4,$I734*$J734&gt;0,OR($I734&lt;&gt;$I735,$L734-$L735&gt;25),$I734/POW(10,$J734)*MAXIFS(Token!$B:$B,Token!$A:$A,$K734)&gt;0.01),$L734/86400+DATE(1970,1,1)+$G$6,)</f>
        <v/>
      </c>
      <c r="B734" s="27" t="str">
        <f t="shared" si="1"/>
        <v/>
      </c>
      <c r="C734" s="14" t="str">
        <f>IF($A734&lt;&gt;"",MINIFS(Merchant!$A:$A,Merchant!$B:$B,$G$2),)</f>
        <v/>
      </c>
      <c r="D734" s="14" t="str">
        <f t="shared" si="2"/>
        <v/>
      </c>
      <c r="E734" s="14" t="str">
        <f t="shared" si="3"/>
        <v/>
      </c>
      <c r="F734" s="7" t="str">
        <f>IF($A734&lt;&gt;"",MAXIFS(Token!$B:$B,Token!$A:$A,$D734),)</f>
        <v/>
      </c>
    </row>
    <row r="735">
      <c r="A735" s="39" t="str">
        <f>IF(AND($L735*1&gt;=$G$3,$L735*1&lt;=$G$4,$I735*$J735&gt;0,OR($I735&lt;&gt;$I736,$L735-$L736&gt;25),$I735/POW(10,$J735)*MAXIFS(Token!$B:$B,Token!$A:$A,$K735)&gt;0.01),$L735/86400+DATE(1970,1,1)+$G$6,)</f>
        <v/>
      </c>
      <c r="B735" s="27" t="str">
        <f t="shared" si="1"/>
        <v/>
      </c>
      <c r="C735" s="14" t="str">
        <f>IF($A735&lt;&gt;"",MINIFS(Merchant!$A:$A,Merchant!$B:$B,$G$2),)</f>
        <v/>
      </c>
      <c r="D735" s="14" t="str">
        <f t="shared" si="2"/>
        <v/>
      </c>
      <c r="E735" s="14" t="str">
        <f t="shared" si="3"/>
        <v/>
      </c>
      <c r="F735" s="7" t="str">
        <f>IF($A735&lt;&gt;"",MAXIFS(Token!$B:$B,Token!$A:$A,$D735),)</f>
        <v/>
      </c>
    </row>
    <row r="736">
      <c r="A736" s="39" t="str">
        <f>IF(AND($L736*1&gt;=$G$3,$L736*1&lt;=$G$4,$I736*$J736&gt;0,OR($I736&lt;&gt;$I737,$L736-$L737&gt;25),$I736/POW(10,$J736)*MAXIFS(Token!$B:$B,Token!$A:$A,$K736)&gt;0.01),$L736/86400+DATE(1970,1,1)+$G$6,)</f>
        <v/>
      </c>
      <c r="B736" s="27" t="str">
        <f t="shared" si="1"/>
        <v/>
      </c>
      <c r="C736" s="14" t="str">
        <f>IF($A736&lt;&gt;"",MINIFS(Merchant!$A:$A,Merchant!$B:$B,$G$2),)</f>
        <v/>
      </c>
      <c r="D736" s="14" t="str">
        <f t="shared" si="2"/>
        <v/>
      </c>
      <c r="E736" s="14" t="str">
        <f t="shared" si="3"/>
        <v/>
      </c>
      <c r="F736" s="7" t="str">
        <f>IF($A736&lt;&gt;"",MAXIFS(Token!$B:$B,Token!$A:$A,$D736),)</f>
        <v/>
      </c>
    </row>
    <row r="737">
      <c r="A737" s="39" t="str">
        <f>IF(AND($L737*1&gt;=$G$3,$L737*1&lt;=$G$4,$I737*$J737&gt;0,OR($I737&lt;&gt;$I738,$L737-$L738&gt;25),$I737/POW(10,$J737)*MAXIFS(Token!$B:$B,Token!$A:$A,$K737)&gt;0.01),$L737/86400+DATE(1970,1,1)+$G$6,)</f>
        <v/>
      </c>
      <c r="B737" s="27" t="str">
        <f t="shared" si="1"/>
        <v/>
      </c>
      <c r="C737" s="14" t="str">
        <f>IF($A737&lt;&gt;"",MINIFS(Merchant!$A:$A,Merchant!$B:$B,$G$2),)</f>
        <v/>
      </c>
      <c r="D737" s="14" t="str">
        <f t="shared" si="2"/>
        <v/>
      </c>
      <c r="E737" s="14" t="str">
        <f t="shared" si="3"/>
        <v/>
      </c>
      <c r="F737" s="7" t="str">
        <f>IF($A737&lt;&gt;"",MAXIFS(Token!$B:$B,Token!$A:$A,$D737),)</f>
        <v/>
      </c>
    </row>
    <row r="738">
      <c r="A738" s="39" t="str">
        <f>IF(AND($L738*1&gt;=$G$3,$L738*1&lt;=$G$4,$I738*$J738&gt;0,OR($I738&lt;&gt;$I739,$L738-$L739&gt;25),$I738/POW(10,$J738)*MAXIFS(Token!$B:$B,Token!$A:$A,$K738)&gt;0.01),$L738/86400+DATE(1970,1,1)+$G$6,)</f>
        <v/>
      </c>
      <c r="B738" s="27" t="str">
        <f t="shared" si="1"/>
        <v/>
      </c>
      <c r="C738" s="14" t="str">
        <f>IF($A738&lt;&gt;"",MINIFS(Merchant!$A:$A,Merchant!$B:$B,$G$2),)</f>
        <v/>
      </c>
      <c r="D738" s="14" t="str">
        <f t="shared" si="2"/>
        <v/>
      </c>
      <c r="E738" s="14" t="str">
        <f t="shared" si="3"/>
        <v/>
      </c>
      <c r="F738" s="7" t="str">
        <f>IF($A738&lt;&gt;"",MAXIFS(Token!$B:$B,Token!$A:$A,$D738),)</f>
        <v/>
      </c>
    </row>
    <row r="739">
      <c r="A739" s="39" t="str">
        <f>IF(AND($L739*1&gt;=$G$3,$L739*1&lt;=$G$4,$I739*$J739&gt;0,OR($I739&lt;&gt;$I740,$L739-$L740&gt;25),$I739/POW(10,$J739)*MAXIFS(Token!$B:$B,Token!$A:$A,$K739)&gt;0.01),$L739/86400+DATE(1970,1,1)+$G$6,)</f>
        <v/>
      </c>
      <c r="B739" s="27" t="str">
        <f t="shared" si="1"/>
        <v/>
      </c>
      <c r="C739" s="14" t="str">
        <f>IF($A739&lt;&gt;"",MINIFS(Merchant!$A:$A,Merchant!$B:$B,$G$2),)</f>
        <v/>
      </c>
      <c r="D739" s="14" t="str">
        <f t="shared" si="2"/>
        <v/>
      </c>
      <c r="E739" s="14" t="str">
        <f t="shared" si="3"/>
        <v/>
      </c>
      <c r="F739" s="7" t="str">
        <f>IF($A739&lt;&gt;"",MAXIFS(Token!$B:$B,Token!$A:$A,$D739),)</f>
        <v/>
      </c>
    </row>
    <row r="740">
      <c r="A740" s="39" t="str">
        <f>IF(AND($L740*1&gt;=$G$3,$L740*1&lt;=$G$4,$I740*$J740&gt;0,OR($I740&lt;&gt;$I741,$L740-$L741&gt;25),$I740/POW(10,$J740)*MAXIFS(Token!$B:$B,Token!$A:$A,$K740)&gt;0.01),$L740/86400+DATE(1970,1,1)+$G$6,)</f>
        <v/>
      </c>
      <c r="B740" s="27" t="str">
        <f t="shared" si="1"/>
        <v/>
      </c>
      <c r="C740" s="14" t="str">
        <f>IF($A740&lt;&gt;"",MINIFS(Merchant!$A:$A,Merchant!$B:$B,$G$2),)</f>
        <v/>
      </c>
      <c r="D740" s="14" t="str">
        <f t="shared" si="2"/>
        <v/>
      </c>
      <c r="E740" s="14" t="str">
        <f t="shared" si="3"/>
        <v/>
      </c>
      <c r="F740" s="7" t="str">
        <f>IF($A740&lt;&gt;"",MAXIFS(Token!$B:$B,Token!$A:$A,$D740),)</f>
        <v/>
      </c>
    </row>
    <row r="741">
      <c r="A741" s="39" t="str">
        <f>IF(AND($L741*1&gt;=$G$3,$L741*1&lt;=$G$4,$I741*$J741&gt;0,OR($I741&lt;&gt;$I742,$L741-$L742&gt;25),$I741/POW(10,$J741)*MAXIFS(Token!$B:$B,Token!$A:$A,$K741)&gt;0.01),$L741/86400+DATE(1970,1,1)+$G$6,)</f>
        <v/>
      </c>
      <c r="B741" s="27" t="str">
        <f t="shared" si="1"/>
        <v/>
      </c>
      <c r="C741" s="14" t="str">
        <f>IF($A741&lt;&gt;"",MINIFS(Merchant!$A:$A,Merchant!$B:$B,$G$2),)</f>
        <v/>
      </c>
      <c r="D741" s="14" t="str">
        <f t="shared" si="2"/>
        <v/>
      </c>
      <c r="E741" s="14" t="str">
        <f t="shared" si="3"/>
        <v/>
      </c>
      <c r="F741" s="7" t="str">
        <f>IF($A741&lt;&gt;"",MAXIFS(Token!$B:$B,Token!$A:$A,$D741),)</f>
        <v/>
      </c>
    </row>
    <row r="742">
      <c r="A742" s="39" t="str">
        <f>IF(AND($L742*1&gt;=$G$3,$L742*1&lt;=$G$4,$I742*$J742&gt;0,OR($I742&lt;&gt;$I743,$L742-$L743&gt;25),$I742/POW(10,$J742)*MAXIFS(Token!$B:$B,Token!$A:$A,$K742)&gt;0.01),$L742/86400+DATE(1970,1,1)+$G$6,)</f>
        <v/>
      </c>
      <c r="B742" s="27" t="str">
        <f t="shared" si="1"/>
        <v/>
      </c>
      <c r="C742" s="14" t="str">
        <f>IF($A742&lt;&gt;"",MINIFS(Merchant!$A:$A,Merchant!$B:$B,$G$2),)</f>
        <v/>
      </c>
      <c r="D742" s="14" t="str">
        <f t="shared" si="2"/>
        <v/>
      </c>
      <c r="E742" s="14" t="str">
        <f t="shared" si="3"/>
        <v/>
      </c>
      <c r="F742" s="7" t="str">
        <f>IF($A742&lt;&gt;"",MAXIFS(Token!$B:$B,Token!$A:$A,$D742),)</f>
        <v/>
      </c>
    </row>
    <row r="743">
      <c r="A743" s="39" t="str">
        <f>IF(AND($L743*1&gt;=$G$3,$L743*1&lt;=$G$4,$I743*$J743&gt;0,OR($I743&lt;&gt;$I744,$L743-$L744&gt;25),$I743/POW(10,$J743)*MAXIFS(Token!$B:$B,Token!$A:$A,$K743)&gt;0.01),$L743/86400+DATE(1970,1,1)+$G$6,)</f>
        <v/>
      </c>
      <c r="B743" s="27" t="str">
        <f t="shared" si="1"/>
        <v/>
      </c>
      <c r="C743" s="14" t="str">
        <f>IF($A743&lt;&gt;"",MINIFS(Merchant!$A:$A,Merchant!$B:$B,$G$2),)</f>
        <v/>
      </c>
      <c r="D743" s="14" t="str">
        <f t="shared" si="2"/>
        <v/>
      </c>
      <c r="E743" s="14" t="str">
        <f t="shared" si="3"/>
        <v/>
      </c>
      <c r="F743" s="7" t="str">
        <f>IF($A743&lt;&gt;"",MAXIFS(Token!$B:$B,Token!$A:$A,$D743),)</f>
        <v/>
      </c>
    </row>
    <row r="744">
      <c r="A744" s="39" t="str">
        <f>IF(AND($L744*1&gt;=$G$3,$L744*1&lt;=$G$4,$I744*$J744&gt;0,OR($I744&lt;&gt;$I745,$L744-$L745&gt;25),$I744/POW(10,$J744)*MAXIFS(Token!$B:$B,Token!$A:$A,$K744)&gt;0.01),$L744/86400+DATE(1970,1,1)+$G$6,)</f>
        <v/>
      </c>
      <c r="B744" s="27" t="str">
        <f t="shared" si="1"/>
        <v/>
      </c>
      <c r="C744" s="14" t="str">
        <f>IF($A744&lt;&gt;"",MINIFS(Merchant!$A:$A,Merchant!$B:$B,$G$2),)</f>
        <v/>
      </c>
      <c r="D744" s="14" t="str">
        <f t="shared" si="2"/>
        <v/>
      </c>
      <c r="E744" s="14" t="str">
        <f t="shared" si="3"/>
        <v/>
      </c>
      <c r="F744" s="7" t="str">
        <f>IF($A744&lt;&gt;"",MAXIFS(Token!$B:$B,Token!$A:$A,$D744),)</f>
        <v/>
      </c>
    </row>
    <row r="745">
      <c r="A745" s="39" t="str">
        <f>IF(AND($L745*1&gt;=$G$3,$L745*1&lt;=$G$4,$I745*$J745&gt;0,OR($I745&lt;&gt;$I746,$L745-$L746&gt;25),$I745/POW(10,$J745)*MAXIFS(Token!$B:$B,Token!$A:$A,$K745)&gt;0.01),$L745/86400+DATE(1970,1,1)+$G$6,)</f>
        <v/>
      </c>
      <c r="B745" s="27" t="str">
        <f t="shared" si="1"/>
        <v/>
      </c>
      <c r="C745" s="14" t="str">
        <f>IF($A745&lt;&gt;"",MINIFS(Merchant!$A:$A,Merchant!$B:$B,$G$2),)</f>
        <v/>
      </c>
      <c r="D745" s="14" t="str">
        <f t="shared" si="2"/>
        <v/>
      </c>
      <c r="E745" s="14" t="str">
        <f t="shared" si="3"/>
        <v/>
      </c>
      <c r="F745" s="7" t="str">
        <f>IF($A745&lt;&gt;"",MAXIFS(Token!$B:$B,Token!$A:$A,$D745),)</f>
        <v/>
      </c>
    </row>
    <row r="746">
      <c r="A746" s="39" t="str">
        <f>IF(AND($L746*1&gt;=$G$3,$L746*1&lt;=$G$4,$I746*$J746&gt;0,OR($I746&lt;&gt;$I747,$L746-$L747&gt;25),$I746/POW(10,$J746)*MAXIFS(Token!$B:$B,Token!$A:$A,$K746)&gt;0.01),$L746/86400+DATE(1970,1,1)+$G$6,)</f>
        <v/>
      </c>
      <c r="B746" s="27" t="str">
        <f t="shared" si="1"/>
        <v/>
      </c>
      <c r="C746" s="14" t="str">
        <f>IF($A746&lt;&gt;"",MINIFS(Merchant!$A:$A,Merchant!$B:$B,$G$2),)</f>
        <v/>
      </c>
      <c r="D746" s="14" t="str">
        <f t="shared" si="2"/>
        <v/>
      </c>
      <c r="E746" s="14" t="str">
        <f t="shared" si="3"/>
        <v/>
      </c>
      <c r="F746" s="7" t="str">
        <f>IF($A746&lt;&gt;"",MAXIFS(Token!$B:$B,Token!$A:$A,$D746),)</f>
        <v/>
      </c>
    </row>
    <row r="747">
      <c r="A747" s="39" t="str">
        <f>IF(AND($L747*1&gt;=$G$3,$L747*1&lt;=$G$4,$I747*$J747&gt;0,OR($I747&lt;&gt;$I748,$L747-$L748&gt;25),$I747/POW(10,$J747)*MAXIFS(Token!$B:$B,Token!$A:$A,$K747)&gt;0.01),$L747/86400+DATE(1970,1,1)+$G$6,)</f>
        <v/>
      </c>
      <c r="B747" s="27" t="str">
        <f t="shared" si="1"/>
        <v/>
      </c>
      <c r="C747" s="14" t="str">
        <f>IF($A747&lt;&gt;"",MINIFS(Merchant!$A:$A,Merchant!$B:$B,$G$2),)</f>
        <v/>
      </c>
      <c r="D747" s="14" t="str">
        <f t="shared" si="2"/>
        <v/>
      </c>
      <c r="E747" s="14" t="str">
        <f t="shared" si="3"/>
        <v/>
      </c>
      <c r="F747" s="7" t="str">
        <f>IF($A747&lt;&gt;"",MAXIFS(Token!$B:$B,Token!$A:$A,$D747),)</f>
        <v/>
      </c>
    </row>
    <row r="748">
      <c r="A748" s="39" t="str">
        <f>IF(AND($L748*1&gt;=$G$3,$L748*1&lt;=$G$4,$I748*$J748&gt;0,OR($I748&lt;&gt;$I749,$L748-$L749&gt;25),$I748/POW(10,$J748)*MAXIFS(Token!$B:$B,Token!$A:$A,$K748)&gt;0.01),$L748/86400+DATE(1970,1,1)+$G$6,)</f>
        <v/>
      </c>
      <c r="B748" s="27" t="str">
        <f t="shared" si="1"/>
        <v/>
      </c>
      <c r="C748" s="14" t="str">
        <f>IF($A748&lt;&gt;"",MINIFS(Merchant!$A:$A,Merchant!$B:$B,$G$2),)</f>
        <v/>
      </c>
      <c r="D748" s="14" t="str">
        <f t="shared" si="2"/>
        <v/>
      </c>
      <c r="E748" s="14" t="str">
        <f t="shared" si="3"/>
        <v/>
      </c>
      <c r="F748" s="7" t="str">
        <f>IF($A748&lt;&gt;"",MAXIFS(Token!$B:$B,Token!$A:$A,$D748),)</f>
        <v/>
      </c>
    </row>
    <row r="749">
      <c r="A749" s="39" t="str">
        <f>IF(AND($L749*1&gt;=$G$3,$L749*1&lt;=$G$4,$I749*$J749&gt;0,OR($I749&lt;&gt;$I750,$L749-$L750&gt;25),$I749/POW(10,$J749)*MAXIFS(Token!$B:$B,Token!$A:$A,$K749)&gt;0.01),$L749/86400+DATE(1970,1,1)+$G$6,)</f>
        <v/>
      </c>
      <c r="B749" s="27" t="str">
        <f t="shared" si="1"/>
        <v/>
      </c>
      <c r="C749" s="14" t="str">
        <f>IF($A749&lt;&gt;"",MINIFS(Merchant!$A:$A,Merchant!$B:$B,$G$2),)</f>
        <v/>
      </c>
      <c r="D749" s="14" t="str">
        <f t="shared" si="2"/>
        <v/>
      </c>
      <c r="E749" s="14" t="str">
        <f t="shared" si="3"/>
        <v/>
      </c>
      <c r="F749" s="7" t="str">
        <f>IF($A749&lt;&gt;"",MAXIFS(Token!$B:$B,Token!$A:$A,$D749),)</f>
        <v/>
      </c>
    </row>
    <row r="750">
      <c r="A750" s="39" t="str">
        <f>IF(AND($L750*1&gt;=$G$3,$L750*1&lt;=$G$4,$I750*$J750&gt;0,OR($I750&lt;&gt;$I751,$L750-$L751&gt;25),$I750/POW(10,$J750)*MAXIFS(Token!$B:$B,Token!$A:$A,$K750)&gt;0.01),$L750/86400+DATE(1970,1,1)+$G$6,)</f>
        <v/>
      </c>
      <c r="B750" s="27" t="str">
        <f t="shared" si="1"/>
        <v/>
      </c>
      <c r="C750" s="14" t="str">
        <f>IF($A750&lt;&gt;"",MINIFS(Merchant!$A:$A,Merchant!$B:$B,$G$2),)</f>
        <v/>
      </c>
      <c r="D750" s="14" t="str">
        <f t="shared" si="2"/>
        <v/>
      </c>
      <c r="E750" s="14" t="str">
        <f t="shared" si="3"/>
        <v/>
      </c>
      <c r="F750" s="7" t="str">
        <f>IF($A750&lt;&gt;"",MAXIFS(Token!$B:$B,Token!$A:$A,$D750),)</f>
        <v/>
      </c>
    </row>
    <row r="751">
      <c r="A751" s="39" t="str">
        <f>IF(AND($L751*1&gt;=$G$3,$L751*1&lt;=$G$4,$I751*$J751&gt;0,OR($I751&lt;&gt;$I752,$L751-$L752&gt;25),$I751/POW(10,$J751)*MAXIFS(Token!$B:$B,Token!$A:$A,$K751)&gt;0.01),$L751/86400+DATE(1970,1,1)+$G$6,)</f>
        <v/>
      </c>
      <c r="B751" s="27" t="str">
        <f t="shared" si="1"/>
        <v/>
      </c>
      <c r="C751" s="14" t="str">
        <f>IF($A751&lt;&gt;"",MINIFS(Merchant!$A:$A,Merchant!$B:$B,$G$2),)</f>
        <v/>
      </c>
      <c r="D751" s="14" t="str">
        <f t="shared" si="2"/>
        <v/>
      </c>
      <c r="E751" s="14" t="str">
        <f t="shared" si="3"/>
        <v/>
      </c>
      <c r="F751" s="7" t="str">
        <f>IF($A751&lt;&gt;"",MAXIFS(Token!$B:$B,Token!$A:$A,$D751),)</f>
        <v/>
      </c>
    </row>
    <row r="752">
      <c r="A752" s="39" t="str">
        <f>IF(AND($L752*1&gt;=$G$3,$L752*1&lt;=$G$4,$I752*$J752&gt;0,OR($I752&lt;&gt;$I753,$L752-$L753&gt;25),$I752/POW(10,$J752)*MAXIFS(Token!$B:$B,Token!$A:$A,$K752)&gt;0.01),$L752/86400+DATE(1970,1,1)+$G$6,)</f>
        <v/>
      </c>
      <c r="B752" s="27" t="str">
        <f t="shared" si="1"/>
        <v/>
      </c>
      <c r="C752" s="14" t="str">
        <f>IF($A752&lt;&gt;"",MINIFS(Merchant!$A:$A,Merchant!$B:$B,$G$2),)</f>
        <v/>
      </c>
      <c r="D752" s="14" t="str">
        <f t="shared" si="2"/>
        <v/>
      </c>
      <c r="E752" s="14" t="str">
        <f t="shared" si="3"/>
        <v/>
      </c>
      <c r="F752" s="7" t="str">
        <f>IF($A752&lt;&gt;"",MAXIFS(Token!$B:$B,Token!$A:$A,$D752),)</f>
        <v/>
      </c>
    </row>
    <row r="753">
      <c r="A753" s="39" t="str">
        <f>IF(AND($L753*1&gt;=$G$3,$L753*1&lt;=$G$4,$I753*$J753&gt;0,OR($I753&lt;&gt;$I754,$L753-$L754&gt;25),$I753/POW(10,$J753)*MAXIFS(Token!$B:$B,Token!$A:$A,$K753)&gt;0.01),$L753/86400+DATE(1970,1,1)+$G$6,)</f>
        <v/>
      </c>
      <c r="B753" s="27" t="str">
        <f t="shared" si="1"/>
        <v/>
      </c>
      <c r="C753" s="14" t="str">
        <f>IF($A753&lt;&gt;"",MINIFS(Merchant!$A:$A,Merchant!$B:$B,$G$2),)</f>
        <v/>
      </c>
      <c r="D753" s="14" t="str">
        <f t="shared" si="2"/>
        <v/>
      </c>
      <c r="E753" s="14" t="str">
        <f t="shared" si="3"/>
        <v/>
      </c>
      <c r="F753" s="7" t="str">
        <f>IF($A753&lt;&gt;"",MAXIFS(Token!$B:$B,Token!$A:$A,$D753),)</f>
        <v/>
      </c>
    </row>
    <row r="754">
      <c r="A754" s="39" t="str">
        <f>IF(AND($L754*1&gt;=$G$3,$L754*1&lt;=$G$4,$I754*$J754&gt;0,OR($I754&lt;&gt;$I755,$L754-$L755&gt;25),$I754/POW(10,$J754)*MAXIFS(Token!$B:$B,Token!$A:$A,$K754)&gt;0.01),$L754/86400+DATE(1970,1,1)+$G$6,)</f>
        <v/>
      </c>
      <c r="B754" s="27" t="str">
        <f t="shared" si="1"/>
        <v/>
      </c>
      <c r="C754" s="14" t="str">
        <f>IF($A754&lt;&gt;"",MINIFS(Merchant!$A:$A,Merchant!$B:$B,$G$2),)</f>
        <v/>
      </c>
      <c r="D754" s="14" t="str">
        <f t="shared" si="2"/>
        <v/>
      </c>
      <c r="E754" s="14" t="str">
        <f t="shared" si="3"/>
        <v/>
      </c>
      <c r="F754" s="7" t="str">
        <f>IF($A754&lt;&gt;"",MAXIFS(Token!$B:$B,Token!$A:$A,$D754),)</f>
        <v/>
      </c>
    </row>
    <row r="755">
      <c r="A755" s="39" t="str">
        <f>IF(AND($L755*1&gt;=$G$3,$L755*1&lt;=$G$4,$I755*$J755&gt;0,OR($I755&lt;&gt;$I756,$L755-$L756&gt;25),$I755/POW(10,$J755)*MAXIFS(Token!$B:$B,Token!$A:$A,$K755)&gt;0.01),$L755/86400+DATE(1970,1,1)+$G$6,)</f>
        <v/>
      </c>
      <c r="B755" s="27" t="str">
        <f t="shared" si="1"/>
        <v/>
      </c>
      <c r="C755" s="14" t="str">
        <f>IF($A755&lt;&gt;"",MINIFS(Merchant!$A:$A,Merchant!$B:$B,$G$2),)</f>
        <v/>
      </c>
      <c r="D755" s="14" t="str">
        <f t="shared" si="2"/>
        <v/>
      </c>
      <c r="E755" s="14" t="str">
        <f t="shared" si="3"/>
        <v/>
      </c>
      <c r="F755" s="7" t="str">
        <f>IF($A755&lt;&gt;"",MAXIFS(Token!$B:$B,Token!$A:$A,$D755),)</f>
        <v/>
      </c>
    </row>
    <row r="756">
      <c r="A756" s="39" t="str">
        <f>IF(AND($L756*1&gt;=$G$3,$L756*1&lt;=$G$4,$I756*$J756&gt;0,OR($I756&lt;&gt;$I757,$L756-$L757&gt;25),$I756/POW(10,$J756)*MAXIFS(Token!$B:$B,Token!$A:$A,$K756)&gt;0.01),$L756/86400+DATE(1970,1,1)+$G$6,)</f>
        <v/>
      </c>
      <c r="B756" s="27" t="str">
        <f t="shared" si="1"/>
        <v/>
      </c>
      <c r="C756" s="14" t="str">
        <f>IF($A756&lt;&gt;"",MINIFS(Merchant!$A:$A,Merchant!$B:$B,$G$2),)</f>
        <v/>
      </c>
      <c r="D756" s="14" t="str">
        <f t="shared" si="2"/>
        <v/>
      </c>
      <c r="E756" s="14" t="str">
        <f t="shared" si="3"/>
        <v/>
      </c>
      <c r="F756" s="7" t="str">
        <f>IF($A756&lt;&gt;"",MAXIFS(Token!$B:$B,Token!$A:$A,$D756),)</f>
        <v/>
      </c>
    </row>
    <row r="757">
      <c r="A757" s="39" t="str">
        <f>IF(AND($L757*1&gt;=$G$3,$L757*1&lt;=$G$4,$I757*$J757&gt;0,OR($I757&lt;&gt;$I758,$L757-$L758&gt;25),$I757/POW(10,$J757)*MAXIFS(Token!$B:$B,Token!$A:$A,$K757)&gt;0.01),$L757/86400+DATE(1970,1,1)+$G$6,)</f>
        <v/>
      </c>
      <c r="B757" s="27" t="str">
        <f t="shared" si="1"/>
        <v/>
      </c>
      <c r="C757" s="14" t="str">
        <f>IF($A757&lt;&gt;"",MINIFS(Merchant!$A:$A,Merchant!$B:$B,$G$2),)</f>
        <v/>
      </c>
      <c r="D757" s="14" t="str">
        <f t="shared" si="2"/>
        <v/>
      </c>
      <c r="E757" s="14" t="str">
        <f t="shared" si="3"/>
        <v/>
      </c>
      <c r="F757" s="7" t="str">
        <f>IF($A757&lt;&gt;"",MAXIFS(Token!$B:$B,Token!$A:$A,$D757),)</f>
        <v/>
      </c>
    </row>
    <row r="758">
      <c r="A758" s="39" t="str">
        <f>IF(AND($L758*1&gt;=$G$3,$L758*1&lt;=$G$4,$I758*$J758&gt;0,OR($I758&lt;&gt;$I759,$L758-$L759&gt;25),$I758/POW(10,$J758)*MAXIFS(Token!$B:$B,Token!$A:$A,$K758)&gt;0.01),$L758/86400+DATE(1970,1,1)+$G$6,)</f>
        <v/>
      </c>
      <c r="B758" s="27" t="str">
        <f t="shared" si="1"/>
        <v/>
      </c>
      <c r="C758" s="14" t="str">
        <f>IF($A758&lt;&gt;"",MINIFS(Merchant!$A:$A,Merchant!$B:$B,$G$2),)</f>
        <v/>
      </c>
      <c r="D758" s="14" t="str">
        <f t="shared" si="2"/>
        <v/>
      </c>
      <c r="E758" s="14" t="str">
        <f t="shared" si="3"/>
        <v/>
      </c>
      <c r="F758" s="7" t="str">
        <f>IF($A758&lt;&gt;"",MAXIFS(Token!$B:$B,Token!$A:$A,$D758),)</f>
        <v/>
      </c>
    </row>
    <row r="759">
      <c r="A759" s="39" t="str">
        <f>IF(AND($L759*1&gt;=$G$3,$L759*1&lt;=$G$4,$I759*$J759&gt;0,OR($I759&lt;&gt;$I760,$L759-$L760&gt;25),$I759/POW(10,$J759)*MAXIFS(Token!$B:$B,Token!$A:$A,$K759)&gt;0.01),$L759/86400+DATE(1970,1,1)+$G$6,)</f>
        <v/>
      </c>
      <c r="B759" s="27" t="str">
        <f t="shared" si="1"/>
        <v/>
      </c>
      <c r="C759" s="14" t="str">
        <f>IF($A759&lt;&gt;"",MINIFS(Merchant!$A:$A,Merchant!$B:$B,$G$2),)</f>
        <v/>
      </c>
      <c r="D759" s="14" t="str">
        <f t="shared" si="2"/>
        <v/>
      </c>
      <c r="E759" s="14" t="str">
        <f t="shared" si="3"/>
        <v/>
      </c>
      <c r="F759" s="7" t="str">
        <f>IF($A759&lt;&gt;"",MAXIFS(Token!$B:$B,Token!$A:$A,$D759),)</f>
        <v/>
      </c>
    </row>
    <row r="760">
      <c r="A760" s="39" t="str">
        <f>IF(AND($L760*1&gt;=$G$3,$L760*1&lt;=$G$4,$I760*$J760&gt;0,OR($I760&lt;&gt;$I761,$L760-$L761&gt;25),$I760/POW(10,$J760)*MAXIFS(Token!$B:$B,Token!$A:$A,$K760)&gt;0.01),$L760/86400+DATE(1970,1,1)+$G$6,)</f>
        <v/>
      </c>
      <c r="B760" s="27" t="str">
        <f t="shared" si="1"/>
        <v/>
      </c>
      <c r="C760" s="14" t="str">
        <f>IF($A760&lt;&gt;"",MINIFS(Merchant!$A:$A,Merchant!$B:$B,$G$2),)</f>
        <v/>
      </c>
      <c r="D760" s="14" t="str">
        <f t="shared" si="2"/>
        <v/>
      </c>
      <c r="E760" s="14" t="str">
        <f t="shared" si="3"/>
        <v/>
      </c>
      <c r="F760" s="7" t="str">
        <f>IF($A760&lt;&gt;"",MAXIFS(Token!$B:$B,Token!$A:$A,$D760),)</f>
        <v/>
      </c>
    </row>
    <row r="761">
      <c r="A761" s="39" t="str">
        <f>IF(AND($L761*1&gt;=$G$3,$L761*1&lt;=$G$4,$I761*$J761&gt;0,OR($I761&lt;&gt;$I762,$L761-$L762&gt;25),$I761/POW(10,$J761)*MAXIFS(Token!$B:$B,Token!$A:$A,$K761)&gt;0.01),$L761/86400+DATE(1970,1,1)+$G$6,)</f>
        <v/>
      </c>
      <c r="B761" s="27" t="str">
        <f t="shared" si="1"/>
        <v/>
      </c>
      <c r="C761" s="14" t="str">
        <f>IF($A761&lt;&gt;"",MINIFS(Merchant!$A:$A,Merchant!$B:$B,$G$2),)</f>
        <v/>
      </c>
      <c r="D761" s="14" t="str">
        <f t="shared" si="2"/>
        <v/>
      </c>
      <c r="E761" s="14" t="str">
        <f t="shared" si="3"/>
        <v/>
      </c>
      <c r="F761" s="7" t="str">
        <f>IF($A761&lt;&gt;"",MAXIFS(Token!$B:$B,Token!$A:$A,$D761),)</f>
        <v/>
      </c>
    </row>
    <row r="762">
      <c r="A762" s="39" t="str">
        <f>IF(AND($L762*1&gt;=$G$3,$L762*1&lt;=$G$4,$I762*$J762&gt;0,OR($I762&lt;&gt;$I763,$L762-$L763&gt;25),$I762/POW(10,$J762)*MAXIFS(Token!$B:$B,Token!$A:$A,$K762)&gt;0.01),$L762/86400+DATE(1970,1,1)+$G$6,)</f>
        <v/>
      </c>
      <c r="B762" s="27" t="str">
        <f t="shared" si="1"/>
        <v/>
      </c>
      <c r="C762" s="14" t="str">
        <f>IF($A762&lt;&gt;"",MINIFS(Merchant!$A:$A,Merchant!$B:$B,$G$2),)</f>
        <v/>
      </c>
      <c r="D762" s="14" t="str">
        <f t="shared" si="2"/>
        <v/>
      </c>
      <c r="E762" s="14" t="str">
        <f t="shared" si="3"/>
        <v/>
      </c>
      <c r="F762" s="7" t="str">
        <f>IF($A762&lt;&gt;"",MAXIFS(Token!$B:$B,Token!$A:$A,$D762),)</f>
        <v/>
      </c>
    </row>
    <row r="763">
      <c r="A763" s="39" t="str">
        <f>IF(AND($L763*1&gt;=$G$3,$L763*1&lt;=$G$4,$I763*$J763&gt;0,OR($I763&lt;&gt;$I764,$L763-$L764&gt;25),$I763/POW(10,$J763)*MAXIFS(Token!$B:$B,Token!$A:$A,$K763)&gt;0.01),$L763/86400+DATE(1970,1,1)+$G$6,)</f>
        <v/>
      </c>
      <c r="B763" s="27" t="str">
        <f t="shared" si="1"/>
        <v/>
      </c>
      <c r="C763" s="14" t="str">
        <f>IF($A763&lt;&gt;"",MINIFS(Merchant!$A:$A,Merchant!$B:$B,$G$2),)</f>
        <v/>
      </c>
      <c r="D763" s="14" t="str">
        <f t="shared" si="2"/>
        <v/>
      </c>
      <c r="E763" s="14" t="str">
        <f t="shared" si="3"/>
        <v/>
      </c>
      <c r="F763" s="7" t="str">
        <f>IF($A763&lt;&gt;"",MAXIFS(Token!$B:$B,Token!$A:$A,$D763),)</f>
        <v/>
      </c>
    </row>
    <row r="764">
      <c r="A764" s="39" t="str">
        <f>IF(AND($L764*1&gt;=$G$3,$L764*1&lt;=$G$4,$I764*$J764&gt;0,OR($I764&lt;&gt;$I765,$L764-$L765&gt;25),$I764/POW(10,$J764)*MAXIFS(Token!$B:$B,Token!$A:$A,$K764)&gt;0.01),$L764/86400+DATE(1970,1,1)+$G$6,)</f>
        <v/>
      </c>
      <c r="B764" s="27" t="str">
        <f t="shared" si="1"/>
        <v/>
      </c>
      <c r="C764" s="14" t="str">
        <f>IF($A764&lt;&gt;"",MINIFS(Merchant!$A:$A,Merchant!$B:$B,$G$2),)</f>
        <v/>
      </c>
      <c r="D764" s="14" t="str">
        <f t="shared" si="2"/>
        <v/>
      </c>
      <c r="E764" s="14" t="str">
        <f t="shared" si="3"/>
        <v/>
      </c>
      <c r="F764" s="7" t="str">
        <f>IF($A764&lt;&gt;"",MAXIFS(Token!$B:$B,Token!$A:$A,$D764),)</f>
        <v/>
      </c>
    </row>
    <row r="765">
      <c r="A765" s="39" t="str">
        <f>IF(AND($L765*1&gt;=$G$3,$L765*1&lt;=$G$4,$I765*$J765&gt;0,OR($I765&lt;&gt;$I766,$L765-$L766&gt;25),$I765/POW(10,$J765)*MAXIFS(Token!$B:$B,Token!$A:$A,$K765)&gt;0.01),$L765/86400+DATE(1970,1,1)+$G$6,)</f>
        <v/>
      </c>
      <c r="B765" s="27" t="str">
        <f t="shared" si="1"/>
        <v/>
      </c>
      <c r="C765" s="14" t="str">
        <f>IF($A765&lt;&gt;"",MINIFS(Merchant!$A:$A,Merchant!$B:$B,$G$2),)</f>
        <v/>
      </c>
      <c r="D765" s="14" t="str">
        <f t="shared" si="2"/>
        <v/>
      </c>
      <c r="E765" s="14" t="str">
        <f t="shared" si="3"/>
        <v/>
      </c>
      <c r="F765" s="7" t="str">
        <f>IF($A765&lt;&gt;"",MAXIFS(Token!$B:$B,Token!$A:$A,$D765),)</f>
        <v/>
      </c>
    </row>
    <row r="766">
      <c r="A766" s="39" t="str">
        <f>IF(AND($L766*1&gt;=$G$3,$L766*1&lt;=$G$4,$I766*$J766&gt;0,OR($I766&lt;&gt;$I767,$L766-$L767&gt;25),$I766/POW(10,$J766)*MAXIFS(Token!$B:$B,Token!$A:$A,$K766)&gt;0.01),$L766/86400+DATE(1970,1,1)+$G$6,)</f>
        <v/>
      </c>
      <c r="B766" s="27" t="str">
        <f t="shared" si="1"/>
        <v/>
      </c>
      <c r="C766" s="14" t="str">
        <f>IF($A766&lt;&gt;"",MINIFS(Merchant!$A:$A,Merchant!$B:$B,$G$2),)</f>
        <v/>
      </c>
      <c r="D766" s="14" t="str">
        <f t="shared" si="2"/>
        <v/>
      </c>
      <c r="E766" s="14" t="str">
        <f t="shared" si="3"/>
        <v/>
      </c>
      <c r="F766" s="7" t="str">
        <f>IF($A766&lt;&gt;"",MAXIFS(Token!$B:$B,Token!$A:$A,$D766),)</f>
        <v/>
      </c>
    </row>
    <row r="767">
      <c r="A767" s="39" t="str">
        <f>IF(AND($L767*1&gt;=$G$3,$L767*1&lt;=$G$4,$I767*$J767&gt;0,OR($I767&lt;&gt;$I768,$L767-$L768&gt;25),$I767/POW(10,$J767)*MAXIFS(Token!$B:$B,Token!$A:$A,$K767)&gt;0.01),$L767/86400+DATE(1970,1,1)+$G$6,)</f>
        <v/>
      </c>
      <c r="B767" s="27" t="str">
        <f t="shared" si="1"/>
        <v/>
      </c>
      <c r="C767" s="14" t="str">
        <f>IF($A767&lt;&gt;"",MINIFS(Merchant!$A:$A,Merchant!$B:$B,$G$2),)</f>
        <v/>
      </c>
      <c r="D767" s="14" t="str">
        <f t="shared" si="2"/>
        <v/>
      </c>
      <c r="E767" s="14" t="str">
        <f t="shared" si="3"/>
        <v/>
      </c>
      <c r="F767" s="7" t="str">
        <f>IF($A767&lt;&gt;"",MAXIFS(Token!$B:$B,Token!$A:$A,$D767),)</f>
        <v/>
      </c>
    </row>
    <row r="768">
      <c r="A768" s="39" t="str">
        <f>IF(AND($L768*1&gt;=$G$3,$L768*1&lt;=$G$4,$I768*$J768&gt;0,OR($I768&lt;&gt;$I769,$L768-$L769&gt;25),$I768/POW(10,$J768)*MAXIFS(Token!$B:$B,Token!$A:$A,$K768)&gt;0.01),$L768/86400+DATE(1970,1,1)+$G$6,)</f>
        <v/>
      </c>
      <c r="B768" s="27" t="str">
        <f t="shared" si="1"/>
        <v/>
      </c>
      <c r="C768" s="14" t="str">
        <f>IF($A768&lt;&gt;"",MINIFS(Merchant!$A:$A,Merchant!$B:$B,$G$2),)</f>
        <v/>
      </c>
      <c r="D768" s="14" t="str">
        <f t="shared" si="2"/>
        <v/>
      </c>
      <c r="E768" s="14" t="str">
        <f t="shared" si="3"/>
        <v/>
      </c>
      <c r="F768" s="7" t="str">
        <f>IF($A768&lt;&gt;"",MAXIFS(Token!$B:$B,Token!$A:$A,$D768),)</f>
        <v/>
      </c>
    </row>
    <row r="769">
      <c r="A769" s="39" t="str">
        <f>IF(AND($L769*1&gt;=$G$3,$L769*1&lt;=$G$4,$I769*$J769&gt;0,OR($I769&lt;&gt;$I770,$L769-$L770&gt;25),$I769/POW(10,$J769)*MAXIFS(Token!$B:$B,Token!$A:$A,$K769)&gt;0.01),$L769/86400+DATE(1970,1,1)+$G$6,)</f>
        <v/>
      </c>
      <c r="B769" s="27" t="str">
        <f t="shared" si="1"/>
        <v/>
      </c>
      <c r="C769" s="14" t="str">
        <f>IF($A769&lt;&gt;"",MINIFS(Merchant!$A:$A,Merchant!$B:$B,$G$2),)</f>
        <v/>
      </c>
      <c r="D769" s="14" t="str">
        <f t="shared" si="2"/>
        <v/>
      </c>
      <c r="E769" s="14" t="str">
        <f t="shared" si="3"/>
        <v/>
      </c>
      <c r="F769" s="7" t="str">
        <f>IF($A769&lt;&gt;"",MAXIFS(Token!$B:$B,Token!$A:$A,$D769),)</f>
        <v/>
      </c>
    </row>
    <row r="770">
      <c r="A770" s="39" t="str">
        <f>IF(AND($L770*1&gt;=$G$3,$L770*1&lt;=$G$4,$I770*$J770&gt;0,OR($I770&lt;&gt;$I771,$L770-$L771&gt;25),$I770/POW(10,$J770)*MAXIFS(Token!$B:$B,Token!$A:$A,$K770)&gt;0.01),$L770/86400+DATE(1970,1,1)+$G$6,)</f>
        <v/>
      </c>
      <c r="B770" s="27" t="str">
        <f t="shared" si="1"/>
        <v/>
      </c>
      <c r="C770" s="14" t="str">
        <f>IF($A770&lt;&gt;"",MINIFS(Merchant!$A:$A,Merchant!$B:$B,$G$2),)</f>
        <v/>
      </c>
      <c r="D770" s="14" t="str">
        <f t="shared" si="2"/>
        <v/>
      </c>
      <c r="E770" s="14" t="str">
        <f t="shared" si="3"/>
        <v/>
      </c>
      <c r="F770" s="7" t="str">
        <f>IF($A770&lt;&gt;"",MAXIFS(Token!$B:$B,Token!$A:$A,$D770),)</f>
        <v/>
      </c>
    </row>
    <row r="771">
      <c r="A771" s="39" t="str">
        <f>IF(AND($L771*1&gt;=$G$3,$L771*1&lt;=$G$4,$I771*$J771&gt;0,OR($I771&lt;&gt;$I772,$L771-$L772&gt;25),$I771/POW(10,$J771)*MAXIFS(Token!$B:$B,Token!$A:$A,$K771)&gt;0.01),$L771/86400+DATE(1970,1,1)+$G$6,)</f>
        <v/>
      </c>
      <c r="B771" s="27" t="str">
        <f t="shared" si="1"/>
        <v/>
      </c>
      <c r="C771" s="14" t="str">
        <f>IF($A771&lt;&gt;"",MINIFS(Merchant!$A:$A,Merchant!$B:$B,$G$2),)</f>
        <v/>
      </c>
      <c r="D771" s="14" t="str">
        <f t="shared" si="2"/>
        <v/>
      </c>
      <c r="E771" s="14" t="str">
        <f t="shared" si="3"/>
        <v/>
      </c>
      <c r="F771" s="7" t="str">
        <f>IF($A771&lt;&gt;"",MAXIFS(Token!$B:$B,Token!$A:$A,$D771),)</f>
        <v/>
      </c>
    </row>
    <row r="772">
      <c r="A772" s="39" t="str">
        <f>IF(AND($L772*1&gt;=$G$3,$L772*1&lt;=$G$4,$I772*$J772&gt;0,OR($I772&lt;&gt;$I773,$L772-$L773&gt;25),$I772/POW(10,$J772)*MAXIFS(Token!$B:$B,Token!$A:$A,$K772)&gt;0.01),$L772/86400+DATE(1970,1,1)+$G$6,)</f>
        <v/>
      </c>
      <c r="B772" s="27" t="str">
        <f t="shared" si="1"/>
        <v/>
      </c>
      <c r="C772" s="14" t="str">
        <f>IF($A772&lt;&gt;"",MINIFS(Merchant!$A:$A,Merchant!$B:$B,$G$2),)</f>
        <v/>
      </c>
      <c r="D772" s="14" t="str">
        <f t="shared" si="2"/>
        <v/>
      </c>
      <c r="E772" s="14" t="str">
        <f t="shared" si="3"/>
        <v/>
      </c>
      <c r="F772" s="7" t="str">
        <f>IF($A772&lt;&gt;"",MAXIFS(Token!$B:$B,Token!$A:$A,$D772),)</f>
        <v/>
      </c>
    </row>
    <row r="773">
      <c r="A773" s="39" t="str">
        <f>IF(AND($L773*1&gt;=$G$3,$L773*1&lt;=$G$4,$I773*$J773&gt;0,OR($I773&lt;&gt;$I774,$L773-$L774&gt;25),$I773/POW(10,$J773)*MAXIFS(Token!$B:$B,Token!$A:$A,$K773)&gt;0.01),$L773/86400+DATE(1970,1,1)+$G$6,)</f>
        <v/>
      </c>
      <c r="B773" s="27" t="str">
        <f t="shared" si="1"/>
        <v/>
      </c>
      <c r="C773" s="14" t="str">
        <f>IF($A773&lt;&gt;"",MINIFS(Merchant!$A:$A,Merchant!$B:$B,$G$2),)</f>
        <v/>
      </c>
      <c r="D773" s="14" t="str">
        <f t="shared" si="2"/>
        <v/>
      </c>
      <c r="E773" s="14" t="str">
        <f t="shared" si="3"/>
        <v/>
      </c>
      <c r="F773" s="7" t="str">
        <f>IF($A773&lt;&gt;"",MAXIFS(Token!$B:$B,Token!$A:$A,$D773),)</f>
        <v/>
      </c>
    </row>
    <row r="774">
      <c r="A774" s="39" t="str">
        <f>IF(AND($L774*1&gt;=$G$3,$L774*1&lt;=$G$4,$I774*$J774&gt;0,OR($I774&lt;&gt;$I775,$L774-$L775&gt;25),$I774/POW(10,$J774)*MAXIFS(Token!$B:$B,Token!$A:$A,$K774)&gt;0.01),$L774/86400+DATE(1970,1,1)+$G$6,)</f>
        <v/>
      </c>
      <c r="B774" s="27" t="str">
        <f t="shared" si="1"/>
        <v/>
      </c>
      <c r="C774" s="14" t="str">
        <f>IF($A774&lt;&gt;"",MINIFS(Merchant!$A:$A,Merchant!$B:$B,$G$2),)</f>
        <v/>
      </c>
      <c r="D774" s="14" t="str">
        <f t="shared" si="2"/>
        <v/>
      </c>
      <c r="E774" s="14" t="str">
        <f t="shared" si="3"/>
        <v/>
      </c>
      <c r="F774" s="7" t="str">
        <f>IF($A774&lt;&gt;"",MAXIFS(Token!$B:$B,Token!$A:$A,$D774),)</f>
        <v/>
      </c>
    </row>
    <row r="775">
      <c r="A775" s="39" t="str">
        <f>IF(AND($L775*1&gt;=$G$3,$L775*1&lt;=$G$4,$I775*$J775&gt;0,OR($I775&lt;&gt;$I776,$L775-$L776&gt;25),$I775/POW(10,$J775)*MAXIFS(Token!$B:$B,Token!$A:$A,$K775)&gt;0.01),$L775/86400+DATE(1970,1,1)+$G$6,)</f>
        <v/>
      </c>
      <c r="B775" s="27" t="str">
        <f t="shared" si="1"/>
        <v/>
      </c>
      <c r="C775" s="14" t="str">
        <f>IF($A775&lt;&gt;"",MINIFS(Merchant!$A:$A,Merchant!$B:$B,$G$2),)</f>
        <v/>
      </c>
      <c r="D775" s="14" t="str">
        <f t="shared" si="2"/>
        <v/>
      </c>
      <c r="E775" s="14" t="str">
        <f t="shared" si="3"/>
        <v/>
      </c>
      <c r="F775" s="7" t="str">
        <f>IF($A775&lt;&gt;"",MAXIFS(Token!$B:$B,Token!$A:$A,$D775),)</f>
        <v/>
      </c>
    </row>
    <row r="776">
      <c r="A776" s="39" t="str">
        <f>IF(AND($L776*1&gt;=$G$3,$L776*1&lt;=$G$4,$I776*$J776&gt;0,OR($I776&lt;&gt;$I777,$L776-$L777&gt;25),$I776/POW(10,$J776)*MAXIFS(Token!$B:$B,Token!$A:$A,$K776)&gt;0.01),$L776/86400+DATE(1970,1,1)+$G$6,)</f>
        <v/>
      </c>
      <c r="B776" s="27" t="str">
        <f t="shared" si="1"/>
        <v/>
      </c>
      <c r="C776" s="14" t="str">
        <f>IF($A776&lt;&gt;"",MINIFS(Merchant!$A:$A,Merchant!$B:$B,$G$2),)</f>
        <v/>
      </c>
      <c r="D776" s="14" t="str">
        <f t="shared" si="2"/>
        <v/>
      </c>
      <c r="E776" s="14" t="str">
        <f t="shared" si="3"/>
        <v/>
      </c>
      <c r="F776" s="7" t="str">
        <f>IF($A776&lt;&gt;"",MAXIFS(Token!$B:$B,Token!$A:$A,$D776),)</f>
        <v/>
      </c>
    </row>
    <row r="777">
      <c r="A777" s="39" t="str">
        <f>IF(AND($L777*1&gt;=$G$3,$L777*1&lt;=$G$4,$I777*$J777&gt;0,OR($I777&lt;&gt;$I778,$L777-$L778&gt;25),$I777/POW(10,$J777)*MAXIFS(Token!$B:$B,Token!$A:$A,$K777)&gt;0.01),$L777/86400+DATE(1970,1,1)+$G$6,)</f>
        <v/>
      </c>
      <c r="B777" s="27" t="str">
        <f t="shared" si="1"/>
        <v/>
      </c>
      <c r="C777" s="14" t="str">
        <f>IF($A777&lt;&gt;"",MINIFS(Merchant!$A:$A,Merchant!$B:$B,$G$2),)</f>
        <v/>
      </c>
      <c r="D777" s="14" t="str">
        <f t="shared" si="2"/>
        <v/>
      </c>
      <c r="E777" s="14" t="str">
        <f t="shared" si="3"/>
        <v/>
      </c>
      <c r="F777" s="7" t="str">
        <f>IF($A777&lt;&gt;"",MAXIFS(Token!$B:$B,Token!$A:$A,$D777),)</f>
        <v/>
      </c>
    </row>
    <row r="778">
      <c r="A778" s="39" t="str">
        <f>IF(AND($L778*1&gt;=$G$3,$L778*1&lt;=$G$4,$I778*$J778&gt;0,OR($I778&lt;&gt;$I779,$L778-$L779&gt;25),$I778/POW(10,$J778)*MAXIFS(Token!$B:$B,Token!$A:$A,$K778)&gt;0.01),$L778/86400+DATE(1970,1,1)+$G$6,)</f>
        <v/>
      </c>
      <c r="B778" s="27" t="str">
        <f t="shared" si="1"/>
        <v/>
      </c>
      <c r="C778" s="14" t="str">
        <f>IF($A778&lt;&gt;"",MINIFS(Merchant!$A:$A,Merchant!$B:$B,$G$2),)</f>
        <v/>
      </c>
      <c r="D778" s="14" t="str">
        <f t="shared" si="2"/>
        <v/>
      </c>
      <c r="E778" s="14" t="str">
        <f t="shared" si="3"/>
        <v/>
      </c>
      <c r="F778" s="7" t="str">
        <f>IF($A778&lt;&gt;"",MAXIFS(Token!$B:$B,Token!$A:$A,$D778),)</f>
        <v/>
      </c>
    </row>
    <row r="779">
      <c r="A779" s="39" t="str">
        <f>IF(AND($L779*1&gt;=$G$3,$L779*1&lt;=$G$4,$I779*$J779&gt;0,OR($I779&lt;&gt;$I780,$L779-$L780&gt;25),$I779/POW(10,$J779)*MAXIFS(Token!$B:$B,Token!$A:$A,$K779)&gt;0.01),$L779/86400+DATE(1970,1,1)+$G$6,)</f>
        <v/>
      </c>
      <c r="B779" s="27" t="str">
        <f t="shared" si="1"/>
        <v/>
      </c>
      <c r="C779" s="14" t="str">
        <f>IF($A779&lt;&gt;"",MINIFS(Merchant!$A:$A,Merchant!$B:$B,$G$2),)</f>
        <v/>
      </c>
      <c r="D779" s="14" t="str">
        <f t="shared" si="2"/>
        <v/>
      </c>
      <c r="E779" s="14" t="str">
        <f t="shared" si="3"/>
        <v/>
      </c>
      <c r="F779" s="7" t="str">
        <f>IF($A779&lt;&gt;"",MAXIFS(Token!$B:$B,Token!$A:$A,$D779),)</f>
        <v/>
      </c>
    </row>
    <row r="780">
      <c r="A780" s="39" t="str">
        <f>IF(AND($L780*1&gt;=$G$3,$L780*1&lt;=$G$4,$I780*$J780&gt;0,OR($I780&lt;&gt;$I781,$L780-$L781&gt;25),$I780/POW(10,$J780)*MAXIFS(Token!$B:$B,Token!$A:$A,$K780)&gt;0.01),$L780/86400+DATE(1970,1,1)+$G$6,)</f>
        <v/>
      </c>
      <c r="B780" s="27" t="str">
        <f t="shared" si="1"/>
        <v/>
      </c>
      <c r="C780" s="14" t="str">
        <f>IF($A780&lt;&gt;"",MINIFS(Merchant!$A:$A,Merchant!$B:$B,$G$2),)</f>
        <v/>
      </c>
      <c r="D780" s="14" t="str">
        <f t="shared" si="2"/>
        <v/>
      </c>
      <c r="E780" s="14" t="str">
        <f t="shared" si="3"/>
        <v/>
      </c>
      <c r="F780" s="7" t="str">
        <f>IF($A780&lt;&gt;"",MAXIFS(Token!$B:$B,Token!$A:$A,$D780),)</f>
        <v/>
      </c>
    </row>
    <row r="781">
      <c r="A781" s="39" t="str">
        <f>IF(AND($L781*1&gt;=$G$3,$L781*1&lt;=$G$4,$I781*$J781&gt;0,OR($I781&lt;&gt;$I782,$L781-$L782&gt;25),$I781/POW(10,$J781)*MAXIFS(Token!$B:$B,Token!$A:$A,$K781)&gt;0.01),$L781/86400+DATE(1970,1,1)+$G$6,)</f>
        <v/>
      </c>
      <c r="B781" s="27" t="str">
        <f t="shared" si="1"/>
        <v/>
      </c>
      <c r="C781" s="14" t="str">
        <f>IF($A781&lt;&gt;"",MINIFS(Merchant!$A:$A,Merchant!$B:$B,$G$2),)</f>
        <v/>
      </c>
      <c r="D781" s="14" t="str">
        <f t="shared" si="2"/>
        <v/>
      </c>
      <c r="E781" s="14" t="str">
        <f t="shared" si="3"/>
        <v/>
      </c>
      <c r="F781" s="7" t="str">
        <f>IF($A781&lt;&gt;"",MAXIFS(Token!$B:$B,Token!$A:$A,$D781),)</f>
        <v/>
      </c>
    </row>
    <row r="782">
      <c r="A782" s="39" t="str">
        <f>IF(AND($L782*1&gt;=$G$3,$L782*1&lt;=$G$4,$I782*$J782&gt;0,OR($I782&lt;&gt;$I783,$L782-$L783&gt;25),$I782/POW(10,$J782)*MAXIFS(Token!$B:$B,Token!$A:$A,$K782)&gt;0.01),$L782/86400+DATE(1970,1,1)+$G$6,)</f>
        <v/>
      </c>
      <c r="B782" s="27" t="str">
        <f t="shared" si="1"/>
        <v/>
      </c>
      <c r="C782" s="14" t="str">
        <f>IF($A782&lt;&gt;"",MINIFS(Merchant!$A:$A,Merchant!$B:$B,$G$2),)</f>
        <v/>
      </c>
      <c r="D782" s="14" t="str">
        <f t="shared" si="2"/>
        <v/>
      </c>
      <c r="E782" s="14" t="str">
        <f t="shared" si="3"/>
        <v/>
      </c>
      <c r="F782" s="7" t="str">
        <f>IF($A782&lt;&gt;"",MAXIFS(Token!$B:$B,Token!$A:$A,$D782),)</f>
        <v/>
      </c>
    </row>
    <row r="783">
      <c r="A783" s="39" t="str">
        <f>IF(AND($L783*1&gt;=$G$3,$L783*1&lt;=$G$4,$I783*$J783&gt;0,OR($I783&lt;&gt;$I784,$L783-$L784&gt;25),$I783/POW(10,$J783)*MAXIFS(Token!$B:$B,Token!$A:$A,$K783)&gt;0.01),$L783/86400+DATE(1970,1,1)+$G$6,)</f>
        <v/>
      </c>
      <c r="B783" s="27" t="str">
        <f t="shared" si="1"/>
        <v/>
      </c>
      <c r="C783" s="14" t="str">
        <f>IF($A783&lt;&gt;"",MINIFS(Merchant!$A:$A,Merchant!$B:$B,$G$2),)</f>
        <v/>
      </c>
      <c r="D783" s="14" t="str">
        <f t="shared" si="2"/>
        <v/>
      </c>
      <c r="E783" s="14" t="str">
        <f t="shared" si="3"/>
        <v/>
      </c>
      <c r="F783" s="7" t="str">
        <f>IF($A783&lt;&gt;"",MAXIFS(Token!$B:$B,Token!$A:$A,$D783),)</f>
        <v/>
      </c>
    </row>
    <row r="784">
      <c r="A784" s="39" t="str">
        <f>IF(AND($L784*1&gt;=$G$3,$L784*1&lt;=$G$4,$I784*$J784&gt;0,OR($I784&lt;&gt;$I785,$L784-$L785&gt;25),$I784/POW(10,$J784)*MAXIFS(Token!$B:$B,Token!$A:$A,$K784)&gt;0.01),$L784/86400+DATE(1970,1,1)+$G$6,)</f>
        <v/>
      </c>
      <c r="B784" s="27" t="str">
        <f t="shared" si="1"/>
        <v/>
      </c>
      <c r="C784" s="14" t="str">
        <f>IF($A784&lt;&gt;"",MINIFS(Merchant!$A:$A,Merchant!$B:$B,$G$2),)</f>
        <v/>
      </c>
      <c r="D784" s="14" t="str">
        <f t="shared" si="2"/>
        <v/>
      </c>
      <c r="E784" s="14" t="str">
        <f t="shared" si="3"/>
        <v/>
      </c>
      <c r="F784" s="7" t="str">
        <f>IF($A784&lt;&gt;"",MAXIFS(Token!$B:$B,Token!$A:$A,$D784),)</f>
        <v/>
      </c>
    </row>
    <row r="785">
      <c r="A785" s="39" t="str">
        <f>IF(AND($L785*1&gt;=$G$3,$L785*1&lt;=$G$4,$I785*$J785&gt;0,OR($I785&lt;&gt;$I786,$L785-$L786&gt;25),$I785/POW(10,$J785)*MAXIFS(Token!$B:$B,Token!$A:$A,$K785)&gt;0.01),$L785/86400+DATE(1970,1,1)+$G$6,)</f>
        <v/>
      </c>
      <c r="B785" s="27" t="str">
        <f t="shared" si="1"/>
        <v/>
      </c>
      <c r="C785" s="14" t="str">
        <f>IF($A785&lt;&gt;"",MINIFS(Merchant!$A:$A,Merchant!$B:$B,$G$2),)</f>
        <v/>
      </c>
      <c r="D785" s="14" t="str">
        <f t="shared" si="2"/>
        <v/>
      </c>
      <c r="E785" s="14" t="str">
        <f t="shared" si="3"/>
        <v/>
      </c>
      <c r="F785" s="7" t="str">
        <f>IF($A785&lt;&gt;"",MAXIFS(Token!$B:$B,Token!$A:$A,$D785),)</f>
        <v/>
      </c>
    </row>
    <row r="786">
      <c r="A786" s="39" t="str">
        <f>IF(AND($L786*1&gt;=$G$3,$L786*1&lt;=$G$4,$I786*$J786&gt;0,OR($I786&lt;&gt;$I787,$L786-$L787&gt;25),$I786/POW(10,$J786)*MAXIFS(Token!$B:$B,Token!$A:$A,$K786)&gt;0.01),$L786/86400+DATE(1970,1,1)+$G$6,)</f>
        <v/>
      </c>
      <c r="B786" s="27" t="str">
        <f t="shared" si="1"/>
        <v/>
      </c>
      <c r="C786" s="14" t="str">
        <f>IF($A786&lt;&gt;"",MINIFS(Merchant!$A:$A,Merchant!$B:$B,$G$2),)</f>
        <v/>
      </c>
      <c r="D786" s="14" t="str">
        <f t="shared" si="2"/>
        <v/>
      </c>
      <c r="E786" s="14" t="str">
        <f t="shared" si="3"/>
        <v/>
      </c>
      <c r="F786" s="7" t="str">
        <f>IF($A786&lt;&gt;"",MAXIFS(Token!$B:$B,Token!$A:$A,$D786),)</f>
        <v/>
      </c>
    </row>
    <row r="787">
      <c r="A787" s="39" t="str">
        <f>IF(AND($L787*1&gt;=$G$3,$L787*1&lt;=$G$4,$I787*$J787&gt;0,OR($I787&lt;&gt;$I788,$L787-$L788&gt;25),$I787/POW(10,$J787)*MAXIFS(Token!$B:$B,Token!$A:$A,$K787)&gt;0.01),$L787/86400+DATE(1970,1,1)+$G$6,)</f>
        <v/>
      </c>
      <c r="B787" s="27" t="str">
        <f t="shared" si="1"/>
        <v/>
      </c>
      <c r="C787" s="14" t="str">
        <f>IF($A787&lt;&gt;"",MINIFS(Merchant!$A:$A,Merchant!$B:$B,$G$2),)</f>
        <v/>
      </c>
      <c r="D787" s="14" t="str">
        <f t="shared" si="2"/>
        <v/>
      </c>
      <c r="E787" s="14" t="str">
        <f t="shared" si="3"/>
        <v/>
      </c>
      <c r="F787" s="7" t="str">
        <f>IF($A787&lt;&gt;"",MAXIFS(Token!$B:$B,Token!$A:$A,$D787),)</f>
        <v/>
      </c>
    </row>
    <row r="788">
      <c r="A788" s="39" t="str">
        <f>IF(AND($L788*1&gt;=$G$3,$L788*1&lt;=$G$4,$I788*$J788&gt;0,OR($I788&lt;&gt;$I789,$L788-$L789&gt;25),$I788/POW(10,$J788)*MAXIFS(Token!$B:$B,Token!$A:$A,$K788)&gt;0.01),$L788/86400+DATE(1970,1,1)+$G$6,)</f>
        <v/>
      </c>
      <c r="B788" s="27" t="str">
        <f t="shared" si="1"/>
        <v/>
      </c>
      <c r="C788" s="14" t="str">
        <f>IF($A788&lt;&gt;"",MINIFS(Merchant!$A:$A,Merchant!$B:$B,$G$2),)</f>
        <v/>
      </c>
      <c r="D788" s="14" t="str">
        <f t="shared" si="2"/>
        <v/>
      </c>
      <c r="E788" s="14" t="str">
        <f t="shared" si="3"/>
        <v/>
      </c>
      <c r="F788" s="7" t="str">
        <f>IF($A788&lt;&gt;"",MAXIFS(Token!$B:$B,Token!$A:$A,$D788),)</f>
        <v/>
      </c>
    </row>
    <row r="789">
      <c r="A789" s="39" t="str">
        <f>IF(AND($L789*1&gt;=$G$3,$L789*1&lt;=$G$4,$I789*$J789&gt;0,OR($I789&lt;&gt;$I790,$L789-$L790&gt;25),$I789/POW(10,$J789)*MAXIFS(Token!$B:$B,Token!$A:$A,$K789)&gt;0.01),$L789/86400+DATE(1970,1,1)+$G$6,)</f>
        <v/>
      </c>
      <c r="B789" s="27" t="str">
        <f t="shared" si="1"/>
        <v/>
      </c>
      <c r="C789" s="14" t="str">
        <f>IF($A789&lt;&gt;"",MINIFS(Merchant!$A:$A,Merchant!$B:$B,$G$2),)</f>
        <v/>
      </c>
      <c r="D789" s="14" t="str">
        <f t="shared" si="2"/>
        <v/>
      </c>
      <c r="E789" s="14" t="str">
        <f t="shared" si="3"/>
        <v/>
      </c>
      <c r="F789" s="7" t="str">
        <f>IF($A789&lt;&gt;"",MAXIFS(Token!$B:$B,Token!$A:$A,$D789),)</f>
        <v/>
      </c>
    </row>
    <row r="790">
      <c r="A790" s="39" t="str">
        <f>IF(AND($L790*1&gt;=$G$3,$L790*1&lt;=$G$4,$I790*$J790&gt;0,OR($I790&lt;&gt;$I791,$L790-$L791&gt;25),$I790/POW(10,$J790)*MAXIFS(Token!$B:$B,Token!$A:$A,$K790)&gt;0.01),$L790/86400+DATE(1970,1,1)+$G$6,)</f>
        <v/>
      </c>
      <c r="B790" s="27" t="str">
        <f t="shared" si="1"/>
        <v/>
      </c>
      <c r="C790" s="14" t="str">
        <f>IF($A790&lt;&gt;"",MINIFS(Merchant!$A:$A,Merchant!$B:$B,$G$2),)</f>
        <v/>
      </c>
      <c r="D790" s="14" t="str">
        <f t="shared" si="2"/>
        <v/>
      </c>
      <c r="E790" s="14" t="str">
        <f t="shared" si="3"/>
        <v/>
      </c>
      <c r="F790" s="7" t="str">
        <f>IF($A790&lt;&gt;"",MAXIFS(Token!$B:$B,Token!$A:$A,$D790),)</f>
        <v/>
      </c>
    </row>
    <row r="791">
      <c r="A791" s="39" t="str">
        <f>IF(AND($L791*1&gt;=$G$3,$L791*1&lt;=$G$4,$I791*$J791&gt;0,OR($I791&lt;&gt;$I792,$L791-$L792&gt;25),$I791/POW(10,$J791)*MAXIFS(Token!$B:$B,Token!$A:$A,$K791)&gt;0.01),$L791/86400+DATE(1970,1,1)+$G$6,)</f>
        <v/>
      </c>
      <c r="B791" s="27" t="str">
        <f t="shared" si="1"/>
        <v/>
      </c>
      <c r="C791" s="14" t="str">
        <f>IF($A791&lt;&gt;"",MINIFS(Merchant!$A:$A,Merchant!$B:$B,$G$2),)</f>
        <v/>
      </c>
      <c r="D791" s="14" t="str">
        <f t="shared" si="2"/>
        <v/>
      </c>
      <c r="E791" s="14" t="str">
        <f t="shared" si="3"/>
        <v/>
      </c>
      <c r="F791" s="7" t="str">
        <f>IF($A791&lt;&gt;"",MAXIFS(Token!$B:$B,Token!$A:$A,$D791),)</f>
        <v/>
      </c>
    </row>
    <row r="792">
      <c r="A792" s="39" t="str">
        <f>IF(AND($L792*1&gt;=$G$3,$L792*1&lt;=$G$4,$I792*$J792&gt;0,OR($I792&lt;&gt;$I793,$L792-$L793&gt;25),$I792/POW(10,$J792)*MAXIFS(Token!$B:$B,Token!$A:$A,$K792)&gt;0.01),$L792/86400+DATE(1970,1,1)+$G$6,)</f>
        <v/>
      </c>
      <c r="B792" s="27" t="str">
        <f t="shared" si="1"/>
        <v/>
      </c>
      <c r="C792" s="14" t="str">
        <f>IF($A792&lt;&gt;"",MINIFS(Merchant!$A:$A,Merchant!$B:$B,$G$2),)</f>
        <v/>
      </c>
      <c r="D792" s="14" t="str">
        <f t="shared" si="2"/>
        <v/>
      </c>
      <c r="E792" s="14" t="str">
        <f t="shared" si="3"/>
        <v/>
      </c>
      <c r="F792" s="7" t="str">
        <f>IF($A792&lt;&gt;"",MAXIFS(Token!$B:$B,Token!$A:$A,$D792),)</f>
        <v/>
      </c>
    </row>
    <row r="793">
      <c r="A793" s="39" t="str">
        <f>IF(AND($L793*1&gt;=$G$3,$L793*1&lt;=$G$4,$I793*$J793&gt;0,OR($I793&lt;&gt;$I794,$L793-$L794&gt;25),$I793/POW(10,$J793)*MAXIFS(Token!$B:$B,Token!$A:$A,$K793)&gt;0.01),$L793/86400+DATE(1970,1,1)+$G$6,)</f>
        <v/>
      </c>
      <c r="B793" s="27" t="str">
        <f t="shared" si="1"/>
        <v/>
      </c>
      <c r="C793" s="14" t="str">
        <f>IF($A793&lt;&gt;"",MINIFS(Merchant!$A:$A,Merchant!$B:$B,$G$2),)</f>
        <v/>
      </c>
      <c r="D793" s="14" t="str">
        <f t="shared" si="2"/>
        <v/>
      </c>
      <c r="E793" s="14" t="str">
        <f t="shared" si="3"/>
        <v/>
      </c>
      <c r="F793" s="7" t="str">
        <f>IF($A793&lt;&gt;"",MAXIFS(Token!$B:$B,Token!$A:$A,$D793),)</f>
        <v/>
      </c>
    </row>
    <row r="794">
      <c r="A794" s="39" t="str">
        <f>IF(AND($L794*1&gt;=$G$3,$L794*1&lt;=$G$4,$I794*$J794&gt;0,OR($I794&lt;&gt;$I795,$L794-$L795&gt;25),$I794/POW(10,$J794)*MAXIFS(Token!$B:$B,Token!$A:$A,$K794)&gt;0.01),$L794/86400+DATE(1970,1,1)+$G$6,)</f>
        <v/>
      </c>
      <c r="B794" s="27" t="str">
        <f t="shared" si="1"/>
        <v/>
      </c>
      <c r="C794" s="14" t="str">
        <f>IF($A794&lt;&gt;"",MINIFS(Merchant!$A:$A,Merchant!$B:$B,$G$2),)</f>
        <v/>
      </c>
      <c r="D794" s="14" t="str">
        <f t="shared" si="2"/>
        <v/>
      </c>
      <c r="E794" s="14" t="str">
        <f t="shared" si="3"/>
        <v/>
      </c>
      <c r="F794" s="7" t="str">
        <f>IF($A794&lt;&gt;"",MAXIFS(Token!$B:$B,Token!$A:$A,$D794),)</f>
        <v/>
      </c>
    </row>
    <row r="795">
      <c r="A795" s="39" t="str">
        <f>IF(AND($L795*1&gt;=$G$3,$L795*1&lt;=$G$4,$I795*$J795&gt;0,OR($I795&lt;&gt;$I796,$L795-$L796&gt;25),$I795/POW(10,$J795)*MAXIFS(Token!$B:$B,Token!$A:$A,$K795)&gt;0.01),$L795/86400+DATE(1970,1,1)+$G$6,)</f>
        <v/>
      </c>
      <c r="B795" s="27" t="str">
        <f t="shared" si="1"/>
        <v/>
      </c>
      <c r="C795" s="14" t="str">
        <f>IF($A795&lt;&gt;"",MINIFS(Merchant!$A:$A,Merchant!$B:$B,$G$2),)</f>
        <v/>
      </c>
      <c r="D795" s="14" t="str">
        <f t="shared" si="2"/>
        <v/>
      </c>
      <c r="E795" s="14" t="str">
        <f t="shared" si="3"/>
        <v/>
      </c>
      <c r="F795" s="7" t="str">
        <f>IF($A795&lt;&gt;"",MAXIFS(Token!$B:$B,Token!$A:$A,$D795),)</f>
        <v/>
      </c>
    </row>
    <row r="796">
      <c r="A796" s="39" t="str">
        <f>IF(AND($L796*1&gt;=$G$3,$L796*1&lt;=$G$4,$I796*$J796&gt;0,OR($I796&lt;&gt;$I797,$L796-$L797&gt;25),$I796/POW(10,$J796)*MAXIFS(Token!$B:$B,Token!$A:$A,$K796)&gt;0.01),$L796/86400+DATE(1970,1,1)+$G$6,)</f>
        <v/>
      </c>
      <c r="B796" s="27" t="str">
        <f t="shared" si="1"/>
        <v/>
      </c>
      <c r="C796" s="14" t="str">
        <f>IF($A796&lt;&gt;"",MINIFS(Merchant!$A:$A,Merchant!$B:$B,$G$2),)</f>
        <v/>
      </c>
      <c r="D796" s="14" t="str">
        <f t="shared" si="2"/>
        <v/>
      </c>
      <c r="E796" s="14" t="str">
        <f t="shared" si="3"/>
        <v/>
      </c>
      <c r="F796" s="7" t="str">
        <f>IF($A796&lt;&gt;"",MAXIFS(Token!$B:$B,Token!$A:$A,$D796),)</f>
        <v/>
      </c>
    </row>
    <row r="797">
      <c r="A797" s="39" t="str">
        <f>IF(AND($L797*1&gt;=$G$3,$L797*1&lt;=$G$4,$I797*$J797&gt;0,OR($I797&lt;&gt;$I798,$L797-$L798&gt;25),$I797/POW(10,$J797)*MAXIFS(Token!$B:$B,Token!$A:$A,$K797)&gt;0.01),$L797/86400+DATE(1970,1,1)+$G$6,)</f>
        <v/>
      </c>
      <c r="B797" s="27" t="str">
        <f t="shared" si="1"/>
        <v/>
      </c>
      <c r="C797" s="14" t="str">
        <f>IF($A797&lt;&gt;"",MINIFS(Merchant!$A:$A,Merchant!$B:$B,$G$2),)</f>
        <v/>
      </c>
      <c r="D797" s="14" t="str">
        <f t="shared" si="2"/>
        <v/>
      </c>
      <c r="E797" s="14" t="str">
        <f t="shared" si="3"/>
        <v/>
      </c>
      <c r="F797" s="7" t="str">
        <f>IF($A797&lt;&gt;"",MAXIFS(Token!$B:$B,Token!$A:$A,$D797),)</f>
        <v/>
      </c>
    </row>
    <row r="798">
      <c r="A798" s="39" t="str">
        <f>IF(AND($L798*1&gt;=$G$3,$L798*1&lt;=$G$4,$I798*$J798&gt;0,OR($I798&lt;&gt;$I799,$L798-$L799&gt;25),$I798/POW(10,$J798)*MAXIFS(Token!$B:$B,Token!$A:$A,$K798)&gt;0.01),$L798/86400+DATE(1970,1,1)+$G$6,)</f>
        <v/>
      </c>
      <c r="B798" s="27" t="str">
        <f t="shared" si="1"/>
        <v/>
      </c>
      <c r="C798" s="14" t="str">
        <f>IF($A798&lt;&gt;"",MINIFS(Merchant!$A:$A,Merchant!$B:$B,$G$2),)</f>
        <v/>
      </c>
      <c r="D798" s="14" t="str">
        <f t="shared" si="2"/>
        <v/>
      </c>
      <c r="E798" s="14" t="str">
        <f t="shared" si="3"/>
        <v/>
      </c>
      <c r="F798" s="7" t="str">
        <f>IF($A798&lt;&gt;"",MAXIFS(Token!$B:$B,Token!$A:$A,$D798),)</f>
        <v/>
      </c>
    </row>
    <row r="799">
      <c r="A799" s="39" t="str">
        <f>IF(AND($L799*1&gt;=$G$3,$L799*1&lt;=$G$4,$I799*$J799&gt;0,OR($I799&lt;&gt;$I800,$L799-$L800&gt;25),$I799/POW(10,$J799)*MAXIFS(Token!$B:$B,Token!$A:$A,$K799)&gt;0.01),$L799/86400+DATE(1970,1,1)+$G$6,)</f>
        <v/>
      </c>
      <c r="B799" s="27" t="str">
        <f t="shared" si="1"/>
        <v/>
      </c>
      <c r="C799" s="14" t="str">
        <f>IF($A799&lt;&gt;"",MINIFS(Merchant!$A:$A,Merchant!$B:$B,$G$2),)</f>
        <v/>
      </c>
      <c r="D799" s="14" t="str">
        <f t="shared" si="2"/>
        <v/>
      </c>
      <c r="E799" s="14" t="str">
        <f t="shared" si="3"/>
        <v/>
      </c>
      <c r="F799" s="7" t="str">
        <f>IF($A799&lt;&gt;"",MAXIFS(Token!$B:$B,Token!$A:$A,$D799),)</f>
        <v/>
      </c>
    </row>
    <row r="800">
      <c r="A800" s="39" t="str">
        <f>IF(AND($L800*1&gt;=$G$3,$L800*1&lt;=$G$4,$I800*$J800&gt;0,OR($I800&lt;&gt;$I801,$L800-$L801&gt;25),$I800/POW(10,$J800)*MAXIFS(Token!$B:$B,Token!$A:$A,$K800)&gt;0.01),$L800/86400+DATE(1970,1,1)+$G$6,)</f>
        <v/>
      </c>
      <c r="B800" s="27" t="str">
        <f t="shared" si="1"/>
        <v/>
      </c>
      <c r="C800" s="14" t="str">
        <f>IF($A800&lt;&gt;"",MINIFS(Merchant!$A:$A,Merchant!$B:$B,$G$2),)</f>
        <v/>
      </c>
      <c r="D800" s="14" t="str">
        <f t="shared" si="2"/>
        <v/>
      </c>
      <c r="E800" s="14" t="str">
        <f t="shared" si="3"/>
        <v/>
      </c>
      <c r="F800" s="7" t="str">
        <f>IF($A800&lt;&gt;"",MAXIFS(Token!$B:$B,Token!$A:$A,$D800),)</f>
        <v/>
      </c>
    </row>
    <row r="801">
      <c r="A801" s="39" t="str">
        <f>IF(AND($L801*1&gt;=$G$3,$L801*1&lt;=$G$4,$I801*$J801&gt;0,OR($I801&lt;&gt;$I802,$L801-$L802&gt;25),$I801/POW(10,$J801)*MAXIFS(Token!$B:$B,Token!$A:$A,$K801)&gt;0.01),$L801/86400+DATE(1970,1,1)+$G$6,)</f>
        <v/>
      </c>
      <c r="B801" s="27" t="str">
        <f t="shared" si="1"/>
        <v/>
      </c>
      <c r="C801" s="14" t="str">
        <f>IF($A801&lt;&gt;"",MINIFS(Merchant!$A:$A,Merchant!$B:$B,$G$2),)</f>
        <v/>
      </c>
      <c r="D801" s="14" t="str">
        <f t="shared" si="2"/>
        <v/>
      </c>
      <c r="E801" s="14" t="str">
        <f t="shared" si="3"/>
        <v/>
      </c>
      <c r="F801" s="7" t="str">
        <f>IF($A801&lt;&gt;"",MAXIFS(Token!$B:$B,Token!$A:$A,$D801),)</f>
        <v/>
      </c>
    </row>
    <row r="802">
      <c r="A802" s="39" t="str">
        <f>IF(AND($L802*1&gt;=$G$3,$L802*1&lt;=$G$4,$I802*$J802&gt;0,OR($I802&lt;&gt;$I803,$L802-$L803&gt;25),$I802/POW(10,$J802)*MAXIFS(Token!$B:$B,Token!$A:$A,$K802)&gt;0.01),$L802/86400+DATE(1970,1,1)+$G$6,)</f>
        <v/>
      </c>
      <c r="B802" s="27" t="str">
        <f t="shared" si="1"/>
        <v/>
      </c>
      <c r="C802" s="14" t="str">
        <f>IF($A802&lt;&gt;"",MINIFS(Merchant!$A:$A,Merchant!$B:$B,$G$2),)</f>
        <v/>
      </c>
      <c r="D802" s="14" t="str">
        <f t="shared" si="2"/>
        <v/>
      </c>
      <c r="E802" s="14" t="str">
        <f t="shared" si="3"/>
        <v/>
      </c>
      <c r="F802" s="7" t="str">
        <f>IF($A802&lt;&gt;"",MAXIFS(Token!$B:$B,Token!$A:$A,$D802),)</f>
        <v/>
      </c>
    </row>
    <row r="803">
      <c r="A803" s="39" t="str">
        <f>IF(AND($L803*1&gt;=$G$3,$L803*1&lt;=$G$4,$I803*$J803&gt;0,OR($I803&lt;&gt;$I804,$L803-$L804&gt;25),$I803/POW(10,$J803)*MAXIFS(Token!$B:$B,Token!$A:$A,$K803)&gt;0.01),$L803/86400+DATE(1970,1,1)+$G$6,)</f>
        <v/>
      </c>
      <c r="B803" s="27" t="str">
        <f t="shared" si="1"/>
        <v/>
      </c>
      <c r="C803" s="14" t="str">
        <f>IF($A803&lt;&gt;"",MINIFS(Merchant!$A:$A,Merchant!$B:$B,$G$2),)</f>
        <v/>
      </c>
      <c r="D803" s="14" t="str">
        <f t="shared" si="2"/>
        <v/>
      </c>
      <c r="E803" s="14" t="str">
        <f t="shared" si="3"/>
        <v/>
      </c>
      <c r="F803" s="7" t="str">
        <f>IF($A803&lt;&gt;"",MAXIFS(Token!$B:$B,Token!$A:$A,$D803),)</f>
        <v/>
      </c>
    </row>
    <row r="804">
      <c r="A804" s="39" t="str">
        <f>IF(AND($L804*1&gt;=$G$3,$L804*1&lt;=$G$4,$I804*$J804&gt;0,OR($I804&lt;&gt;$I805,$L804-$L805&gt;25),$I804/POW(10,$J804)*MAXIFS(Token!$B:$B,Token!$A:$A,$K804)&gt;0.01),$L804/86400+DATE(1970,1,1)+$G$6,)</f>
        <v/>
      </c>
      <c r="B804" s="27" t="str">
        <f t="shared" si="1"/>
        <v/>
      </c>
      <c r="C804" s="14" t="str">
        <f>IF($A804&lt;&gt;"",MINIFS(Merchant!$A:$A,Merchant!$B:$B,$G$2),)</f>
        <v/>
      </c>
      <c r="D804" s="14" t="str">
        <f t="shared" si="2"/>
        <v/>
      </c>
      <c r="E804" s="14" t="str">
        <f t="shared" si="3"/>
        <v/>
      </c>
      <c r="F804" s="7" t="str">
        <f>IF($A804&lt;&gt;"",MAXIFS(Token!$B:$B,Token!$A:$A,$D804),)</f>
        <v/>
      </c>
    </row>
    <row r="805">
      <c r="A805" s="39" t="str">
        <f>IF(AND($L805*1&gt;=$G$3,$L805*1&lt;=$G$4,$I805*$J805&gt;0,OR($I805&lt;&gt;$I806,$L805-$L806&gt;25),$I805/POW(10,$J805)*MAXIFS(Token!$B:$B,Token!$A:$A,$K805)&gt;0.01),$L805/86400+DATE(1970,1,1)+$G$6,)</f>
        <v/>
      </c>
      <c r="B805" s="27" t="str">
        <f t="shared" si="1"/>
        <v/>
      </c>
      <c r="C805" s="14" t="str">
        <f>IF($A805&lt;&gt;"",MINIFS(Merchant!$A:$A,Merchant!$B:$B,$G$2),)</f>
        <v/>
      </c>
      <c r="D805" s="14" t="str">
        <f t="shared" si="2"/>
        <v/>
      </c>
      <c r="E805" s="14" t="str">
        <f t="shared" si="3"/>
        <v/>
      </c>
      <c r="F805" s="7" t="str">
        <f>IF($A805&lt;&gt;"",MAXIFS(Token!$B:$B,Token!$A:$A,$D805),)</f>
        <v/>
      </c>
    </row>
    <row r="806">
      <c r="A806" s="39" t="str">
        <f>IF(AND($L806*1&gt;=$G$3,$L806*1&lt;=$G$4,$I806*$J806&gt;0,OR($I806&lt;&gt;$I807,$L806-$L807&gt;25),$I806/POW(10,$J806)*MAXIFS(Token!$B:$B,Token!$A:$A,$K806)&gt;0.01),$L806/86400+DATE(1970,1,1)+$G$6,)</f>
        <v/>
      </c>
      <c r="B806" s="27" t="str">
        <f t="shared" si="1"/>
        <v/>
      </c>
      <c r="C806" s="14" t="str">
        <f>IF($A806&lt;&gt;"",MINIFS(Merchant!$A:$A,Merchant!$B:$B,$G$2),)</f>
        <v/>
      </c>
      <c r="D806" s="14" t="str">
        <f t="shared" si="2"/>
        <v/>
      </c>
      <c r="E806" s="14" t="str">
        <f t="shared" si="3"/>
        <v/>
      </c>
      <c r="F806" s="7" t="str">
        <f>IF($A806&lt;&gt;"",MAXIFS(Token!$B:$B,Token!$A:$A,$D806),)</f>
        <v/>
      </c>
    </row>
    <row r="807">
      <c r="A807" s="39" t="str">
        <f>IF(AND($L807*1&gt;=$G$3,$L807*1&lt;=$G$4,$I807*$J807&gt;0,OR($I807&lt;&gt;$I808,$L807-$L808&gt;25),$I807/POW(10,$J807)*MAXIFS(Token!$B:$B,Token!$A:$A,$K807)&gt;0.01),$L807/86400+DATE(1970,1,1)+$G$6,)</f>
        <v/>
      </c>
      <c r="B807" s="27" t="str">
        <f t="shared" si="1"/>
        <v/>
      </c>
      <c r="C807" s="14" t="str">
        <f>IF($A807&lt;&gt;"",MINIFS(Merchant!$A:$A,Merchant!$B:$B,$G$2),)</f>
        <v/>
      </c>
      <c r="D807" s="14" t="str">
        <f t="shared" si="2"/>
        <v/>
      </c>
      <c r="E807" s="14" t="str">
        <f t="shared" si="3"/>
        <v/>
      </c>
      <c r="F807" s="7" t="str">
        <f>IF($A807&lt;&gt;"",MAXIFS(Token!$B:$B,Token!$A:$A,$D807),)</f>
        <v/>
      </c>
    </row>
    <row r="808">
      <c r="A808" s="39" t="str">
        <f>IF(AND($L808*1&gt;=$G$3,$L808*1&lt;=$G$4,$I808*$J808&gt;0,OR($I808&lt;&gt;$I809,$L808-$L809&gt;25),$I808/POW(10,$J808)*MAXIFS(Token!$B:$B,Token!$A:$A,$K808)&gt;0.01),$L808/86400+DATE(1970,1,1)+$G$6,)</f>
        <v/>
      </c>
      <c r="B808" s="27" t="str">
        <f t="shared" si="1"/>
        <v/>
      </c>
      <c r="C808" s="14" t="str">
        <f>IF($A808&lt;&gt;"",MINIFS(Merchant!$A:$A,Merchant!$B:$B,$G$2),)</f>
        <v/>
      </c>
      <c r="D808" s="14" t="str">
        <f t="shared" si="2"/>
        <v/>
      </c>
      <c r="E808" s="14" t="str">
        <f t="shared" si="3"/>
        <v/>
      </c>
      <c r="F808" s="7" t="str">
        <f>IF($A808&lt;&gt;"",MAXIFS(Token!$B:$B,Token!$A:$A,$D808),)</f>
        <v/>
      </c>
    </row>
    <row r="809">
      <c r="A809" s="39" t="str">
        <f>IF(AND($L809*1&gt;=$G$3,$L809*1&lt;=$G$4,$I809*$J809&gt;0,OR($I809&lt;&gt;$I810,$L809-$L810&gt;25),$I809/POW(10,$J809)*MAXIFS(Token!$B:$B,Token!$A:$A,$K809)&gt;0.01),$L809/86400+DATE(1970,1,1)+$G$6,)</f>
        <v/>
      </c>
      <c r="B809" s="27" t="str">
        <f t="shared" si="1"/>
        <v/>
      </c>
      <c r="C809" s="14" t="str">
        <f>IF($A809&lt;&gt;"",MINIFS(Merchant!$A:$A,Merchant!$B:$B,$G$2),)</f>
        <v/>
      </c>
      <c r="D809" s="14" t="str">
        <f t="shared" si="2"/>
        <v/>
      </c>
      <c r="E809" s="14" t="str">
        <f t="shared" si="3"/>
        <v/>
      </c>
      <c r="F809" s="7" t="str">
        <f>IF($A809&lt;&gt;"",MAXIFS(Token!$B:$B,Token!$A:$A,$D809),)</f>
        <v/>
      </c>
    </row>
    <row r="810">
      <c r="A810" s="39" t="str">
        <f>IF(AND($L810*1&gt;=$G$3,$L810*1&lt;=$G$4,$I810*$J810&gt;0,OR($I810&lt;&gt;$I811,$L810-$L811&gt;25),$I810/POW(10,$J810)*MAXIFS(Token!$B:$B,Token!$A:$A,$K810)&gt;0.01),$L810/86400+DATE(1970,1,1)+$G$6,)</f>
        <v/>
      </c>
      <c r="B810" s="27" t="str">
        <f t="shared" si="1"/>
        <v/>
      </c>
      <c r="C810" s="14" t="str">
        <f>IF($A810&lt;&gt;"",MINIFS(Merchant!$A:$A,Merchant!$B:$B,$G$2),)</f>
        <v/>
      </c>
      <c r="D810" s="14" t="str">
        <f t="shared" si="2"/>
        <v/>
      </c>
      <c r="E810" s="14" t="str">
        <f t="shared" si="3"/>
        <v/>
      </c>
      <c r="F810" s="7" t="str">
        <f>IF($A810&lt;&gt;"",MAXIFS(Token!$B:$B,Token!$A:$A,$D810),)</f>
        <v/>
      </c>
    </row>
    <row r="811">
      <c r="A811" s="39" t="str">
        <f>IF(AND($L811*1&gt;=$G$3,$L811*1&lt;=$G$4,$I811*$J811&gt;0,OR($I811&lt;&gt;$I812,$L811-$L812&gt;25),$I811/POW(10,$J811)*MAXIFS(Token!$B:$B,Token!$A:$A,$K811)&gt;0.01),$L811/86400+DATE(1970,1,1)+$G$6,)</f>
        <v/>
      </c>
      <c r="B811" s="27" t="str">
        <f t="shared" si="1"/>
        <v/>
      </c>
      <c r="C811" s="14" t="str">
        <f>IF($A811&lt;&gt;"",MINIFS(Merchant!$A:$A,Merchant!$B:$B,$G$2),)</f>
        <v/>
      </c>
      <c r="D811" s="14" t="str">
        <f t="shared" si="2"/>
        <v/>
      </c>
      <c r="E811" s="14" t="str">
        <f t="shared" si="3"/>
        <v/>
      </c>
      <c r="F811" s="7" t="str">
        <f>IF($A811&lt;&gt;"",MAXIFS(Token!$B:$B,Token!$A:$A,$D811),)</f>
        <v/>
      </c>
    </row>
    <row r="812">
      <c r="A812" s="39" t="str">
        <f>IF(AND($L812*1&gt;=$G$3,$L812*1&lt;=$G$4,$I812*$J812&gt;0,OR($I812&lt;&gt;$I813,$L812-$L813&gt;25),$I812/POW(10,$J812)*MAXIFS(Token!$B:$B,Token!$A:$A,$K812)&gt;0.01),$L812/86400+DATE(1970,1,1)+$G$6,)</f>
        <v/>
      </c>
      <c r="B812" s="27" t="str">
        <f t="shared" si="1"/>
        <v/>
      </c>
      <c r="C812" s="14" t="str">
        <f>IF($A812&lt;&gt;"",MINIFS(Merchant!$A:$A,Merchant!$B:$B,$G$2),)</f>
        <v/>
      </c>
      <c r="D812" s="14" t="str">
        <f t="shared" si="2"/>
        <v/>
      </c>
      <c r="E812" s="14" t="str">
        <f t="shared" si="3"/>
        <v/>
      </c>
      <c r="F812" s="7" t="str">
        <f>IF($A812&lt;&gt;"",MAXIFS(Token!$B:$B,Token!$A:$A,$D812),)</f>
        <v/>
      </c>
    </row>
    <row r="813">
      <c r="A813" s="39" t="str">
        <f>IF(AND($L813*1&gt;=$G$3,$L813*1&lt;=$G$4,$I813*$J813&gt;0,OR($I813&lt;&gt;$I814,$L813-$L814&gt;25),$I813/POW(10,$J813)*MAXIFS(Token!$B:$B,Token!$A:$A,$K813)&gt;0.01),$L813/86400+DATE(1970,1,1)+$G$6,)</f>
        <v/>
      </c>
      <c r="B813" s="27" t="str">
        <f t="shared" si="1"/>
        <v/>
      </c>
      <c r="C813" s="14" t="str">
        <f>IF($A813&lt;&gt;"",MINIFS(Merchant!$A:$A,Merchant!$B:$B,$G$2),)</f>
        <v/>
      </c>
      <c r="D813" s="14" t="str">
        <f t="shared" si="2"/>
        <v/>
      </c>
      <c r="E813" s="14" t="str">
        <f t="shared" si="3"/>
        <v/>
      </c>
      <c r="F813" s="7" t="str">
        <f>IF($A813&lt;&gt;"",MAXIFS(Token!$B:$B,Token!$A:$A,$D813),)</f>
        <v/>
      </c>
    </row>
    <row r="814">
      <c r="A814" s="39" t="str">
        <f>IF(AND($L814*1&gt;=$G$3,$L814*1&lt;=$G$4,$I814*$J814&gt;0,OR($I814&lt;&gt;$I815,$L814-$L815&gt;25),$I814/POW(10,$J814)*MAXIFS(Token!$B:$B,Token!$A:$A,$K814)&gt;0.01),$L814/86400+DATE(1970,1,1)+$G$6,)</f>
        <v/>
      </c>
      <c r="B814" s="27" t="str">
        <f t="shared" si="1"/>
        <v/>
      </c>
      <c r="C814" s="14" t="str">
        <f>IF($A814&lt;&gt;"",MINIFS(Merchant!$A:$A,Merchant!$B:$B,$G$2),)</f>
        <v/>
      </c>
      <c r="D814" s="14" t="str">
        <f t="shared" si="2"/>
        <v/>
      </c>
      <c r="E814" s="14" t="str">
        <f t="shared" si="3"/>
        <v/>
      </c>
      <c r="F814" s="7" t="str">
        <f>IF($A814&lt;&gt;"",MAXIFS(Token!$B:$B,Token!$A:$A,$D814),)</f>
        <v/>
      </c>
    </row>
    <row r="815">
      <c r="A815" s="39" t="str">
        <f>IF(AND($L815*1&gt;=$G$3,$L815*1&lt;=$G$4,$I815*$J815&gt;0,OR($I815&lt;&gt;$I816,$L815-$L816&gt;25),$I815/POW(10,$J815)*MAXIFS(Token!$B:$B,Token!$A:$A,$K815)&gt;0.01),$L815/86400+DATE(1970,1,1)+$G$6,)</f>
        <v/>
      </c>
      <c r="B815" s="27" t="str">
        <f t="shared" si="1"/>
        <v/>
      </c>
      <c r="C815" s="14" t="str">
        <f>IF($A815&lt;&gt;"",MINIFS(Merchant!$A:$A,Merchant!$B:$B,$G$2),)</f>
        <v/>
      </c>
      <c r="D815" s="14" t="str">
        <f t="shared" si="2"/>
        <v/>
      </c>
      <c r="E815" s="14" t="str">
        <f t="shared" si="3"/>
        <v/>
      </c>
      <c r="F815" s="7" t="str">
        <f>IF($A815&lt;&gt;"",MAXIFS(Token!$B:$B,Token!$A:$A,$D815),)</f>
        <v/>
      </c>
    </row>
    <row r="816">
      <c r="A816" s="39" t="str">
        <f>IF(AND($L816*1&gt;=$G$3,$L816*1&lt;=$G$4,$I816*$J816&gt;0,OR($I816&lt;&gt;$I817,$L816-$L817&gt;25),$I816/POW(10,$J816)*MAXIFS(Token!$B:$B,Token!$A:$A,$K816)&gt;0.01),$L816/86400+DATE(1970,1,1)+$G$6,)</f>
        <v/>
      </c>
      <c r="B816" s="27" t="str">
        <f t="shared" si="1"/>
        <v/>
      </c>
      <c r="C816" s="14" t="str">
        <f>IF($A816&lt;&gt;"",MINIFS(Merchant!$A:$A,Merchant!$B:$B,$G$2),)</f>
        <v/>
      </c>
      <c r="D816" s="14" t="str">
        <f t="shared" si="2"/>
        <v/>
      </c>
      <c r="E816" s="14" t="str">
        <f t="shared" si="3"/>
        <v/>
      </c>
      <c r="F816" s="7" t="str">
        <f>IF($A816&lt;&gt;"",MAXIFS(Token!$B:$B,Token!$A:$A,$D816),)</f>
        <v/>
      </c>
    </row>
    <row r="817">
      <c r="A817" s="39" t="str">
        <f>IF(AND($L817*1&gt;=$G$3,$L817*1&lt;=$G$4,$I817*$J817&gt;0,OR($I817&lt;&gt;$I818,$L817-$L818&gt;25),$I817/POW(10,$J817)*MAXIFS(Token!$B:$B,Token!$A:$A,$K817)&gt;0.01),$L817/86400+DATE(1970,1,1)+$G$6,)</f>
        <v/>
      </c>
      <c r="B817" s="27" t="str">
        <f t="shared" si="1"/>
        <v/>
      </c>
      <c r="C817" s="14" t="str">
        <f>IF($A817&lt;&gt;"",MINIFS(Merchant!$A:$A,Merchant!$B:$B,$G$2),)</f>
        <v/>
      </c>
      <c r="D817" s="14" t="str">
        <f t="shared" si="2"/>
        <v/>
      </c>
      <c r="E817" s="14" t="str">
        <f t="shared" si="3"/>
        <v/>
      </c>
      <c r="F817" s="7" t="str">
        <f>IF($A817&lt;&gt;"",MAXIFS(Token!$B:$B,Token!$A:$A,$D817),)</f>
        <v/>
      </c>
    </row>
    <row r="818">
      <c r="A818" s="39" t="str">
        <f>IF(AND($L818*1&gt;=$G$3,$L818*1&lt;=$G$4,$I818*$J818&gt;0,OR($I818&lt;&gt;$I819,$L818-$L819&gt;25),$I818/POW(10,$J818)*MAXIFS(Token!$B:$B,Token!$A:$A,$K818)&gt;0.01),$L818/86400+DATE(1970,1,1)+$G$6,)</f>
        <v/>
      </c>
      <c r="B818" s="27" t="str">
        <f t="shared" si="1"/>
        <v/>
      </c>
      <c r="C818" s="14" t="str">
        <f>IF($A818&lt;&gt;"",MINIFS(Merchant!$A:$A,Merchant!$B:$B,$G$2),)</f>
        <v/>
      </c>
      <c r="D818" s="14" t="str">
        <f t="shared" si="2"/>
        <v/>
      </c>
      <c r="E818" s="14" t="str">
        <f t="shared" si="3"/>
        <v/>
      </c>
      <c r="F818" s="7" t="str">
        <f>IF($A818&lt;&gt;"",MAXIFS(Token!$B:$B,Token!$A:$A,$D818),)</f>
        <v/>
      </c>
    </row>
    <row r="819">
      <c r="A819" s="39" t="str">
        <f>IF(AND($L819*1&gt;=$G$3,$L819*1&lt;=$G$4,$I819*$J819&gt;0,OR($I819&lt;&gt;$I820,$L819-$L820&gt;25),$I819/POW(10,$J819)*MAXIFS(Token!$B:$B,Token!$A:$A,$K819)&gt;0.01),$L819/86400+DATE(1970,1,1)+$G$6,)</f>
        <v/>
      </c>
      <c r="B819" s="27" t="str">
        <f t="shared" si="1"/>
        <v/>
      </c>
      <c r="C819" s="14" t="str">
        <f>IF($A819&lt;&gt;"",MINIFS(Merchant!$A:$A,Merchant!$B:$B,$G$2),)</f>
        <v/>
      </c>
      <c r="D819" s="14" t="str">
        <f t="shared" si="2"/>
        <v/>
      </c>
      <c r="E819" s="14" t="str">
        <f t="shared" si="3"/>
        <v/>
      </c>
      <c r="F819" s="7" t="str">
        <f>IF($A819&lt;&gt;"",MAXIFS(Token!$B:$B,Token!$A:$A,$D819),)</f>
        <v/>
      </c>
    </row>
    <row r="820">
      <c r="A820" s="39" t="str">
        <f>IF(AND($L820*1&gt;=$G$3,$L820*1&lt;=$G$4,$I820*$J820&gt;0,OR($I820&lt;&gt;$I821,$L820-$L821&gt;25),$I820/POW(10,$J820)*MAXIFS(Token!$B:$B,Token!$A:$A,$K820)&gt;0.01),$L820/86400+DATE(1970,1,1)+$G$6,)</f>
        <v/>
      </c>
      <c r="B820" s="27" t="str">
        <f t="shared" si="1"/>
        <v/>
      </c>
      <c r="C820" s="14" t="str">
        <f>IF($A820&lt;&gt;"",MINIFS(Merchant!$A:$A,Merchant!$B:$B,$G$2),)</f>
        <v/>
      </c>
      <c r="D820" s="14" t="str">
        <f t="shared" si="2"/>
        <v/>
      </c>
      <c r="E820" s="14" t="str">
        <f t="shared" si="3"/>
        <v/>
      </c>
      <c r="F820" s="7" t="str">
        <f>IF($A820&lt;&gt;"",MAXIFS(Token!$B:$B,Token!$A:$A,$D820),)</f>
        <v/>
      </c>
    </row>
    <row r="821">
      <c r="A821" s="39" t="str">
        <f>IF(AND($L821*1&gt;=$G$3,$L821*1&lt;=$G$4,$I821*$J821&gt;0,OR($I821&lt;&gt;$I822,$L821-$L822&gt;25),$I821/POW(10,$J821)*MAXIFS(Token!$B:$B,Token!$A:$A,$K821)&gt;0.01),$L821/86400+DATE(1970,1,1)+$G$6,)</f>
        <v/>
      </c>
      <c r="B821" s="27" t="str">
        <f t="shared" si="1"/>
        <v/>
      </c>
      <c r="C821" s="14" t="str">
        <f>IF($A821&lt;&gt;"",MINIFS(Merchant!$A:$A,Merchant!$B:$B,$G$2),)</f>
        <v/>
      </c>
      <c r="D821" s="14" t="str">
        <f t="shared" si="2"/>
        <v/>
      </c>
      <c r="E821" s="14" t="str">
        <f t="shared" si="3"/>
        <v/>
      </c>
      <c r="F821" s="7" t="str">
        <f>IF($A821&lt;&gt;"",MAXIFS(Token!$B:$B,Token!$A:$A,$D821),)</f>
        <v/>
      </c>
    </row>
    <row r="822">
      <c r="A822" s="39" t="str">
        <f>IF(AND($L822*1&gt;=$G$3,$L822*1&lt;=$G$4,$I822*$J822&gt;0,OR($I822&lt;&gt;$I823,$L822-$L823&gt;25),$I822/POW(10,$J822)*MAXIFS(Token!$B:$B,Token!$A:$A,$K822)&gt;0.01),$L822/86400+DATE(1970,1,1)+$G$6,)</f>
        <v/>
      </c>
      <c r="B822" s="27" t="str">
        <f t="shared" si="1"/>
        <v/>
      </c>
      <c r="C822" s="14" t="str">
        <f>IF($A822&lt;&gt;"",MINIFS(Merchant!$A:$A,Merchant!$B:$B,$G$2),)</f>
        <v/>
      </c>
      <c r="D822" s="14" t="str">
        <f t="shared" si="2"/>
        <v/>
      </c>
      <c r="E822" s="14" t="str">
        <f t="shared" si="3"/>
        <v/>
      </c>
      <c r="F822" s="7" t="str">
        <f>IF($A822&lt;&gt;"",MAXIFS(Token!$B:$B,Token!$A:$A,$D822),)</f>
        <v/>
      </c>
    </row>
    <row r="823">
      <c r="A823" s="39" t="str">
        <f>IF(AND($L823*1&gt;=$G$3,$L823*1&lt;=$G$4,$I823*$J823&gt;0,OR($I823&lt;&gt;$I824,$L823-$L824&gt;25),$I823/POW(10,$J823)*MAXIFS(Token!$B:$B,Token!$A:$A,$K823)&gt;0.01),$L823/86400+DATE(1970,1,1)+$G$6,)</f>
        <v/>
      </c>
      <c r="B823" s="27" t="str">
        <f t="shared" si="1"/>
        <v/>
      </c>
      <c r="C823" s="14" t="str">
        <f>IF($A823&lt;&gt;"",MINIFS(Merchant!$A:$A,Merchant!$B:$B,$G$2),)</f>
        <v/>
      </c>
      <c r="D823" s="14" t="str">
        <f t="shared" si="2"/>
        <v/>
      </c>
      <c r="E823" s="14" t="str">
        <f t="shared" si="3"/>
        <v/>
      </c>
      <c r="F823" s="7" t="str">
        <f>IF($A823&lt;&gt;"",MAXIFS(Token!$B:$B,Token!$A:$A,$D823),)</f>
        <v/>
      </c>
    </row>
    <row r="824">
      <c r="A824" s="39" t="str">
        <f>IF(AND($L824*1&gt;=$G$3,$L824*1&lt;=$G$4,$I824*$J824&gt;0,OR($I824&lt;&gt;$I825,$L824-$L825&gt;25),$I824/POW(10,$J824)*MAXIFS(Token!$B:$B,Token!$A:$A,$K824)&gt;0.01),$L824/86400+DATE(1970,1,1)+$G$6,)</f>
        <v/>
      </c>
      <c r="B824" s="27" t="str">
        <f t="shared" si="1"/>
        <v/>
      </c>
      <c r="C824" s="14" t="str">
        <f>IF($A824&lt;&gt;"",MINIFS(Merchant!$A:$A,Merchant!$B:$B,$G$2),)</f>
        <v/>
      </c>
      <c r="D824" s="14" t="str">
        <f t="shared" si="2"/>
        <v/>
      </c>
      <c r="E824" s="14" t="str">
        <f t="shared" si="3"/>
        <v/>
      </c>
      <c r="F824" s="7" t="str">
        <f>IF($A824&lt;&gt;"",MAXIFS(Token!$B:$B,Token!$A:$A,$D824),)</f>
        <v/>
      </c>
    </row>
    <row r="825">
      <c r="A825" s="39" t="str">
        <f>IF(AND($L825*1&gt;=$G$3,$L825*1&lt;=$G$4,$I825*$J825&gt;0,OR($I825&lt;&gt;$I826,$L825-$L826&gt;25),$I825/POW(10,$J825)*MAXIFS(Token!$B:$B,Token!$A:$A,$K825)&gt;0.01),$L825/86400+DATE(1970,1,1)+$G$6,)</f>
        <v/>
      </c>
      <c r="B825" s="27" t="str">
        <f t="shared" si="1"/>
        <v/>
      </c>
      <c r="C825" s="14" t="str">
        <f>IF($A825&lt;&gt;"",MINIFS(Merchant!$A:$A,Merchant!$B:$B,$G$2),)</f>
        <v/>
      </c>
      <c r="D825" s="14" t="str">
        <f t="shared" si="2"/>
        <v/>
      </c>
      <c r="E825" s="14" t="str">
        <f t="shared" si="3"/>
        <v/>
      </c>
      <c r="F825" s="7" t="str">
        <f>IF($A825&lt;&gt;"",MAXIFS(Token!$B:$B,Token!$A:$A,$D825),)</f>
        <v/>
      </c>
    </row>
    <row r="826">
      <c r="A826" s="39" t="str">
        <f>IF(AND($L826*1&gt;=$G$3,$L826*1&lt;=$G$4,$I826*$J826&gt;0,OR($I826&lt;&gt;$I827,$L826-$L827&gt;25),$I826/POW(10,$J826)*MAXIFS(Token!$B:$B,Token!$A:$A,$K826)&gt;0.01),$L826/86400+DATE(1970,1,1)+$G$6,)</f>
        <v/>
      </c>
      <c r="B826" s="27" t="str">
        <f t="shared" si="1"/>
        <v/>
      </c>
      <c r="C826" s="14" t="str">
        <f>IF($A826&lt;&gt;"",MINIFS(Merchant!$A:$A,Merchant!$B:$B,$G$2),)</f>
        <v/>
      </c>
      <c r="D826" s="14" t="str">
        <f t="shared" si="2"/>
        <v/>
      </c>
      <c r="E826" s="14" t="str">
        <f t="shared" si="3"/>
        <v/>
      </c>
      <c r="F826" s="7" t="str">
        <f>IF($A826&lt;&gt;"",MAXIFS(Token!$B:$B,Token!$A:$A,$D826),)</f>
        <v/>
      </c>
    </row>
    <row r="827">
      <c r="A827" s="39" t="str">
        <f>IF(AND($L827*1&gt;=$G$3,$L827*1&lt;=$G$4,$I827*$J827&gt;0,OR($I827&lt;&gt;$I828,$L827-$L828&gt;25),$I827/POW(10,$J827)*MAXIFS(Token!$B:$B,Token!$A:$A,$K827)&gt;0.01),$L827/86400+DATE(1970,1,1)+$G$6,)</f>
        <v/>
      </c>
      <c r="B827" s="27" t="str">
        <f t="shared" si="1"/>
        <v/>
      </c>
      <c r="C827" s="14" t="str">
        <f>IF($A827&lt;&gt;"",MINIFS(Merchant!$A:$A,Merchant!$B:$B,$G$2),)</f>
        <v/>
      </c>
      <c r="D827" s="14" t="str">
        <f t="shared" si="2"/>
        <v/>
      </c>
      <c r="E827" s="14" t="str">
        <f t="shared" si="3"/>
        <v/>
      </c>
      <c r="F827" s="7" t="str">
        <f>IF($A827&lt;&gt;"",MAXIFS(Token!$B:$B,Token!$A:$A,$D827),)</f>
        <v/>
      </c>
    </row>
    <row r="828">
      <c r="A828" s="39" t="str">
        <f>IF(AND($L828*1&gt;=$G$3,$L828*1&lt;=$G$4,$I828*$J828&gt;0,OR($I828&lt;&gt;$I829,$L828-$L829&gt;25),$I828/POW(10,$J828)*MAXIFS(Token!$B:$B,Token!$A:$A,$K828)&gt;0.01),$L828/86400+DATE(1970,1,1)+$G$6,)</f>
        <v/>
      </c>
      <c r="B828" s="27" t="str">
        <f t="shared" si="1"/>
        <v/>
      </c>
      <c r="C828" s="14" t="str">
        <f>IF($A828&lt;&gt;"",MINIFS(Merchant!$A:$A,Merchant!$B:$B,$G$2),)</f>
        <v/>
      </c>
      <c r="D828" s="14" t="str">
        <f t="shared" si="2"/>
        <v/>
      </c>
      <c r="E828" s="14" t="str">
        <f t="shared" si="3"/>
        <v/>
      </c>
      <c r="F828" s="7" t="str">
        <f>IF($A828&lt;&gt;"",MAXIFS(Token!$B:$B,Token!$A:$A,$D828),)</f>
        <v/>
      </c>
    </row>
    <row r="829">
      <c r="A829" s="39" t="str">
        <f>IF(AND($L829*1&gt;=$G$3,$L829*1&lt;=$G$4,$I829*$J829&gt;0,OR($I829&lt;&gt;$I830,$L829-$L830&gt;25),$I829/POW(10,$J829)*MAXIFS(Token!$B:$B,Token!$A:$A,$K829)&gt;0.01),$L829/86400+DATE(1970,1,1)+$G$6,)</f>
        <v/>
      </c>
      <c r="B829" s="27" t="str">
        <f t="shared" si="1"/>
        <v/>
      </c>
      <c r="C829" s="14" t="str">
        <f>IF($A829&lt;&gt;"",MINIFS(Merchant!$A:$A,Merchant!$B:$B,$G$2),)</f>
        <v/>
      </c>
      <c r="D829" s="14" t="str">
        <f t="shared" si="2"/>
        <v/>
      </c>
      <c r="E829" s="14" t="str">
        <f t="shared" si="3"/>
        <v/>
      </c>
      <c r="F829" s="7" t="str">
        <f>IF($A829&lt;&gt;"",MAXIFS(Token!$B:$B,Token!$A:$A,$D829),)</f>
        <v/>
      </c>
    </row>
    <row r="830">
      <c r="A830" s="39" t="str">
        <f>IF(AND($L830*1&gt;=$G$3,$L830*1&lt;=$G$4,$I830*$J830&gt;0,OR($I830&lt;&gt;$I831,$L830-$L831&gt;25),$I830/POW(10,$J830)*MAXIFS(Token!$B:$B,Token!$A:$A,$K830)&gt;0.01),$L830/86400+DATE(1970,1,1)+$G$6,)</f>
        <v/>
      </c>
      <c r="B830" s="27" t="str">
        <f t="shared" si="1"/>
        <v/>
      </c>
      <c r="C830" s="14" t="str">
        <f>IF($A830&lt;&gt;"",MINIFS(Merchant!$A:$A,Merchant!$B:$B,$G$2),)</f>
        <v/>
      </c>
      <c r="D830" s="14" t="str">
        <f t="shared" si="2"/>
        <v/>
      </c>
      <c r="E830" s="14" t="str">
        <f t="shared" si="3"/>
        <v/>
      </c>
      <c r="F830" s="7" t="str">
        <f>IF($A830&lt;&gt;"",MAXIFS(Token!$B:$B,Token!$A:$A,$D830),)</f>
        <v/>
      </c>
    </row>
    <row r="831">
      <c r="A831" s="39" t="str">
        <f>IF(AND($L831*1&gt;=$G$3,$L831*1&lt;=$G$4,$I831*$J831&gt;0,OR($I831&lt;&gt;$I832,$L831-$L832&gt;25),$I831/POW(10,$J831)*MAXIFS(Token!$B:$B,Token!$A:$A,$K831)&gt;0.01),$L831/86400+DATE(1970,1,1)+$G$6,)</f>
        <v/>
      </c>
      <c r="B831" s="27" t="str">
        <f t="shared" si="1"/>
        <v/>
      </c>
      <c r="C831" s="14" t="str">
        <f>IF($A831&lt;&gt;"",MINIFS(Merchant!$A:$A,Merchant!$B:$B,$G$2),)</f>
        <v/>
      </c>
      <c r="D831" s="14" t="str">
        <f t="shared" si="2"/>
        <v/>
      </c>
      <c r="E831" s="14" t="str">
        <f t="shared" si="3"/>
        <v/>
      </c>
      <c r="F831" s="7" t="str">
        <f>IF($A831&lt;&gt;"",MAXIFS(Token!$B:$B,Token!$A:$A,$D831),)</f>
        <v/>
      </c>
    </row>
    <row r="832">
      <c r="A832" s="39" t="str">
        <f>IF(AND($L832*1&gt;=$G$3,$L832*1&lt;=$G$4,$I832*$J832&gt;0,OR($I832&lt;&gt;$I833,$L832-$L833&gt;25),$I832/POW(10,$J832)*MAXIFS(Token!$B:$B,Token!$A:$A,$K832)&gt;0.01),$L832/86400+DATE(1970,1,1)+$G$6,)</f>
        <v/>
      </c>
      <c r="B832" s="27" t="str">
        <f t="shared" si="1"/>
        <v/>
      </c>
      <c r="C832" s="14" t="str">
        <f>IF($A832&lt;&gt;"",MINIFS(Merchant!$A:$A,Merchant!$B:$B,$G$2),)</f>
        <v/>
      </c>
      <c r="D832" s="14" t="str">
        <f t="shared" si="2"/>
        <v/>
      </c>
      <c r="E832" s="14" t="str">
        <f t="shared" si="3"/>
        <v/>
      </c>
      <c r="F832" s="7" t="str">
        <f>IF($A832&lt;&gt;"",MAXIFS(Token!$B:$B,Token!$A:$A,$D832),)</f>
        <v/>
      </c>
    </row>
    <row r="833">
      <c r="A833" s="39" t="str">
        <f>IF(AND($L833*1&gt;=$G$3,$L833*1&lt;=$G$4,$I833*$J833&gt;0,OR($I833&lt;&gt;$I834,$L833-$L834&gt;25),$I833/POW(10,$J833)*MAXIFS(Token!$B:$B,Token!$A:$A,$K833)&gt;0.01),$L833/86400+DATE(1970,1,1)+$G$6,)</f>
        <v/>
      </c>
      <c r="B833" s="27" t="str">
        <f t="shared" si="1"/>
        <v/>
      </c>
      <c r="C833" s="14" t="str">
        <f>IF($A833&lt;&gt;"",MINIFS(Merchant!$A:$A,Merchant!$B:$B,$G$2),)</f>
        <v/>
      </c>
      <c r="D833" s="14" t="str">
        <f t="shared" si="2"/>
        <v/>
      </c>
      <c r="E833" s="14" t="str">
        <f t="shared" si="3"/>
        <v/>
      </c>
      <c r="F833" s="7" t="str">
        <f>IF($A833&lt;&gt;"",MAXIFS(Token!$B:$B,Token!$A:$A,$D833),)</f>
        <v/>
      </c>
    </row>
    <row r="834">
      <c r="A834" s="39" t="str">
        <f>IF(AND($L834*1&gt;=$G$3,$L834*1&lt;=$G$4,$I834*$J834&gt;0,OR($I834&lt;&gt;$I835,$L834-$L835&gt;25),$I834/POW(10,$J834)*MAXIFS(Token!$B:$B,Token!$A:$A,$K834)&gt;0.01),$L834/86400+DATE(1970,1,1)+$G$6,)</f>
        <v/>
      </c>
      <c r="B834" s="27" t="str">
        <f t="shared" si="1"/>
        <v/>
      </c>
      <c r="C834" s="14" t="str">
        <f>IF($A834&lt;&gt;"",MINIFS(Merchant!$A:$A,Merchant!$B:$B,$G$2),)</f>
        <v/>
      </c>
      <c r="D834" s="14" t="str">
        <f t="shared" si="2"/>
        <v/>
      </c>
      <c r="E834" s="14" t="str">
        <f t="shared" si="3"/>
        <v/>
      </c>
      <c r="F834" s="7" t="str">
        <f>IF($A834&lt;&gt;"",MAXIFS(Token!$B:$B,Token!$A:$A,$D834),)</f>
        <v/>
      </c>
    </row>
    <row r="835">
      <c r="A835" s="39" t="str">
        <f>IF(AND($L835*1&gt;=$G$3,$L835*1&lt;=$G$4,$I835*$J835&gt;0,OR($I835&lt;&gt;$I836,$L835-$L836&gt;25),$I835/POW(10,$J835)*MAXIFS(Token!$B:$B,Token!$A:$A,$K835)&gt;0.01),$L835/86400+DATE(1970,1,1)+$G$6,)</f>
        <v/>
      </c>
      <c r="B835" s="27" t="str">
        <f t="shared" si="1"/>
        <v/>
      </c>
      <c r="C835" s="14" t="str">
        <f>IF($A835&lt;&gt;"",MINIFS(Merchant!$A:$A,Merchant!$B:$B,$G$2),)</f>
        <v/>
      </c>
      <c r="D835" s="14" t="str">
        <f t="shared" si="2"/>
        <v/>
      </c>
      <c r="E835" s="14" t="str">
        <f t="shared" si="3"/>
        <v/>
      </c>
      <c r="F835" s="7" t="str">
        <f>IF($A835&lt;&gt;"",MAXIFS(Token!$B:$B,Token!$A:$A,$D835),)</f>
        <v/>
      </c>
    </row>
    <row r="836">
      <c r="A836" s="39" t="str">
        <f>IF(AND($L836*1&gt;=$G$3,$L836*1&lt;=$G$4,$I836*$J836&gt;0,OR($I836&lt;&gt;$I837,$L836-$L837&gt;25),$I836/POW(10,$J836)*MAXIFS(Token!$B:$B,Token!$A:$A,$K836)&gt;0.01),$L836/86400+DATE(1970,1,1)+$G$6,)</f>
        <v/>
      </c>
      <c r="B836" s="27" t="str">
        <f t="shared" si="1"/>
        <v/>
      </c>
      <c r="C836" s="14" t="str">
        <f>IF($A836&lt;&gt;"",MINIFS(Merchant!$A:$A,Merchant!$B:$B,$G$2),)</f>
        <v/>
      </c>
      <c r="D836" s="14" t="str">
        <f t="shared" si="2"/>
        <v/>
      </c>
      <c r="E836" s="14" t="str">
        <f t="shared" si="3"/>
        <v/>
      </c>
      <c r="F836" s="7" t="str">
        <f>IF($A836&lt;&gt;"",MAXIFS(Token!$B:$B,Token!$A:$A,$D836),)</f>
        <v/>
      </c>
    </row>
    <row r="837">
      <c r="A837" s="39" t="str">
        <f>IF(AND($L837*1&gt;=$G$3,$L837*1&lt;=$G$4,$I837*$J837&gt;0,OR($I837&lt;&gt;$I838,$L837-$L838&gt;25),$I837/POW(10,$J837)*MAXIFS(Token!$B:$B,Token!$A:$A,$K837)&gt;0.01),$L837/86400+DATE(1970,1,1)+$G$6,)</f>
        <v/>
      </c>
      <c r="B837" s="27" t="str">
        <f t="shared" si="1"/>
        <v/>
      </c>
      <c r="C837" s="14" t="str">
        <f>IF($A837&lt;&gt;"",MINIFS(Merchant!$A:$A,Merchant!$B:$B,$G$2),)</f>
        <v/>
      </c>
      <c r="D837" s="14" t="str">
        <f t="shared" si="2"/>
        <v/>
      </c>
      <c r="E837" s="14" t="str">
        <f t="shared" si="3"/>
        <v/>
      </c>
      <c r="F837" s="7" t="str">
        <f>IF($A837&lt;&gt;"",MAXIFS(Token!$B:$B,Token!$A:$A,$D837),)</f>
        <v/>
      </c>
    </row>
    <row r="838">
      <c r="A838" s="39" t="str">
        <f>IF(AND($L838*1&gt;=$G$3,$L838*1&lt;=$G$4,$I838*$J838&gt;0,OR($I838&lt;&gt;$I839,$L838-$L839&gt;25),$I838/POW(10,$J838)*MAXIFS(Token!$B:$B,Token!$A:$A,$K838)&gt;0.01),$L838/86400+DATE(1970,1,1)+$G$6,)</f>
        <v/>
      </c>
      <c r="B838" s="27" t="str">
        <f t="shared" si="1"/>
        <v/>
      </c>
      <c r="C838" s="14" t="str">
        <f>IF($A838&lt;&gt;"",MINIFS(Merchant!$A:$A,Merchant!$B:$B,$G$2),)</f>
        <v/>
      </c>
      <c r="D838" s="14" t="str">
        <f t="shared" si="2"/>
        <v/>
      </c>
      <c r="E838" s="14" t="str">
        <f t="shared" si="3"/>
        <v/>
      </c>
      <c r="F838" s="7" t="str">
        <f>IF($A838&lt;&gt;"",MAXIFS(Token!$B:$B,Token!$A:$A,$D838),)</f>
        <v/>
      </c>
    </row>
    <row r="839">
      <c r="A839" s="39" t="str">
        <f>IF(AND($L839*1&gt;=$G$3,$L839*1&lt;=$G$4,$I839*$J839&gt;0,OR($I839&lt;&gt;$I840,$L839-$L840&gt;25),$I839/POW(10,$J839)*MAXIFS(Token!$B:$B,Token!$A:$A,$K839)&gt;0.01),$L839/86400+DATE(1970,1,1)+$G$6,)</f>
        <v/>
      </c>
      <c r="B839" s="27" t="str">
        <f t="shared" si="1"/>
        <v/>
      </c>
      <c r="C839" s="14" t="str">
        <f>IF($A839&lt;&gt;"",MINIFS(Merchant!$A:$A,Merchant!$B:$B,$G$2),)</f>
        <v/>
      </c>
      <c r="D839" s="14" t="str">
        <f t="shared" si="2"/>
        <v/>
      </c>
      <c r="E839" s="14" t="str">
        <f t="shared" si="3"/>
        <v/>
      </c>
      <c r="F839" s="7" t="str">
        <f>IF($A839&lt;&gt;"",MAXIFS(Token!$B:$B,Token!$A:$A,$D839),)</f>
        <v/>
      </c>
    </row>
    <row r="840">
      <c r="A840" s="39" t="str">
        <f>IF(AND($L840*1&gt;=$G$3,$L840*1&lt;=$G$4,$I840*$J840&gt;0,OR($I840&lt;&gt;$I841,$L840-$L841&gt;25),$I840/POW(10,$J840)*MAXIFS(Token!$B:$B,Token!$A:$A,$K840)&gt;0.01),$L840/86400+DATE(1970,1,1)+$G$6,)</f>
        <v/>
      </c>
      <c r="B840" s="27" t="str">
        <f t="shared" si="1"/>
        <v/>
      </c>
      <c r="C840" s="14" t="str">
        <f>IF($A840&lt;&gt;"",MINIFS(Merchant!$A:$A,Merchant!$B:$B,$G$2),)</f>
        <v/>
      </c>
      <c r="D840" s="14" t="str">
        <f t="shared" si="2"/>
        <v/>
      </c>
      <c r="E840" s="14" t="str">
        <f t="shared" si="3"/>
        <v/>
      </c>
      <c r="F840" s="7" t="str">
        <f>IF($A840&lt;&gt;"",MAXIFS(Token!$B:$B,Token!$A:$A,$D840),)</f>
        <v/>
      </c>
    </row>
    <row r="841">
      <c r="A841" s="39" t="str">
        <f>IF(AND($L841*1&gt;=$G$3,$L841*1&lt;=$G$4,$I841*$J841&gt;0,OR($I841&lt;&gt;$I842,$L841-$L842&gt;25),$I841/POW(10,$J841)*MAXIFS(Token!$B:$B,Token!$A:$A,$K841)&gt;0.01),$L841/86400+DATE(1970,1,1)+$G$6,)</f>
        <v/>
      </c>
      <c r="B841" s="27" t="str">
        <f t="shared" si="1"/>
        <v/>
      </c>
      <c r="C841" s="14" t="str">
        <f>IF($A841&lt;&gt;"",MINIFS(Merchant!$A:$A,Merchant!$B:$B,$G$2),)</f>
        <v/>
      </c>
      <c r="D841" s="14" t="str">
        <f t="shared" si="2"/>
        <v/>
      </c>
      <c r="E841" s="14" t="str">
        <f t="shared" si="3"/>
        <v/>
      </c>
      <c r="F841" s="7" t="str">
        <f>IF($A841&lt;&gt;"",MAXIFS(Token!$B:$B,Token!$A:$A,$D841),)</f>
        <v/>
      </c>
    </row>
    <row r="842">
      <c r="A842" s="39" t="str">
        <f>IF(AND($L842*1&gt;=$G$3,$L842*1&lt;=$G$4,$I842*$J842&gt;0,OR($I842&lt;&gt;$I843,$L842-$L843&gt;25),$I842/POW(10,$J842)*MAXIFS(Token!$B:$B,Token!$A:$A,$K842)&gt;0.01),$L842/86400+DATE(1970,1,1)+$G$6,)</f>
        <v/>
      </c>
      <c r="B842" s="27" t="str">
        <f t="shared" si="1"/>
        <v/>
      </c>
      <c r="C842" s="14" t="str">
        <f>IF($A842&lt;&gt;"",MINIFS(Merchant!$A:$A,Merchant!$B:$B,$G$2),)</f>
        <v/>
      </c>
      <c r="D842" s="14" t="str">
        <f t="shared" si="2"/>
        <v/>
      </c>
      <c r="E842" s="14" t="str">
        <f t="shared" si="3"/>
        <v/>
      </c>
      <c r="F842" s="7" t="str">
        <f>IF($A842&lt;&gt;"",MAXIFS(Token!$B:$B,Token!$A:$A,$D842),)</f>
        <v/>
      </c>
    </row>
    <row r="843">
      <c r="A843" s="39" t="str">
        <f>IF(AND($L843*1&gt;=$G$3,$L843*1&lt;=$G$4,$I843*$J843&gt;0,OR($I843&lt;&gt;$I844,$L843-$L844&gt;25),$I843/POW(10,$J843)*MAXIFS(Token!$B:$B,Token!$A:$A,$K843)&gt;0.01),$L843/86400+DATE(1970,1,1)+$G$6,)</f>
        <v/>
      </c>
      <c r="B843" s="27" t="str">
        <f t="shared" si="1"/>
        <v/>
      </c>
      <c r="C843" s="14" t="str">
        <f>IF($A843&lt;&gt;"",MINIFS(Merchant!$A:$A,Merchant!$B:$B,$G$2),)</f>
        <v/>
      </c>
      <c r="D843" s="14" t="str">
        <f t="shared" si="2"/>
        <v/>
      </c>
      <c r="E843" s="14" t="str">
        <f t="shared" si="3"/>
        <v/>
      </c>
      <c r="F843" s="7" t="str">
        <f>IF($A843&lt;&gt;"",MAXIFS(Token!$B:$B,Token!$A:$A,$D843),)</f>
        <v/>
      </c>
    </row>
    <row r="844">
      <c r="A844" s="39" t="str">
        <f>IF(AND($L844*1&gt;=$G$3,$L844*1&lt;=$G$4,$I844*$J844&gt;0,OR($I844&lt;&gt;$I845,$L844-$L845&gt;25),$I844/POW(10,$J844)*MAXIFS(Token!$B:$B,Token!$A:$A,$K844)&gt;0.01),$L844/86400+DATE(1970,1,1)+$G$6,)</f>
        <v/>
      </c>
      <c r="B844" s="27" t="str">
        <f t="shared" si="1"/>
        <v/>
      </c>
      <c r="C844" s="14" t="str">
        <f>IF($A844&lt;&gt;"",MINIFS(Merchant!$A:$A,Merchant!$B:$B,$G$2),)</f>
        <v/>
      </c>
      <c r="D844" s="14" t="str">
        <f t="shared" si="2"/>
        <v/>
      </c>
      <c r="E844" s="14" t="str">
        <f t="shared" si="3"/>
        <v/>
      </c>
      <c r="F844" s="7" t="str">
        <f>IF($A844&lt;&gt;"",MAXIFS(Token!$B:$B,Token!$A:$A,$D844),)</f>
        <v/>
      </c>
    </row>
    <row r="845">
      <c r="A845" s="39" t="str">
        <f>IF(AND($L845*1&gt;=$G$3,$L845*1&lt;=$G$4,$I845*$J845&gt;0,OR($I845&lt;&gt;$I846,$L845-$L846&gt;25),$I845/POW(10,$J845)*MAXIFS(Token!$B:$B,Token!$A:$A,$K845)&gt;0.01),$L845/86400+DATE(1970,1,1)+$G$6,)</f>
        <v/>
      </c>
      <c r="B845" s="27" t="str">
        <f t="shared" si="1"/>
        <v/>
      </c>
      <c r="C845" s="14" t="str">
        <f>IF($A845&lt;&gt;"",MINIFS(Merchant!$A:$A,Merchant!$B:$B,$G$2),)</f>
        <v/>
      </c>
      <c r="D845" s="14" t="str">
        <f t="shared" si="2"/>
        <v/>
      </c>
      <c r="E845" s="14" t="str">
        <f t="shared" si="3"/>
        <v/>
      </c>
      <c r="F845" s="7" t="str">
        <f>IF($A845&lt;&gt;"",MAXIFS(Token!$B:$B,Token!$A:$A,$D845),)</f>
        <v/>
      </c>
    </row>
    <row r="846">
      <c r="A846" s="39" t="str">
        <f>IF(AND($L846*1&gt;=$G$3,$L846*1&lt;=$G$4,$I846*$J846&gt;0,OR($I846&lt;&gt;$I847,$L846-$L847&gt;25),$I846/POW(10,$J846)*MAXIFS(Token!$B:$B,Token!$A:$A,$K846)&gt;0.01),$L846/86400+DATE(1970,1,1)+$G$6,)</f>
        <v/>
      </c>
      <c r="B846" s="27" t="str">
        <f t="shared" si="1"/>
        <v/>
      </c>
      <c r="C846" s="14" t="str">
        <f>IF($A846&lt;&gt;"",MINIFS(Merchant!$A:$A,Merchant!$B:$B,$G$2),)</f>
        <v/>
      </c>
      <c r="D846" s="14" t="str">
        <f t="shared" si="2"/>
        <v/>
      </c>
      <c r="E846" s="14" t="str">
        <f t="shared" si="3"/>
        <v/>
      </c>
      <c r="F846" s="7" t="str">
        <f>IF($A846&lt;&gt;"",MAXIFS(Token!$B:$B,Token!$A:$A,$D846),)</f>
        <v/>
      </c>
    </row>
    <row r="847">
      <c r="A847" s="39" t="str">
        <f>IF(AND($L847*1&gt;=$G$3,$L847*1&lt;=$G$4,$I847*$J847&gt;0,OR($I847&lt;&gt;$I848,$L847-$L848&gt;25),$I847/POW(10,$J847)*MAXIFS(Token!$B:$B,Token!$A:$A,$K847)&gt;0.01),$L847/86400+DATE(1970,1,1)+$G$6,)</f>
        <v/>
      </c>
      <c r="B847" s="27" t="str">
        <f t="shared" si="1"/>
        <v/>
      </c>
      <c r="C847" s="14" t="str">
        <f>IF($A847&lt;&gt;"",MINIFS(Merchant!$A:$A,Merchant!$B:$B,$G$2),)</f>
        <v/>
      </c>
      <c r="D847" s="14" t="str">
        <f t="shared" si="2"/>
        <v/>
      </c>
      <c r="E847" s="14" t="str">
        <f t="shared" si="3"/>
        <v/>
      </c>
      <c r="F847" s="7" t="str">
        <f>IF($A847&lt;&gt;"",MAXIFS(Token!$B:$B,Token!$A:$A,$D847),)</f>
        <v/>
      </c>
    </row>
    <row r="848">
      <c r="A848" s="39" t="str">
        <f>IF(AND($L848*1&gt;=$G$3,$L848*1&lt;=$G$4,$I848*$J848&gt;0,OR($I848&lt;&gt;$I849,$L848-$L849&gt;25),$I848/POW(10,$J848)*MAXIFS(Token!$B:$B,Token!$A:$A,$K848)&gt;0.01),$L848/86400+DATE(1970,1,1)+$G$6,)</f>
        <v/>
      </c>
      <c r="B848" s="27" t="str">
        <f t="shared" si="1"/>
        <v/>
      </c>
      <c r="C848" s="14" t="str">
        <f>IF($A848&lt;&gt;"",MINIFS(Merchant!$A:$A,Merchant!$B:$B,$G$2),)</f>
        <v/>
      </c>
      <c r="D848" s="14" t="str">
        <f t="shared" si="2"/>
        <v/>
      </c>
      <c r="E848" s="14" t="str">
        <f t="shared" si="3"/>
        <v/>
      </c>
      <c r="F848" s="7" t="str">
        <f>IF($A848&lt;&gt;"",MAXIFS(Token!$B:$B,Token!$A:$A,$D848),)</f>
        <v/>
      </c>
    </row>
    <row r="849">
      <c r="A849" s="39" t="str">
        <f>IF(AND($L849*1&gt;=$G$3,$L849*1&lt;=$G$4,$I849*$J849&gt;0,OR($I849&lt;&gt;$I850,$L849-$L850&gt;25),$I849/POW(10,$J849)*MAXIFS(Token!$B:$B,Token!$A:$A,$K849)&gt;0.01),$L849/86400+DATE(1970,1,1)+$G$6,)</f>
        <v/>
      </c>
      <c r="B849" s="27" t="str">
        <f t="shared" si="1"/>
        <v/>
      </c>
      <c r="C849" s="14" t="str">
        <f>IF($A849&lt;&gt;"",MINIFS(Merchant!$A:$A,Merchant!$B:$B,$G$2),)</f>
        <v/>
      </c>
      <c r="D849" s="14" t="str">
        <f t="shared" si="2"/>
        <v/>
      </c>
      <c r="E849" s="14" t="str">
        <f t="shared" si="3"/>
        <v/>
      </c>
      <c r="F849" s="7" t="str">
        <f>IF($A849&lt;&gt;"",MAXIFS(Token!$B:$B,Token!$A:$A,$D849),)</f>
        <v/>
      </c>
    </row>
    <row r="850">
      <c r="A850" s="39" t="str">
        <f>IF(AND($L850*1&gt;=$G$3,$L850*1&lt;=$G$4,$I850*$J850&gt;0,OR($I850&lt;&gt;$I851,$L850-$L851&gt;25),$I850/POW(10,$J850)*MAXIFS(Token!$B:$B,Token!$A:$A,$K850)&gt;0.01),$L850/86400+DATE(1970,1,1)+$G$6,)</f>
        <v/>
      </c>
      <c r="B850" s="27" t="str">
        <f t="shared" si="1"/>
        <v/>
      </c>
      <c r="C850" s="14" t="str">
        <f>IF($A850&lt;&gt;"",MINIFS(Merchant!$A:$A,Merchant!$B:$B,$G$2),)</f>
        <v/>
      </c>
      <c r="D850" s="14" t="str">
        <f t="shared" si="2"/>
        <v/>
      </c>
      <c r="E850" s="14" t="str">
        <f t="shared" si="3"/>
        <v/>
      </c>
      <c r="F850" s="7" t="str">
        <f>IF($A850&lt;&gt;"",MAXIFS(Token!$B:$B,Token!$A:$A,$D850),)</f>
        <v/>
      </c>
    </row>
    <row r="851">
      <c r="A851" s="39" t="str">
        <f>IF(AND($L851*1&gt;=$G$3,$L851*1&lt;=$G$4,$I851*$J851&gt;0,OR($I851&lt;&gt;$I852,$L851-$L852&gt;25),$I851/POW(10,$J851)*MAXIFS(Token!$B:$B,Token!$A:$A,$K851)&gt;0.01),$L851/86400+DATE(1970,1,1)+$G$6,)</f>
        <v/>
      </c>
      <c r="B851" s="27" t="str">
        <f t="shared" si="1"/>
        <v/>
      </c>
      <c r="C851" s="14" t="str">
        <f>IF($A851&lt;&gt;"",MINIFS(Merchant!$A:$A,Merchant!$B:$B,$G$2),)</f>
        <v/>
      </c>
      <c r="D851" s="14" t="str">
        <f t="shared" si="2"/>
        <v/>
      </c>
      <c r="E851" s="14" t="str">
        <f t="shared" si="3"/>
        <v/>
      </c>
      <c r="F851" s="7" t="str">
        <f>IF($A851&lt;&gt;"",MAXIFS(Token!$B:$B,Token!$A:$A,$D851),)</f>
        <v/>
      </c>
    </row>
    <row r="852">
      <c r="A852" s="39" t="str">
        <f>IF(AND($L852*1&gt;=$G$3,$L852*1&lt;=$G$4,$I852*$J852&gt;0,OR($I852&lt;&gt;$I853,$L852-$L853&gt;25),$I852/POW(10,$J852)*MAXIFS(Token!$B:$B,Token!$A:$A,$K852)&gt;0.01),$L852/86400+DATE(1970,1,1)+$G$6,)</f>
        <v/>
      </c>
      <c r="B852" s="27" t="str">
        <f t="shared" si="1"/>
        <v/>
      </c>
      <c r="C852" s="14" t="str">
        <f>IF($A852&lt;&gt;"",MINIFS(Merchant!$A:$A,Merchant!$B:$B,$G$2),)</f>
        <v/>
      </c>
      <c r="D852" s="14" t="str">
        <f t="shared" si="2"/>
        <v/>
      </c>
      <c r="E852" s="14" t="str">
        <f t="shared" si="3"/>
        <v/>
      </c>
      <c r="F852" s="7" t="str">
        <f>IF($A852&lt;&gt;"",MAXIFS(Token!$B:$B,Token!$A:$A,$D852),)</f>
        <v/>
      </c>
    </row>
    <row r="853">
      <c r="A853" s="39" t="str">
        <f>IF(AND($L853*1&gt;=$G$3,$L853*1&lt;=$G$4,$I853*$J853&gt;0,OR($I853&lt;&gt;$I854,$L853-$L854&gt;25),$I853/POW(10,$J853)*MAXIFS(Token!$B:$B,Token!$A:$A,$K853)&gt;0.01),$L853/86400+DATE(1970,1,1)+$G$6,)</f>
        <v/>
      </c>
      <c r="B853" s="27" t="str">
        <f t="shared" si="1"/>
        <v/>
      </c>
      <c r="C853" s="14" t="str">
        <f>IF($A853&lt;&gt;"",MINIFS(Merchant!$A:$A,Merchant!$B:$B,$G$2),)</f>
        <v/>
      </c>
      <c r="D853" s="14" t="str">
        <f t="shared" si="2"/>
        <v/>
      </c>
      <c r="E853" s="14" t="str">
        <f t="shared" si="3"/>
        <v/>
      </c>
      <c r="F853" s="7" t="str">
        <f>IF($A853&lt;&gt;"",MAXIFS(Token!$B:$B,Token!$A:$A,$D853),)</f>
        <v/>
      </c>
    </row>
    <row r="854">
      <c r="A854" s="39" t="str">
        <f>IF(AND($L854*1&gt;=$G$3,$L854*1&lt;=$G$4,$I854*$J854&gt;0,OR($I854&lt;&gt;$I855,$L854-$L855&gt;25),$I854/POW(10,$J854)*MAXIFS(Token!$B:$B,Token!$A:$A,$K854)&gt;0.01),$L854/86400+DATE(1970,1,1)+$G$6,)</f>
        <v/>
      </c>
      <c r="B854" s="27" t="str">
        <f t="shared" si="1"/>
        <v/>
      </c>
      <c r="C854" s="14" t="str">
        <f>IF($A854&lt;&gt;"",MINIFS(Merchant!$A:$A,Merchant!$B:$B,$G$2),)</f>
        <v/>
      </c>
      <c r="D854" s="14" t="str">
        <f t="shared" si="2"/>
        <v/>
      </c>
      <c r="E854" s="14" t="str">
        <f t="shared" si="3"/>
        <v/>
      </c>
      <c r="F854" s="7" t="str">
        <f>IF($A854&lt;&gt;"",MAXIFS(Token!$B:$B,Token!$A:$A,$D854),)</f>
        <v/>
      </c>
    </row>
    <row r="855">
      <c r="A855" s="39" t="str">
        <f>IF(AND($L855*1&gt;=$G$3,$L855*1&lt;=$G$4,$I855*$J855&gt;0,OR($I855&lt;&gt;$I856,$L855-$L856&gt;25),$I855/POW(10,$J855)*MAXIFS(Token!$B:$B,Token!$A:$A,$K855)&gt;0.01),$L855/86400+DATE(1970,1,1)+$G$6,)</f>
        <v/>
      </c>
      <c r="B855" s="27" t="str">
        <f t="shared" si="1"/>
        <v/>
      </c>
      <c r="C855" s="14" t="str">
        <f>IF($A855&lt;&gt;"",MINIFS(Merchant!$A:$A,Merchant!$B:$B,$G$2),)</f>
        <v/>
      </c>
      <c r="D855" s="14" t="str">
        <f t="shared" si="2"/>
        <v/>
      </c>
      <c r="E855" s="14" t="str">
        <f t="shared" si="3"/>
        <v/>
      </c>
      <c r="F855" s="7" t="str">
        <f>IF($A855&lt;&gt;"",MAXIFS(Token!$B:$B,Token!$A:$A,$D855),)</f>
        <v/>
      </c>
    </row>
    <row r="856">
      <c r="A856" s="39" t="str">
        <f>IF(AND($L856*1&gt;=$G$3,$L856*1&lt;=$G$4,$I856*$J856&gt;0,OR($I856&lt;&gt;$I857,$L856-$L857&gt;25),$I856/POW(10,$J856)*MAXIFS(Token!$B:$B,Token!$A:$A,$K856)&gt;0.01),$L856/86400+DATE(1970,1,1)+$G$6,)</f>
        <v/>
      </c>
      <c r="B856" s="27" t="str">
        <f t="shared" si="1"/>
        <v/>
      </c>
      <c r="C856" s="14" t="str">
        <f>IF($A856&lt;&gt;"",MINIFS(Merchant!$A:$A,Merchant!$B:$B,$G$2),)</f>
        <v/>
      </c>
      <c r="D856" s="14" t="str">
        <f t="shared" si="2"/>
        <v/>
      </c>
      <c r="E856" s="14" t="str">
        <f t="shared" si="3"/>
        <v/>
      </c>
      <c r="F856" s="7" t="str">
        <f>IF($A856&lt;&gt;"",MAXIFS(Token!$B:$B,Token!$A:$A,$D856),)</f>
        <v/>
      </c>
    </row>
    <row r="857">
      <c r="A857" s="39" t="str">
        <f>IF(AND($L857*1&gt;=$G$3,$L857*1&lt;=$G$4,$I857*$J857&gt;0,OR($I857&lt;&gt;$I858,$L857-$L858&gt;25),$I857/POW(10,$J857)*MAXIFS(Token!$B:$B,Token!$A:$A,$K857)&gt;0.01),$L857/86400+DATE(1970,1,1)+$G$6,)</f>
        <v/>
      </c>
      <c r="B857" s="27" t="str">
        <f t="shared" si="1"/>
        <v/>
      </c>
      <c r="C857" s="14" t="str">
        <f>IF($A857&lt;&gt;"",MINIFS(Merchant!$A:$A,Merchant!$B:$B,$G$2),)</f>
        <v/>
      </c>
      <c r="D857" s="14" t="str">
        <f t="shared" si="2"/>
        <v/>
      </c>
      <c r="E857" s="14" t="str">
        <f t="shared" si="3"/>
        <v/>
      </c>
      <c r="F857" s="7" t="str">
        <f>IF($A857&lt;&gt;"",MAXIFS(Token!$B:$B,Token!$A:$A,$D857),)</f>
        <v/>
      </c>
    </row>
    <row r="858">
      <c r="A858" s="39" t="str">
        <f>IF(AND($L858*1&gt;=$G$3,$L858*1&lt;=$G$4,$I858*$J858&gt;0,OR($I858&lt;&gt;$I859,$L858-$L859&gt;25),$I858/POW(10,$J858)*MAXIFS(Token!$B:$B,Token!$A:$A,$K858)&gt;0.01),$L858/86400+DATE(1970,1,1)+$G$6,)</f>
        <v/>
      </c>
      <c r="B858" s="27" t="str">
        <f t="shared" si="1"/>
        <v/>
      </c>
      <c r="C858" s="14" t="str">
        <f>IF($A858&lt;&gt;"",MINIFS(Merchant!$A:$A,Merchant!$B:$B,$G$2),)</f>
        <v/>
      </c>
      <c r="D858" s="14" t="str">
        <f t="shared" si="2"/>
        <v/>
      </c>
      <c r="E858" s="14" t="str">
        <f t="shared" si="3"/>
        <v/>
      </c>
      <c r="F858" s="7" t="str">
        <f>IF($A858&lt;&gt;"",MAXIFS(Token!$B:$B,Token!$A:$A,$D858),)</f>
        <v/>
      </c>
    </row>
    <row r="859">
      <c r="A859" s="39" t="str">
        <f>IF(AND($L859*1&gt;=$G$3,$L859*1&lt;=$G$4,$I859*$J859&gt;0,OR($I859&lt;&gt;$I860,$L859-$L860&gt;25),$I859/POW(10,$J859)*MAXIFS(Token!$B:$B,Token!$A:$A,$K859)&gt;0.01),$L859/86400+DATE(1970,1,1)+$G$6,)</f>
        <v/>
      </c>
      <c r="B859" s="27" t="str">
        <f t="shared" si="1"/>
        <v/>
      </c>
      <c r="C859" s="14" t="str">
        <f>IF($A859&lt;&gt;"",MINIFS(Merchant!$A:$A,Merchant!$B:$B,$G$2),)</f>
        <v/>
      </c>
      <c r="D859" s="14" t="str">
        <f t="shared" si="2"/>
        <v/>
      </c>
      <c r="E859" s="14" t="str">
        <f t="shared" si="3"/>
        <v/>
      </c>
      <c r="F859" s="7" t="str">
        <f>IF($A859&lt;&gt;"",MAXIFS(Token!$B:$B,Token!$A:$A,$D859),)</f>
        <v/>
      </c>
    </row>
    <row r="860">
      <c r="A860" s="39" t="str">
        <f>IF(AND($L860*1&gt;=$G$3,$L860*1&lt;=$G$4,$I860*$J860&gt;0,OR($I860&lt;&gt;$I861,$L860-$L861&gt;25),$I860/POW(10,$J860)*MAXIFS(Token!$B:$B,Token!$A:$A,$K860)&gt;0.01),$L860/86400+DATE(1970,1,1)+$G$6,)</f>
        <v/>
      </c>
      <c r="B860" s="27" t="str">
        <f t="shared" si="1"/>
        <v/>
      </c>
      <c r="C860" s="14" t="str">
        <f>IF($A860&lt;&gt;"",MINIFS(Merchant!$A:$A,Merchant!$B:$B,$G$2),)</f>
        <v/>
      </c>
      <c r="D860" s="14" t="str">
        <f t="shared" si="2"/>
        <v/>
      </c>
      <c r="E860" s="14" t="str">
        <f t="shared" si="3"/>
        <v/>
      </c>
      <c r="F860" s="7" t="str">
        <f>IF($A860&lt;&gt;"",MAXIFS(Token!$B:$B,Token!$A:$A,$D860),)</f>
        <v/>
      </c>
    </row>
    <row r="861">
      <c r="A861" s="39" t="str">
        <f>IF(AND($L861*1&gt;=$G$3,$L861*1&lt;=$G$4,$I861*$J861&gt;0,OR($I861&lt;&gt;$I862,$L861-$L862&gt;25),$I861/POW(10,$J861)*MAXIFS(Token!$B:$B,Token!$A:$A,$K861)&gt;0.01),$L861/86400+DATE(1970,1,1)+$G$6,)</f>
        <v/>
      </c>
      <c r="B861" s="27" t="str">
        <f t="shared" si="1"/>
        <v/>
      </c>
      <c r="C861" s="14" t="str">
        <f>IF($A861&lt;&gt;"",MINIFS(Merchant!$A:$A,Merchant!$B:$B,$G$2),)</f>
        <v/>
      </c>
      <c r="D861" s="14" t="str">
        <f t="shared" si="2"/>
        <v/>
      </c>
      <c r="E861" s="14" t="str">
        <f t="shared" si="3"/>
        <v/>
      </c>
      <c r="F861" s="7" t="str">
        <f>IF($A861&lt;&gt;"",MAXIFS(Token!$B:$B,Token!$A:$A,$D861),)</f>
        <v/>
      </c>
    </row>
    <row r="862">
      <c r="A862" s="39" t="str">
        <f>IF(AND($L862*1&gt;=$G$3,$L862*1&lt;=$G$4,$I862*$J862&gt;0,OR($I862&lt;&gt;$I863,$L862-$L863&gt;25),$I862/POW(10,$J862)*MAXIFS(Token!$B:$B,Token!$A:$A,$K862)&gt;0.01),$L862/86400+DATE(1970,1,1)+$G$6,)</f>
        <v/>
      </c>
      <c r="B862" s="27" t="str">
        <f t="shared" si="1"/>
        <v/>
      </c>
      <c r="C862" s="14" t="str">
        <f>IF($A862&lt;&gt;"",MINIFS(Merchant!$A:$A,Merchant!$B:$B,$G$2),)</f>
        <v/>
      </c>
      <c r="D862" s="14" t="str">
        <f t="shared" si="2"/>
        <v/>
      </c>
      <c r="E862" s="14" t="str">
        <f t="shared" si="3"/>
        <v/>
      </c>
      <c r="F862" s="7" t="str">
        <f>IF($A862&lt;&gt;"",MAXIFS(Token!$B:$B,Token!$A:$A,$D862),)</f>
        <v/>
      </c>
    </row>
    <row r="863">
      <c r="A863" s="39" t="str">
        <f>IF(AND($L863*1&gt;=$G$3,$L863*1&lt;=$G$4,$I863*$J863&gt;0,OR($I863&lt;&gt;$I864,$L863-$L864&gt;25),$I863/POW(10,$J863)*MAXIFS(Token!$B:$B,Token!$A:$A,$K863)&gt;0.01),$L863/86400+DATE(1970,1,1)+$G$6,)</f>
        <v/>
      </c>
      <c r="B863" s="27" t="str">
        <f t="shared" si="1"/>
        <v/>
      </c>
      <c r="C863" s="14" t="str">
        <f>IF($A863&lt;&gt;"",MINIFS(Merchant!$A:$A,Merchant!$B:$B,$G$2),)</f>
        <v/>
      </c>
      <c r="D863" s="14" t="str">
        <f t="shared" si="2"/>
        <v/>
      </c>
      <c r="E863" s="14" t="str">
        <f t="shared" si="3"/>
        <v/>
      </c>
      <c r="F863" s="7" t="str">
        <f>IF($A863&lt;&gt;"",MAXIFS(Token!$B:$B,Token!$A:$A,$D863),)</f>
        <v/>
      </c>
    </row>
    <row r="864">
      <c r="A864" s="39" t="str">
        <f>IF(AND($L864*1&gt;=$G$3,$L864*1&lt;=$G$4,$I864*$J864&gt;0,OR($I864&lt;&gt;$I865,$L864-$L865&gt;25),$I864/POW(10,$J864)*MAXIFS(Token!$B:$B,Token!$A:$A,$K864)&gt;0.01),$L864/86400+DATE(1970,1,1)+$G$6,)</f>
        <v/>
      </c>
      <c r="B864" s="27" t="str">
        <f t="shared" si="1"/>
        <v/>
      </c>
      <c r="C864" s="14" t="str">
        <f>IF($A864&lt;&gt;"",MINIFS(Merchant!$A:$A,Merchant!$B:$B,$G$2),)</f>
        <v/>
      </c>
      <c r="D864" s="14" t="str">
        <f t="shared" si="2"/>
        <v/>
      </c>
      <c r="E864" s="14" t="str">
        <f t="shared" si="3"/>
        <v/>
      </c>
      <c r="F864" s="7" t="str">
        <f>IF($A864&lt;&gt;"",MAXIFS(Token!$B:$B,Token!$A:$A,$D864),)</f>
        <v/>
      </c>
    </row>
    <row r="865">
      <c r="A865" s="39" t="str">
        <f>IF(AND($L865*1&gt;=$G$3,$L865*1&lt;=$G$4,$I865*$J865&gt;0,OR($I865&lt;&gt;$I866,$L865-$L866&gt;25),$I865/POW(10,$J865)*MAXIFS(Token!$B:$B,Token!$A:$A,$K865)&gt;0.01),$L865/86400+DATE(1970,1,1)+$G$6,)</f>
        <v/>
      </c>
      <c r="B865" s="27" t="str">
        <f t="shared" si="1"/>
        <v/>
      </c>
      <c r="C865" s="14" t="str">
        <f>IF($A865&lt;&gt;"",MINIFS(Merchant!$A:$A,Merchant!$B:$B,$G$2),)</f>
        <v/>
      </c>
      <c r="D865" s="14" t="str">
        <f t="shared" si="2"/>
        <v/>
      </c>
      <c r="E865" s="14" t="str">
        <f t="shared" si="3"/>
        <v/>
      </c>
      <c r="F865" s="7" t="str">
        <f>IF($A865&lt;&gt;"",MAXIFS(Token!$B:$B,Token!$A:$A,$D865),)</f>
        <v/>
      </c>
    </row>
    <row r="866">
      <c r="A866" s="39" t="str">
        <f>IF(AND($L866*1&gt;=$G$3,$L866*1&lt;=$G$4,$I866*$J866&gt;0,OR($I866&lt;&gt;$I867,$L866-$L867&gt;25),$I866/POW(10,$J866)*MAXIFS(Token!$B:$B,Token!$A:$A,$K866)&gt;0.01),$L866/86400+DATE(1970,1,1)+$G$6,)</f>
        <v/>
      </c>
      <c r="B866" s="27" t="str">
        <f t="shared" si="1"/>
        <v/>
      </c>
      <c r="C866" s="14" t="str">
        <f>IF($A866&lt;&gt;"",MINIFS(Merchant!$A:$A,Merchant!$B:$B,$G$2),)</f>
        <v/>
      </c>
      <c r="D866" s="14" t="str">
        <f t="shared" si="2"/>
        <v/>
      </c>
      <c r="E866" s="14" t="str">
        <f t="shared" si="3"/>
        <v/>
      </c>
      <c r="F866" s="7" t="str">
        <f>IF($A866&lt;&gt;"",MAXIFS(Token!$B:$B,Token!$A:$A,$D866),)</f>
        <v/>
      </c>
    </row>
    <row r="867">
      <c r="A867" s="39" t="str">
        <f>IF(AND($L867*1&gt;=$G$3,$L867*1&lt;=$G$4,$I867*$J867&gt;0,OR($I867&lt;&gt;$I868,$L867-$L868&gt;25),$I867/POW(10,$J867)*MAXIFS(Token!$B:$B,Token!$A:$A,$K867)&gt;0.01),$L867/86400+DATE(1970,1,1)+$G$6,)</f>
        <v/>
      </c>
      <c r="B867" s="27" t="str">
        <f t="shared" si="1"/>
        <v/>
      </c>
      <c r="C867" s="14" t="str">
        <f>IF($A867&lt;&gt;"",MINIFS(Merchant!$A:$A,Merchant!$B:$B,$G$2),)</f>
        <v/>
      </c>
      <c r="D867" s="14" t="str">
        <f t="shared" si="2"/>
        <v/>
      </c>
      <c r="E867" s="14" t="str">
        <f t="shared" si="3"/>
        <v/>
      </c>
      <c r="F867" s="7" t="str">
        <f>IF($A867&lt;&gt;"",MAXIFS(Token!$B:$B,Token!$A:$A,$D867),)</f>
        <v/>
      </c>
    </row>
    <row r="868">
      <c r="A868" s="39" t="str">
        <f>IF(AND($L868*1&gt;=$G$3,$L868*1&lt;=$G$4,$I868*$J868&gt;0,OR($I868&lt;&gt;$I869,$L868-$L869&gt;25),$I868/POW(10,$J868)*MAXIFS(Token!$B:$B,Token!$A:$A,$K868)&gt;0.01),$L868/86400+DATE(1970,1,1)+$G$6,)</f>
        <v/>
      </c>
      <c r="B868" s="27" t="str">
        <f t="shared" si="1"/>
        <v/>
      </c>
      <c r="C868" s="14" t="str">
        <f>IF($A868&lt;&gt;"",MINIFS(Merchant!$A:$A,Merchant!$B:$B,$G$2),)</f>
        <v/>
      </c>
      <c r="D868" s="14" t="str">
        <f t="shared" si="2"/>
        <v/>
      </c>
      <c r="E868" s="14" t="str">
        <f t="shared" si="3"/>
        <v/>
      </c>
      <c r="F868" s="7" t="str">
        <f>IF($A868&lt;&gt;"",MAXIFS(Token!$B:$B,Token!$A:$A,$D868),)</f>
        <v/>
      </c>
    </row>
    <row r="869">
      <c r="A869" s="39" t="str">
        <f>IF(AND($L869*1&gt;=$G$3,$L869*1&lt;=$G$4,$I869*$J869&gt;0,OR($I869&lt;&gt;$I870,$L869-$L870&gt;25),$I869/POW(10,$J869)*MAXIFS(Token!$B:$B,Token!$A:$A,$K869)&gt;0.01),$L869/86400+DATE(1970,1,1)+$G$6,)</f>
        <v/>
      </c>
      <c r="B869" s="27" t="str">
        <f t="shared" si="1"/>
        <v/>
      </c>
      <c r="C869" s="14" t="str">
        <f>IF($A869&lt;&gt;"",MINIFS(Merchant!$A:$A,Merchant!$B:$B,$G$2),)</f>
        <v/>
      </c>
      <c r="D869" s="14" t="str">
        <f t="shared" si="2"/>
        <v/>
      </c>
      <c r="E869" s="14" t="str">
        <f t="shared" si="3"/>
        <v/>
      </c>
      <c r="F869" s="7" t="str">
        <f>IF($A869&lt;&gt;"",MAXIFS(Token!$B:$B,Token!$A:$A,$D869),)</f>
        <v/>
      </c>
    </row>
    <row r="870">
      <c r="A870" s="39" t="str">
        <f>IF(AND($L870*1&gt;=$G$3,$L870*1&lt;=$G$4,$I870*$J870&gt;0,OR($I870&lt;&gt;$I871,$L870-$L871&gt;25),$I870/POW(10,$J870)*MAXIFS(Token!$B:$B,Token!$A:$A,$K870)&gt;0.01),$L870/86400+DATE(1970,1,1)+$G$6,)</f>
        <v/>
      </c>
      <c r="B870" s="27" t="str">
        <f t="shared" si="1"/>
        <v/>
      </c>
      <c r="C870" s="14" t="str">
        <f>IF($A870&lt;&gt;"",MINIFS(Merchant!$A:$A,Merchant!$B:$B,$G$2),)</f>
        <v/>
      </c>
      <c r="D870" s="14" t="str">
        <f t="shared" si="2"/>
        <v/>
      </c>
      <c r="E870" s="14" t="str">
        <f t="shared" si="3"/>
        <v/>
      </c>
      <c r="F870" s="7" t="str">
        <f>IF($A870&lt;&gt;"",MAXIFS(Token!$B:$B,Token!$A:$A,$D870),)</f>
        <v/>
      </c>
    </row>
    <row r="871">
      <c r="A871" s="39" t="str">
        <f>IF(AND($L871*1&gt;=$G$3,$L871*1&lt;=$G$4,$I871*$J871&gt;0,OR($I871&lt;&gt;$I872,$L871-$L872&gt;25),$I871/POW(10,$J871)*MAXIFS(Token!$B:$B,Token!$A:$A,$K871)&gt;0.01),$L871/86400+DATE(1970,1,1)+$G$6,)</f>
        <v/>
      </c>
      <c r="B871" s="27" t="str">
        <f t="shared" si="1"/>
        <v/>
      </c>
      <c r="C871" s="14" t="str">
        <f>IF($A871&lt;&gt;"",MINIFS(Merchant!$A:$A,Merchant!$B:$B,$G$2),)</f>
        <v/>
      </c>
      <c r="D871" s="14" t="str">
        <f t="shared" si="2"/>
        <v/>
      </c>
      <c r="E871" s="14" t="str">
        <f t="shared" si="3"/>
        <v/>
      </c>
      <c r="F871" s="7" t="str">
        <f>IF($A871&lt;&gt;"",MAXIFS(Token!$B:$B,Token!$A:$A,$D871),)</f>
        <v/>
      </c>
    </row>
    <row r="872">
      <c r="A872" s="39" t="str">
        <f>IF(AND($L872*1&gt;=$G$3,$L872*1&lt;=$G$4,$I872*$J872&gt;0,OR($I872&lt;&gt;$I873,$L872-$L873&gt;25),$I872/POW(10,$J872)*MAXIFS(Token!$B:$B,Token!$A:$A,$K872)&gt;0.01),$L872/86400+DATE(1970,1,1)+$G$6,)</f>
        <v/>
      </c>
      <c r="B872" s="27" t="str">
        <f t="shared" si="1"/>
        <v/>
      </c>
      <c r="C872" s="14" t="str">
        <f>IF($A872&lt;&gt;"",MINIFS(Merchant!$A:$A,Merchant!$B:$B,$G$2),)</f>
        <v/>
      </c>
      <c r="D872" s="14" t="str">
        <f t="shared" si="2"/>
        <v/>
      </c>
      <c r="E872" s="14" t="str">
        <f t="shared" si="3"/>
        <v/>
      </c>
      <c r="F872" s="7" t="str">
        <f>IF($A872&lt;&gt;"",MAXIFS(Token!$B:$B,Token!$A:$A,$D872),)</f>
        <v/>
      </c>
    </row>
    <row r="873">
      <c r="A873" s="39" t="str">
        <f>IF(AND($L873*1&gt;=$G$3,$L873*1&lt;=$G$4,$I873*$J873&gt;0,OR($I873&lt;&gt;$I874,$L873-$L874&gt;25),$I873/POW(10,$J873)*MAXIFS(Token!$B:$B,Token!$A:$A,$K873)&gt;0.01),$L873/86400+DATE(1970,1,1)+$G$6,)</f>
        <v/>
      </c>
      <c r="B873" s="27" t="str">
        <f t="shared" si="1"/>
        <v/>
      </c>
      <c r="C873" s="14" t="str">
        <f>IF($A873&lt;&gt;"",MINIFS(Merchant!$A:$A,Merchant!$B:$B,$G$2),)</f>
        <v/>
      </c>
      <c r="D873" s="14" t="str">
        <f t="shared" si="2"/>
        <v/>
      </c>
      <c r="E873" s="14" t="str">
        <f t="shared" si="3"/>
        <v/>
      </c>
      <c r="F873" s="7" t="str">
        <f>IF($A873&lt;&gt;"",MAXIFS(Token!$B:$B,Token!$A:$A,$D873),)</f>
        <v/>
      </c>
    </row>
    <row r="874">
      <c r="A874" s="39" t="str">
        <f>IF(AND($L874*1&gt;=$G$3,$L874*1&lt;=$G$4,$I874*$J874&gt;0,OR($I874&lt;&gt;$I875,$L874-$L875&gt;25),$I874/POW(10,$J874)*MAXIFS(Token!$B:$B,Token!$A:$A,$K874)&gt;0.01),$L874/86400+DATE(1970,1,1)+$G$6,)</f>
        <v/>
      </c>
      <c r="B874" s="27" t="str">
        <f t="shared" si="1"/>
        <v/>
      </c>
      <c r="C874" s="14" t="str">
        <f>IF($A874&lt;&gt;"",MINIFS(Merchant!$A:$A,Merchant!$B:$B,$G$2),)</f>
        <v/>
      </c>
      <c r="D874" s="14" t="str">
        <f t="shared" si="2"/>
        <v/>
      </c>
      <c r="E874" s="14" t="str">
        <f t="shared" si="3"/>
        <v/>
      </c>
      <c r="F874" s="7" t="str">
        <f>IF($A874&lt;&gt;"",MAXIFS(Token!$B:$B,Token!$A:$A,$D874),)</f>
        <v/>
      </c>
    </row>
    <row r="875">
      <c r="A875" s="39" t="str">
        <f>IF(AND($L875*1&gt;=$G$3,$L875*1&lt;=$G$4,$I875*$J875&gt;0,OR($I875&lt;&gt;$I876,$L875-$L876&gt;25),$I875/POW(10,$J875)*MAXIFS(Token!$B:$B,Token!$A:$A,$K875)&gt;0.01),$L875/86400+DATE(1970,1,1)+$G$6,)</f>
        <v/>
      </c>
      <c r="B875" s="27" t="str">
        <f t="shared" si="1"/>
        <v/>
      </c>
      <c r="C875" s="14" t="str">
        <f>IF($A875&lt;&gt;"",MINIFS(Merchant!$A:$A,Merchant!$B:$B,$G$2),)</f>
        <v/>
      </c>
      <c r="D875" s="14" t="str">
        <f t="shared" si="2"/>
        <v/>
      </c>
      <c r="E875" s="14" t="str">
        <f t="shared" si="3"/>
        <v/>
      </c>
      <c r="F875" s="7" t="str">
        <f>IF($A875&lt;&gt;"",MAXIFS(Token!$B:$B,Token!$A:$A,$D875),)</f>
        <v/>
      </c>
    </row>
    <row r="876">
      <c r="A876" s="39" t="str">
        <f>IF(AND($L876*1&gt;=$G$3,$L876*1&lt;=$G$4,$I876*$J876&gt;0,OR($I876&lt;&gt;$I877,$L876-$L877&gt;25),$I876/POW(10,$J876)*MAXIFS(Token!$B:$B,Token!$A:$A,$K876)&gt;0.01),$L876/86400+DATE(1970,1,1)+$G$6,)</f>
        <v/>
      </c>
      <c r="B876" s="27" t="str">
        <f t="shared" si="1"/>
        <v/>
      </c>
      <c r="C876" s="14" t="str">
        <f>IF($A876&lt;&gt;"",MINIFS(Merchant!$A:$A,Merchant!$B:$B,$G$2),)</f>
        <v/>
      </c>
      <c r="D876" s="14" t="str">
        <f t="shared" si="2"/>
        <v/>
      </c>
      <c r="E876" s="14" t="str">
        <f t="shared" si="3"/>
        <v/>
      </c>
      <c r="F876" s="7" t="str">
        <f>IF($A876&lt;&gt;"",MAXIFS(Token!$B:$B,Token!$A:$A,$D876),)</f>
        <v/>
      </c>
    </row>
    <row r="877">
      <c r="A877" s="39" t="str">
        <f>IF(AND($L877*1&gt;=$G$3,$L877*1&lt;=$G$4,$I877*$J877&gt;0,OR($I877&lt;&gt;$I878,$L877-$L878&gt;25),$I877/POW(10,$J877)*MAXIFS(Token!$B:$B,Token!$A:$A,$K877)&gt;0.01),$L877/86400+DATE(1970,1,1)+$G$6,)</f>
        <v/>
      </c>
      <c r="B877" s="27" t="str">
        <f t="shared" si="1"/>
        <v/>
      </c>
      <c r="C877" s="14" t="str">
        <f>IF($A877&lt;&gt;"",MINIFS(Merchant!$A:$A,Merchant!$B:$B,$G$2),)</f>
        <v/>
      </c>
      <c r="D877" s="14" t="str">
        <f t="shared" si="2"/>
        <v/>
      </c>
      <c r="E877" s="14" t="str">
        <f t="shared" si="3"/>
        <v/>
      </c>
      <c r="F877" s="7" t="str">
        <f>IF($A877&lt;&gt;"",MAXIFS(Token!$B:$B,Token!$A:$A,$D877),)</f>
        <v/>
      </c>
    </row>
    <row r="878">
      <c r="A878" s="39" t="str">
        <f>IF(AND($L878*1&gt;=$G$3,$L878*1&lt;=$G$4,$I878*$J878&gt;0,OR($I878&lt;&gt;$I879,$L878-$L879&gt;25),$I878/POW(10,$J878)*MAXIFS(Token!$B:$B,Token!$A:$A,$K878)&gt;0.01),$L878/86400+DATE(1970,1,1)+$G$6,)</f>
        <v/>
      </c>
      <c r="B878" s="27" t="str">
        <f t="shared" si="1"/>
        <v/>
      </c>
      <c r="C878" s="14" t="str">
        <f>IF($A878&lt;&gt;"",MINIFS(Merchant!$A:$A,Merchant!$B:$B,$G$2),)</f>
        <v/>
      </c>
      <c r="D878" s="14" t="str">
        <f t="shared" si="2"/>
        <v/>
      </c>
      <c r="E878" s="14" t="str">
        <f t="shared" si="3"/>
        <v/>
      </c>
      <c r="F878" s="7" t="str">
        <f>IF($A878&lt;&gt;"",MAXIFS(Token!$B:$B,Token!$A:$A,$D878),)</f>
        <v/>
      </c>
    </row>
    <row r="879">
      <c r="A879" s="39" t="str">
        <f>IF(AND($L879*1&gt;=$G$3,$L879*1&lt;=$G$4,$I879*$J879&gt;0,OR($I879&lt;&gt;$I880,$L879-$L880&gt;25),$I879/POW(10,$J879)*MAXIFS(Token!$B:$B,Token!$A:$A,$K879)&gt;0.01),$L879/86400+DATE(1970,1,1)+$G$6,)</f>
        <v/>
      </c>
      <c r="B879" s="27" t="str">
        <f t="shared" si="1"/>
        <v/>
      </c>
      <c r="C879" s="14" t="str">
        <f>IF($A879&lt;&gt;"",MINIFS(Merchant!$A:$A,Merchant!$B:$B,$G$2),)</f>
        <v/>
      </c>
      <c r="D879" s="14" t="str">
        <f t="shared" si="2"/>
        <v/>
      </c>
      <c r="E879" s="14" t="str">
        <f t="shared" si="3"/>
        <v/>
      </c>
      <c r="F879" s="7" t="str">
        <f>IF($A879&lt;&gt;"",MAXIFS(Token!$B:$B,Token!$A:$A,$D879),)</f>
        <v/>
      </c>
    </row>
    <row r="880">
      <c r="A880" s="39" t="str">
        <f>IF(AND($L880*1&gt;=$G$3,$L880*1&lt;=$G$4,$I880*$J880&gt;0,OR($I880&lt;&gt;$I881,$L880-$L881&gt;25),$I880/POW(10,$J880)*MAXIFS(Token!$B:$B,Token!$A:$A,$K880)&gt;0.01),$L880/86400+DATE(1970,1,1)+$G$6,)</f>
        <v/>
      </c>
      <c r="B880" s="27" t="str">
        <f t="shared" si="1"/>
        <v/>
      </c>
      <c r="C880" s="14" t="str">
        <f>IF($A880&lt;&gt;"",MINIFS(Merchant!$A:$A,Merchant!$B:$B,$G$2),)</f>
        <v/>
      </c>
      <c r="D880" s="14" t="str">
        <f t="shared" si="2"/>
        <v/>
      </c>
      <c r="E880" s="14" t="str">
        <f t="shared" si="3"/>
        <v/>
      </c>
      <c r="F880" s="7" t="str">
        <f>IF($A880&lt;&gt;"",MAXIFS(Token!$B:$B,Token!$A:$A,$D880),)</f>
        <v/>
      </c>
    </row>
    <row r="881">
      <c r="A881" s="39" t="str">
        <f>IF(AND($L881*1&gt;=$G$3,$L881*1&lt;=$G$4,$I881*$J881&gt;0,OR($I881&lt;&gt;$I882,$L881-$L882&gt;25),$I881/POW(10,$J881)*MAXIFS(Token!$B:$B,Token!$A:$A,$K881)&gt;0.01),$L881/86400+DATE(1970,1,1)+$G$6,)</f>
        <v/>
      </c>
      <c r="B881" s="27" t="str">
        <f t="shared" si="1"/>
        <v/>
      </c>
      <c r="C881" s="14" t="str">
        <f>IF($A881&lt;&gt;"",MINIFS(Merchant!$A:$A,Merchant!$B:$B,$G$2),)</f>
        <v/>
      </c>
      <c r="D881" s="14" t="str">
        <f t="shared" si="2"/>
        <v/>
      </c>
      <c r="E881" s="14" t="str">
        <f t="shared" si="3"/>
        <v/>
      </c>
      <c r="F881" s="7" t="str">
        <f>IF($A881&lt;&gt;"",MAXIFS(Token!$B:$B,Token!$A:$A,$D881),)</f>
        <v/>
      </c>
    </row>
    <row r="882">
      <c r="A882" s="39" t="str">
        <f>IF(AND($L882*1&gt;=$G$3,$L882*1&lt;=$G$4,$I882*$J882&gt;0,OR($I882&lt;&gt;$I883,$L882-$L883&gt;25),$I882/POW(10,$J882)*MAXIFS(Token!$B:$B,Token!$A:$A,$K882)&gt;0.01),$L882/86400+DATE(1970,1,1)+$G$6,)</f>
        <v/>
      </c>
      <c r="B882" s="27" t="str">
        <f t="shared" si="1"/>
        <v/>
      </c>
      <c r="C882" s="14" t="str">
        <f>IF($A882&lt;&gt;"",MINIFS(Merchant!$A:$A,Merchant!$B:$B,$G$2),)</f>
        <v/>
      </c>
      <c r="D882" s="14" t="str">
        <f t="shared" si="2"/>
        <v/>
      </c>
      <c r="E882" s="14" t="str">
        <f t="shared" si="3"/>
        <v/>
      </c>
      <c r="F882" s="7" t="str">
        <f>IF($A882&lt;&gt;"",MAXIFS(Token!$B:$B,Token!$A:$A,$D882),)</f>
        <v/>
      </c>
    </row>
    <row r="883">
      <c r="A883" s="39" t="str">
        <f>IF(AND($L883*1&gt;=$G$3,$L883*1&lt;=$G$4,$I883*$J883&gt;0,OR($I883&lt;&gt;$I884,$L883-$L884&gt;25),$I883/POW(10,$J883)*MAXIFS(Token!$B:$B,Token!$A:$A,$K883)&gt;0.01),$L883/86400+DATE(1970,1,1)+$G$6,)</f>
        <v/>
      </c>
      <c r="B883" s="27" t="str">
        <f t="shared" si="1"/>
        <v/>
      </c>
      <c r="C883" s="14" t="str">
        <f>IF($A883&lt;&gt;"",MINIFS(Merchant!$A:$A,Merchant!$B:$B,$G$2),)</f>
        <v/>
      </c>
      <c r="D883" s="14" t="str">
        <f t="shared" si="2"/>
        <v/>
      </c>
      <c r="E883" s="14" t="str">
        <f t="shared" si="3"/>
        <v/>
      </c>
      <c r="F883" s="7" t="str">
        <f>IF($A883&lt;&gt;"",MAXIFS(Token!$B:$B,Token!$A:$A,$D883),)</f>
        <v/>
      </c>
    </row>
    <row r="884">
      <c r="A884" s="39" t="str">
        <f>IF(AND($L884*1&gt;=$G$3,$L884*1&lt;=$G$4,$I884*$J884&gt;0,OR($I884&lt;&gt;$I885,$L884-$L885&gt;25),$I884/POW(10,$J884)*MAXIFS(Token!$B:$B,Token!$A:$A,$K884)&gt;0.01),$L884/86400+DATE(1970,1,1)+$G$6,)</f>
        <v/>
      </c>
      <c r="B884" s="27" t="str">
        <f t="shared" si="1"/>
        <v/>
      </c>
      <c r="C884" s="14" t="str">
        <f>IF($A884&lt;&gt;"",MINIFS(Merchant!$A:$A,Merchant!$B:$B,$G$2),)</f>
        <v/>
      </c>
      <c r="D884" s="14" t="str">
        <f t="shared" si="2"/>
        <v/>
      </c>
      <c r="E884" s="14" t="str">
        <f t="shared" si="3"/>
        <v/>
      </c>
      <c r="F884" s="7" t="str">
        <f>IF($A884&lt;&gt;"",MAXIFS(Token!$B:$B,Token!$A:$A,$D884),)</f>
        <v/>
      </c>
    </row>
    <row r="885">
      <c r="A885" s="39" t="str">
        <f>IF(AND($L885*1&gt;=$G$3,$L885*1&lt;=$G$4,$I885*$J885&gt;0,OR($I885&lt;&gt;$I886,$L885-$L886&gt;25),$I885/POW(10,$J885)*MAXIFS(Token!$B:$B,Token!$A:$A,$K885)&gt;0.01),$L885/86400+DATE(1970,1,1)+$G$6,)</f>
        <v/>
      </c>
      <c r="B885" s="27" t="str">
        <f t="shared" si="1"/>
        <v/>
      </c>
      <c r="C885" s="14" t="str">
        <f>IF($A885&lt;&gt;"",MINIFS(Merchant!$A:$A,Merchant!$B:$B,$G$2),)</f>
        <v/>
      </c>
      <c r="D885" s="14" t="str">
        <f t="shared" si="2"/>
        <v/>
      </c>
      <c r="E885" s="14" t="str">
        <f t="shared" si="3"/>
        <v/>
      </c>
      <c r="F885" s="7" t="str">
        <f>IF($A885&lt;&gt;"",MAXIFS(Token!$B:$B,Token!$A:$A,$D885),)</f>
        <v/>
      </c>
    </row>
    <row r="886">
      <c r="A886" s="39" t="str">
        <f>IF(AND($L886*1&gt;=$G$3,$L886*1&lt;=$G$4,$I886*$J886&gt;0,OR($I886&lt;&gt;$I887,$L886-$L887&gt;25),$I886/POW(10,$J886)*MAXIFS(Token!$B:$B,Token!$A:$A,$K886)&gt;0.01),$L886/86400+DATE(1970,1,1)+$G$6,)</f>
        <v/>
      </c>
      <c r="B886" s="27" t="str">
        <f t="shared" si="1"/>
        <v/>
      </c>
      <c r="C886" s="14" t="str">
        <f>IF($A886&lt;&gt;"",MINIFS(Merchant!$A:$A,Merchant!$B:$B,$G$2),)</f>
        <v/>
      </c>
      <c r="D886" s="14" t="str">
        <f t="shared" si="2"/>
        <v/>
      </c>
      <c r="E886" s="14" t="str">
        <f t="shared" si="3"/>
        <v/>
      </c>
      <c r="F886" s="7" t="str">
        <f>IF($A886&lt;&gt;"",MAXIFS(Token!$B:$B,Token!$A:$A,$D886),)</f>
        <v/>
      </c>
    </row>
    <row r="887">
      <c r="A887" s="39" t="str">
        <f>IF(AND($L887*1&gt;=$G$3,$L887*1&lt;=$G$4,$I887*$J887&gt;0,OR($I887&lt;&gt;$I888,$L887-$L888&gt;25),$I887/POW(10,$J887)*MAXIFS(Token!$B:$B,Token!$A:$A,$K887)&gt;0.01),$L887/86400+DATE(1970,1,1)+$G$6,)</f>
        <v/>
      </c>
      <c r="B887" s="27" t="str">
        <f t="shared" si="1"/>
        <v/>
      </c>
      <c r="C887" s="14" t="str">
        <f>IF($A887&lt;&gt;"",MINIFS(Merchant!$A:$A,Merchant!$B:$B,$G$2),)</f>
        <v/>
      </c>
      <c r="D887" s="14" t="str">
        <f t="shared" si="2"/>
        <v/>
      </c>
      <c r="E887" s="14" t="str">
        <f t="shared" si="3"/>
        <v/>
      </c>
      <c r="F887" s="7" t="str">
        <f>IF($A887&lt;&gt;"",MAXIFS(Token!$B:$B,Token!$A:$A,$D887),)</f>
        <v/>
      </c>
    </row>
    <row r="888">
      <c r="A888" s="39" t="str">
        <f>IF(AND($L888*1&gt;=$G$3,$L888*1&lt;=$G$4,$I888*$J888&gt;0,OR($I888&lt;&gt;$I889,$L888-$L889&gt;25),$I888/POW(10,$J888)*MAXIFS(Token!$B:$B,Token!$A:$A,$K888)&gt;0.01),$L888/86400+DATE(1970,1,1)+$G$6,)</f>
        <v/>
      </c>
      <c r="B888" s="27" t="str">
        <f t="shared" si="1"/>
        <v/>
      </c>
      <c r="C888" s="14" t="str">
        <f>IF($A888&lt;&gt;"",MINIFS(Merchant!$A:$A,Merchant!$B:$B,$G$2),)</f>
        <v/>
      </c>
      <c r="D888" s="14" t="str">
        <f t="shared" si="2"/>
        <v/>
      </c>
      <c r="E888" s="14" t="str">
        <f t="shared" si="3"/>
        <v/>
      </c>
      <c r="F888" s="7" t="str">
        <f>IF($A888&lt;&gt;"",MAXIFS(Token!$B:$B,Token!$A:$A,$D888),)</f>
        <v/>
      </c>
    </row>
    <row r="889">
      <c r="A889" s="39" t="str">
        <f>IF(AND($L889*1&gt;=$G$3,$L889*1&lt;=$G$4,$I889*$J889&gt;0,OR($I889&lt;&gt;$I890,$L889-$L890&gt;25),$I889/POW(10,$J889)*MAXIFS(Token!$B:$B,Token!$A:$A,$K889)&gt;0.01),$L889/86400+DATE(1970,1,1)+$G$6,)</f>
        <v/>
      </c>
      <c r="B889" s="27" t="str">
        <f t="shared" si="1"/>
        <v/>
      </c>
      <c r="C889" s="14" t="str">
        <f>IF($A889&lt;&gt;"",MINIFS(Merchant!$A:$A,Merchant!$B:$B,$G$2),)</f>
        <v/>
      </c>
      <c r="D889" s="14" t="str">
        <f t="shared" si="2"/>
        <v/>
      </c>
      <c r="E889" s="14" t="str">
        <f t="shared" si="3"/>
        <v/>
      </c>
      <c r="F889" s="7" t="str">
        <f>IF($A889&lt;&gt;"",MAXIFS(Token!$B:$B,Token!$A:$A,$D889),)</f>
        <v/>
      </c>
    </row>
    <row r="890">
      <c r="A890" s="39" t="str">
        <f>IF(AND($L890*1&gt;=$G$3,$L890*1&lt;=$G$4,$I890*$J890&gt;0,OR($I890&lt;&gt;$I891,$L890-$L891&gt;25),$I890/POW(10,$J890)*MAXIFS(Token!$B:$B,Token!$A:$A,$K890)&gt;0.01),$L890/86400+DATE(1970,1,1)+$G$6,)</f>
        <v/>
      </c>
      <c r="B890" s="27" t="str">
        <f t="shared" si="1"/>
        <v/>
      </c>
      <c r="C890" s="14" t="str">
        <f>IF($A890&lt;&gt;"",MINIFS(Merchant!$A:$A,Merchant!$B:$B,$G$2),)</f>
        <v/>
      </c>
      <c r="D890" s="14" t="str">
        <f t="shared" si="2"/>
        <v/>
      </c>
      <c r="E890" s="14" t="str">
        <f t="shared" si="3"/>
        <v/>
      </c>
      <c r="F890" s="7" t="str">
        <f>IF($A890&lt;&gt;"",MAXIFS(Token!$B:$B,Token!$A:$A,$D890),)</f>
        <v/>
      </c>
    </row>
    <row r="891">
      <c r="A891" s="39" t="str">
        <f>IF(AND($L891*1&gt;=$G$3,$L891*1&lt;=$G$4,$I891*$J891&gt;0,OR($I891&lt;&gt;$I892,$L891-$L892&gt;25),$I891/POW(10,$J891)*MAXIFS(Token!$B:$B,Token!$A:$A,$K891)&gt;0.01),$L891/86400+DATE(1970,1,1)+$G$6,)</f>
        <v/>
      </c>
      <c r="B891" s="27" t="str">
        <f t="shared" si="1"/>
        <v/>
      </c>
      <c r="C891" s="14" t="str">
        <f>IF($A891&lt;&gt;"",MINIFS(Merchant!$A:$A,Merchant!$B:$B,$G$2),)</f>
        <v/>
      </c>
      <c r="D891" s="14" t="str">
        <f t="shared" si="2"/>
        <v/>
      </c>
      <c r="E891" s="14" t="str">
        <f t="shared" si="3"/>
        <v/>
      </c>
      <c r="F891" s="7" t="str">
        <f>IF($A891&lt;&gt;"",MAXIFS(Token!$B:$B,Token!$A:$A,$D891),)</f>
        <v/>
      </c>
    </row>
    <row r="892">
      <c r="A892" s="39" t="str">
        <f>IF(AND($L892*1&gt;=$G$3,$L892*1&lt;=$G$4,$I892*$J892&gt;0,OR($I892&lt;&gt;$I893,$L892-$L893&gt;25),$I892/POW(10,$J892)*MAXIFS(Token!$B:$B,Token!$A:$A,$K892)&gt;0.01),$L892/86400+DATE(1970,1,1)+$G$6,)</f>
        <v/>
      </c>
      <c r="B892" s="27" t="str">
        <f t="shared" si="1"/>
        <v/>
      </c>
      <c r="C892" s="14" t="str">
        <f>IF($A892&lt;&gt;"",MINIFS(Merchant!$A:$A,Merchant!$B:$B,$G$2),)</f>
        <v/>
      </c>
      <c r="D892" s="14" t="str">
        <f t="shared" si="2"/>
        <v/>
      </c>
      <c r="E892" s="14" t="str">
        <f t="shared" si="3"/>
        <v/>
      </c>
      <c r="F892" s="7" t="str">
        <f>IF($A892&lt;&gt;"",MAXIFS(Token!$B:$B,Token!$A:$A,$D892),)</f>
        <v/>
      </c>
    </row>
    <row r="893">
      <c r="A893" s="39" t="str">
        <f>IF(AND($L893*1&gt;=$G$3,$L893*1&lt;=$G$4,$I893*$J893&gt;0,OR($I893&lt;&gt;$I894,$L893-$L894&gt;25),$I893/POW(10,$J893)*MAXIFS(Token!$B:$B,Token!$A:$A,$K893)&gt;0.01),$L893/86400+DATE(1970,1,1)+$G$6,)</f>
        <v/>
      </c>
      <c r="B893" s="27" t="str">
        <f t="shared" si="1"/>
        <v/>
      </c>
      <c r="C893" s="14" t="str">
        <f>IF($A893&lt;&gt;"",MINIFS(Merchant!$A:$A,Merchant!$B:$B,$G$2),)</f>
        <v/>
      </c>
      <c r="D893" s="14" t="str">
        <f t="shared" si="2"/>
        <v/>
      </c>
      <c r="E893" s="14" t="str">
        <f t="shared" si="3"/>
        <v/>
      </c>
      <c r="F893" s="7" t="str">
        <f>IF($A893&lt;&gt;"",MAXIFS(Token!$B:$B,Token!$A:$A,$D893),)</f>
        <v/>
      </c>
    </row>
    <row r="894">
      <c r="A894" s="39" t="str">
        <f>IF(AND($L894*1&gt;=$G$3,$L894*1&lt;=$G$4,$I894*$J894&gt;0,OR($I894&lt;&gt;$I895,$L894-$L895&gt;25),$I894/POW(10,$J894)*MAXIFS(Token!$B:$B,Token!$A:$A,$K894)&gt;0.01),$L894/86400+DATE(1970,1,1)+$G$6,)</f>
        <v/>
      </c>
      <c r="B894" s="27" t="str">
        <f t="shared" si="1"/>
        <v/>
      </c>
      <c r="C894" s="14" t="str">
        <f>IF($A894&lt;&gt;"",MINIFS(Merchant!$A:$A,Merchant!$B:$B,$G$2),)</f>
        <v/>
      </c>
      <c r="D894" s="14" t="str">
        <f t="shared" si="2"/>
        <v/>
      </c>
      <c r="E894" s="14" t="str">
        <f t="shared" si="3"/>
        <v/>
      </c>
      <c r="F894" s="7" t="str">
        <f>IF($A894&lt;&gt;"",MAXIFS(Token!$B:$B,Token!$A:$A,$D894),)</f>
        <v/>
      </c>
    </row>
    <row r="895">
      <c r="A895" s="39" t="str">
        <f>IF(AND($L895*1&gt;=$G$3,$L895*1&lt;=$G$4,$I895*$J895&gt;0,OR($I895&lt;&gt;$I896,$L895-$L896&gt;25),$I895/POW(10,$J895)*MAXIFS(Token!$B:$B,Token!$A:$A,$K895)&gt;0.01),$L895/86400+DATE(1970,1,1)+$G$6,)</f>
        <v/>
      </c>
      <c r="B895" s="27" t="str">
        <f t="shared" si="1"/>
        <v/>
      </c>
      <c r="C895" s="14" t="str">
        <f>IF($A895&lt;&gt;"",MINIFS(Merchant!$A:$A,Merchant!$B:$B,$G$2),)</f>
        <v/>
      </c>
      <c r="D895" s="14" t="str">
        <f t="shared" si="2"/>
        <v/>
      </c>
      <c r="E895" s="14" t="str">
        <f t="shared" si="3"/>
        <v/>
      </c>
      <c r="F895" s="7" t="str">
        <f>IF($A895&lt;&gt;"",MAXIFS(Token!$B:$B,Token!$A:$A,$D895),)</f>
        <v/>
      </c>
    </row>
    <row r="896">
      <c r="A896" s="39" t="str">
        <f>IF(AND($L896*1&gt;=$G$3,$L896*1&lt;=$G$4,$I896*$J896&gt;0,OR($I896&lt;&gt;$I897,$L896-$L897&gt;25),$I896/POW(10,$J896)*MAXIFS(Token!$B:$B,Token!$A:$A,$K896)&gt;0.01),$L896/86400+DATE(1970,1,1)+$G$6,)</f>
        <v/>
      </c>
      <c r="B896" s="27" t="str">
        <f t="shared" si="1"/>
        <v/>
      </c>
      <c r="C896" s="14" t="str">
        <f>IF($A896&lt;&gt;"",MINIFS(Merchant!$A:$A,Merchant!$B:$B,$G$2),)</f>
        <v/>
      </c>
      <c r="D896" s="14" t="str">
        <f t="shared" si="2"/>
        <v/>
      </c>
      <c r="E896" s="14" t="str">
        <f t="shared" si="3"/>
        <v/>
      </c>
      <c r="F896" s="7" t="str">
        <f>IF($A896&lt;&gt;"",MAXIFS(Token!$B:$B,Token!$A:$A,$D896),)</f>
        <v/>
      </c>
    </row>
    <row r="897">
      <c r="A897" s="39" t="str">
        <f>IF(AND($L897*1&gt;=$G$3,$L897*1&lt;=$G$4,$I897*$J897&gt;0,OR($I897&lt;&gt;$I898,$L897-$L898&gt;25),$I897/POW(10,$J897)*MAXIFS(Token!$B:$B,Token!$A:$A,$K897)&gt;0.01),$L897/86400+DATE(1970,1,1)+$G$6,)</f>
        <v/>
      </c>
      <c r="B897" s="27" t="str">
        <f t="shared" si="1"/>
        <v/>
      </c>
      <c r="C897" s="14" t="str">
        <f>IF($A897&lt;&gt;"",MINIFS(Merchant!$A:$A,Merchant!$B:$B,$G$2),)</f>
        <v/>
      </c>
      <c r="D897" s="14" t="str">
        <f t="shared" si="2"/>
        <v/>
      </c>
      <c r="E897" s="14" t="str">
        <f t="shared" si="3"/>
        <v/>
      </c>
      <c r="F897" s="7" t="str">
        <f>IF($A897&lt;&gt;"",MAXIFS(Token!$B:$B,Token!$A:$A,$D897),)</f>
        <v/>
      </c>
    </row>
    <row r="898">
      <c r="A898" s="39" t="str">
        <f>IF(AND($L898*1&gt;=$G$3,$L898*1&lt;=$G$4,$I898*$J898&gt;0,OR($I898&lt;&gt;$I899,$L898-$L899&gt;25),$I898/POW(10,$J898)*MAXIFS(Token!$B:$B,Token!$A:$A,$K898)&gt;0.01),$L898/86400+DATE(1970,1,1)+$G$6,)</f>
        <v/>
      </c>
      <c r="B898" s="27" t="str">
        <f t="shared" si="1"/>
        <v/>
      </c>
      <c r="C898" s="14" t="str">
        <f>IF($A898&lt;&gt;"",MINIFS(Merchant!$A:$A,Merchant!$B:$B,$G$2),)</f>
        <v/>
      </c>
      <c r="D898" s="14" t="str">
        <f t="shared" si="2"/>
        <v/>
      </c>
      <c r="E898" s="14" t="str">
        <f t="shared" si="3"/>
        <v/>
      </c>
      <c r="F898" s="7" t="str">
        <f>IF($A898&lt;&gt;"",MAXIFS(Token!$B:$B,Token!$A:$A,$D898),)</f>
        <v/>
      </c>
    </row>
    <row r="899">
      <c r="A899" s="39" t="str">
        <f>IF(AND($L899*1&gt;=$G$3,$L899*1&lt;=$G$4,$I899*$J899&gt;0,OR($I899&lt;&gt;$I900,$L899-$L900&gt;25),$I899/POW(10,$J899)*MAXIFS(Token!$B:$B,Token!$A:$A,$K899)&gt;0.01),$L899/86400+DATE(1970,1,1)+$G$6,)</f>
        <v/>
      </c>
      <c r="B899" s="27" t="str">
        <f t="shared" si="1"/>
        <v/>
      </c>
      <c r="C899" s="14" t="str">
        <f>IF($A899&lt;&gt;"",MINIFS(Merchant!$A:$A,Merchant!$B:$B,$G$2),)</f>
        <v/>
      </c>
      <c r="D899" s="14" t="str">
        <f t="shared" si="2"/>
        <v/>
      </c>
      <c r="E899" s="14" t="str">
        <f t="shared" si="3"/>
        <v/>
      </c>
      <c r="F899" s="7" t="str">
        <f>IF($A899&lt;&gt;"",MAXIFS(Token!$B:$B,Token!$A:$A,$D899),)</f>
        <v/>
      </c>
    </row>
    <row r="900">
      <c r="A900" s="39" t="str">
        <f>IF(AND($L900*1&gt;=$G$3,$L900*1&lt;=$G$4,$I900*$J900&gt;0,OR($I900&lt;&gt;$I901,$L900-$L901&gt;25),$I900/POW(10,$J900)*MAXIFS(Token!$B:$B,Token!$A:$A,$K900)&gt;0.01),$L900/86400+DATE(1970,1,1)+$G$6,)</f>
        <v/>
      </c>
      <c r="B900" s="27" t="str">
        <f t="shared" si="1"/>
        <v/>
      </c>
      <c r="C900" s="14" t="str">
        <f>IF($A900&lt;&gt;"",MINIFS(Merchant!$A:$A,Merchant!$B:$B,$G$2),)</f>
        <v/>
      </c>
      <c r="D900" s="14" t="str">
        <f t="shared" si="2"/>
        <v/>
      </c>
      <c r="E900" s="14" t="str">
        <f t="shared" si="3"/>
        <v/>
      </c>
      <c r="F900" s="7" t="str">
        <f>IF($A900&lt;&gt;"",MAXIFS(Token!$B:$B,Token!$A:$A,$D900),)</f>
        <v/>
      </c>
    </row>
    <row r="901">
      <c r="A901" s="39" t="str">
        <f>IF(AND($L901*1&gt;=$G$3,$L901*1&lt;=$G$4,$I901*$J901&gt;0,OR($I901&lt;&gt;$I902,$L901-$L902&gt;25),$I901/POW(10,$J901)*MAXIFS(Token!$B:$B,Token!$A:$A,$K901)&gt;0.01),$L901/86400+DATE(1970,1,1)+$G$6,)</f>
        <v/>
      </c>
      <c r="B901" s="27" t="str">
        <f t="shared" si="1"/>
        <v/>
      </c>
      <c r="C901" s="14" t="str">
        <f>IF($A901&lt;&gt;"",MINIFS(Merchant!$A:$A,Merchant!$B:$B,$G$2),)</f>
        <v/>
      </c>
      <c r="D901" s="14" t="str">
        <f t="shared" si="2"/>
        <v/>
      </c>
      <c r="E901" s="14" t="str">
        <f t="shared" si="3"/>
        <v/>
      </c>
      <c r="F901" s="7" t="str">
        <f>IF($A901&lt;&gt;"",MAXIFS(Token!$B:$B,Token!$A:$A,$D901),)</f>
        <v/>
      </c>
    </row>
    <row r="902">
      <c r="A902" s="39" t="str">
        <f>IF(AND($L902*1&gt;=$G$3,$L902*1&lt;=$G$4,$I902*$J902&gt;0,OR($I902&lt;&gt;$I903,$L902-$L903&gt;25),$I902/POW(10,$J902)*MAXIFS(Token!$B:$B,Token!$A:$A,$K902)&gt;0.01),$L902/86400+DATE(1970,1,1)+$G$6,)</f>
        <v/>
      </c>
      <c r="B902" s="27" t="str">
        <f t="shared" si="1"/>
        <v/>
      </c>
      <c r="C902" s="14" t="str">
        <f>IF($A902&lt;&gt;"",MINIFS(Merchant!$A:$A,Merchant!$B:$B,$G$2),)</f>
        <v/>
      </c>
      <c r="D902" s="14" t="str">
        <f t="shared" si="2"/>
        <v/>
      </c>
      <c r="E902" s="14" t="str">
        <f t="shared" si="3"/>
        <v/>
      </c>
      <c r="F902" s="7" t="str">
        <f>IF($A902&lt;&gt;"",MAXIFS(Token!$B:$B,Token!$A:$A,$D902),)</f>
        <v/>
      </c>
    </row>
    <row r="903">
      <c r="A903" s="39" t="str">
        <f>IF(AND($L903*1&gt;=$G$3,$L903*1&lt;=$G$4,$I903*$J903&gt;0,OR($I903&lt;&gt;$I904,$L903-$L904&gt;25),$I903/POW(10,$J903)*MAXIFS(Token!$B:$B,Token!$A:$A,$K903)&gt;0.01),$L903/86400+DATE(1970,1,1)+$G$6,)</f>
        <v/>
      </c>
      <c r="B903" s="27" t="str">
        <f t="shared" si="1"/>
        <v/>
      </c>
      <c r="C903" s="14" t="str">
        <f>IF($A903&lt;&gt;"",MINIFS(Merchant!$A:$A,Merchant!$B:$B,$G$2),)</f>
        <v/>
      </c>
      <c r="D903" s="14" t="str">
        <f t="shared" si="2"/>
        <v/>
      </c>
      <c r="E903" s="14" t="str">
        <f t="shared" si="3"/>
        <v/>
      </c>
      <c r="F903" s="7" t="str">
        <f>IF($A903&lt;&gt;"",MAXIFS(Token!$B:$B,Token!$A:$A,$D903),)</f>
        <v/>
      </c>
    </row>
    <row r="904">
      <c r="A904" s="39" t="str">
        <f>IF(AND($L904*1&gt;=$G$3,$L904*1&lt;=$G$4,$I904*$J904&gt;0,OR($I904&lt;&gt;$I905,$L904-$L905&gt;25),$I904/POW(10,$J904)*MAXIFS(Token!$B:$B,Token!$A:$A,$K904)&gt;0.01),$L904/86400+DATE(1970,1,1)+$G$6,)</f>
        <v/>
      </c>
      <c r="B904" s="27" t="str">
        <f t="shared" si="1"/>
        <v/>
      </c>
      <c r="C904" s="14" t="str">
        <f>IF($A904&lt;&gt;"",MINIFS(Merchant!$A:$A,Merchant!$B:$B,$G$2),)</f>
        <v/>
      </c>
      <c r="D904" s="14" t="str">
        <f t="shared" si="2"/>
        <v/>
      </c>
      <c r="E904" s="14" t="str">
        <f t="shared" si="3"/>
        <v/>
      </c>
      <c r="F904" s="7" t="str">
        <f>IF($A904&lt;&gt;"",MAXIFS(Token!$B:$B,Token!$A:$A,$D904),)</f>
        <v/>
      </c>
    </row>
    <row r="905">
      <c r="A905" s="39" t="str">
        <f>IF(AND($L905*1&gt;=$G$3,$L905*1&lt;=$G$4,$I905*$J905&gt;0,OR($I905&lt;&gt;$I906,$L905-$L906&gt;25),$I905/POW(10,$J905)*MAXIFS(Token!$B:$B,Token!$A:$A,$K905)&gt;0.01),$L905/86400+DATE(1970,1,1)+$G$6,)</f>
        <v/>
      </c>
      <c r="B905" s="27" t="str">
        <f t="shared" si="1"/>
        <v/>
      </c>
      <c r="C905" s="14" t="str">
        <f>IF($A905&lt;&gt;"",MINIFS(Merchant!$A:$A,Merchant!$B:$B,$G$2),)</f>
        <v/>
      </c>
      <c r="D905" s="14" t="str">
        <f t="shared" si="2"/>
        <v/>
      </c>
      <c r="E905" s="14" t="str">
        <f t="shared" si="3"/>
        <v/>
      </c>
      <c r="F905" s="7" t="str">
        <f>IF($A905&lt;&gt;"",MAXIFS(Token!$B:$B,Token!$A:$A,$D905),)</f>
        <v/>
      </c>
    </row>
    <row r="906">
      <c r="A906" s="39" t="str">
        <f>IF(AND($L906*1&gt;=$G$3,$L906*1&lt;=$G$4,$I906*$J906&gt;0,OR($I906&lt;&gt;$I907,$L906-$L907&gt;25),$I906/POW(10,$J906)*MAXIFS(Token!$B:$B,Token!$A:$A,$K906)&gt;0.01),$L906/86400+DATE(1970,1,1)+$G$6,)</f>
        <v/>
      </c>
      <c r="B906" s="27" t="str">
        <f t="shared" si="1"/>
        <v/>
      </c>
      <c r="C906" s="14" t="str">
        <f>IF($A906&lt;&gt;"",MINIFS(Merchant!$A:$A,Merchant!$B:$B,$G$2),)</f>
        <v/>
      </c>
      <c r="D906" s="14" t="str">
        <f t="shared" si="2"/>
        <v/>
      </c>
      <c r="E906" s="14" t="str">
        <f t="shared" si="3"/>
        <v/>
      </c>
      <c r="F906" s="7" t="str">
        <f>IF($A906&lt;&gt;"",MAXIFS(Token!$B:$B,Token!$A:$A,$D906),)</f>
        <v/>
      </c>
    </row>
    <row r="907">
      <c r="A907" s="39" t="str">
        <f>IF(AND($L907*1&gt;=$G$3,$L907*1&lt;=$G$4,$I907*$J907&gt;0,OR($I907&lt;&gt;$I908,$L907-$L908&gt;25),$I907/POW(10,$J907)*MAXIFS(Token!$B:$B,Token!$A:$A,$K907)&gt;0.01),$L907/86400+DATE(1970,1,1)+$G$6,)</f>
        <v/>
      </c>
      <c r="B907" s="27" t="str">
        <f t="shared" si="1"/>
        <v/>
      </c>
      <c r="C907" s="14" t="str">
        <f>IF($A907&lt;&gt;"",MINIFS(Merchant!$A:$A,Merchant!$B:$B,$G$2),)</f>
        <v/>
      </c>
      <c r="D907" s="14" t="str">
        <f t="shared" si="2"/>
        <v/>
      </c>
      <c r="E907" s="14" t="str">
        <f t="shared" si="3"/>
        <v/>
      </c>
      <c r="F907" s="7" t="str">
        <f>IF($A907&lt;&gt;"",MAXIFS(Token!$B:$B,Token!$A:$A,$D907),)</f>
        <v/>
      </c>
    </row>
    <row r="908">
      <c r="A908" s="39" t="str">
        <f>IF(AND($L908*1&gt;=$G$3,$L908*1&lt;=$G$4,$I908*$J908&gt;0,OR($I908&lt;&gt;$I909,$L908-$L909&gt;25),$I908/POW(10,$J908)*MAXIFS(Token!$B:$B,Token!$A:$A,$K908)&gt;0.01),$L908/86400+DATE(1970,1,1)+$G$6,)</f>
        <v/>
      </c>
      <c r="B908" s="27" t="str">
        <f t="shared" si="1"/>
        <v/>
      </c>
      <c r="C908" s="14" t="str">
        <f>IF($A908&lt;&gt;"",MINIFS(Merchant!$A:$A,Merchant!$B:$B,$G$2),)</f>
        <v/>
      </c>
      <c r="D908" s="14" t="str">
        <f t="shared" si="2"/>
        <v/>
      </c>
      <c r="E908" s="14" t="str">
        <f t="shared" si="3"/>
        <v/>
      </c>
      <c r="F908" s="7" t="str">
        <f>IF($A908&lt;&gt;"",MAXIFS(Token!$B:$B,Token!$A:$A,$D908),)</f>
        <v/>
      </c>
    </row>
    <row r="909">
      <c r="A909" s="39" t="str">
        <f>IF(AND($L909*1&gt;=$G$3,$L909*1&lt;=$G$4,$I909*$J909&gt;0,OR($I909&lt;&gt;$I910,$L909-$L910&gt;25),$I909/POW(10,$J909)*MAXIFS(Token!$B:$B,Token!$A:$A,$K909)&gt;0.01),$L909/86400+DATE(1970,1,1)+$G$6,)</f>
        <v/>
      </c>
      <c r="B909" s="27" t="str">
        <f t="shared" si="1"/>
        <v/>
      </c>
      <c r="C909" s="14" t="str">
        <f>IF($A909&lt;&gt;"",MINIFS(Merchant!$A:$A,Merchant!$B:$B,$G$2),)</f>
        <v/>
      </c>
      <c r="D909" s="14" t="str">
        <f t="shared" si="2"/>
        <v/>
      </c>
      <c r="E909" s="14" t="str">
        <f t="shared" si="3"/>
        <v/>
      </c>
      <c r="F909" s="7" t="str">
        <f>IF($A909&lt;&gt;"",MAXIFS(Token!$B:$B,Token!$A:$A,$D909),)</f>
        <v/>
      </c>
    </row>
    <row r="910">
      <c r="A910" s="39" t="str">
        <f>IF(AND($L910*1&gt;=$G$3,$L910*1&lt;=$G$4,$I910*$J910&gt;0,OR($I910&lt;&gt;$I911,$L910-$L911&gt;25),$I910/POW(10,$J910)*MAXIFS(Token!$B:$B,Token!$A:$A,$K910)&gt;0.01),$L910/86400+DATE(1970,1,1)+$G$6,)</f>
        <v/>
      </c>
      <c r="B910" s="27" t="str">
        <f t="shared" si="1"/>
        <v/>
      </c>
      <c r="C910" s="14" t="str">
        <f>IF($A910&lt;&gt;"",MINIFS(Merchant!$A:$A,Merchant!$B:$B,$G$2),)</f>
        <v/>
      </c>
      <c r="D910" s="14" t="str">
        <f t="shared" si="2"/>
        <v/>
      </c>
      <c r="E910" s="14" t="str">
        <f t="shared" si="3"/>
        <v/>
      </c>
      <c r="F910" s="7" t="str">
        <f>IF($A910&lt;&gt;"",MAXIFS(Token!$B:$B,Token!$A:$A,$D910),)</f>
        <v/>
      </c>
    </row>
    <row r="911">
      <c r="A911" s="39" t="str">
        <f>IF(AND($L911*1&gt;=$G$3,$L911*1&lt;=$G$4,$I911*$J911&gt;0,OR($I911&lt;&gt;$I912,$L911-$L912&gt;25),$I911/POW(10,$J911)*MAXIFS(Token!$B:$B,Token!$A:$A,$K911)&gt;0.01),$L911/86400+DATE(1970,1,1)+$G$6,)</f>
        <v/>
      </c>
      <c r="B911" s="27" t="str">
        <f t="shared" si="1"/>
        <v/>
      </c>
      <c r="C911" s="14" t="str">
        <f>IF($A911&lt;&gt;"",MINIFS(Merchant!$A:$A,Merchant!$B:$B,$G$2),)</f>
        <v/>
      </c>
      <c r="D911" s="14" t="str">
        <f t="shared" si="2"/>
        <v/>
      </c>
      <c r="E911" s="14" t="str">
        <f t="shared" si="3"/>
        <v/>
      </c>
      <c r="F911" s="7" t="str">
        <f>IF($A911&lt;&gt;"",MAXIFS(Token!$B:$B,Token!$A:$A,$D911),)</f>
        <v/>
      </c>
    </row>
    <row r="912">
      <c r="A912" s="39" t="str">
        <f>IF(AND($L912*1&gt;=$G$3,$L912*1&lt;=$G$4,$I912*$J912&gt;0,OR($I912&lt;&gt;$I913,$L912-$L913&gt;25),$I912/POW(10,$J912)*MAXIFS(Token!$B:$B,Token!$A:$A,$K912)&gt;0.01),$L912/86400+DATE(1970,1,1)+$G$6,)</f>
        <v/>
      </c>
      <c r="B912" s="27" t="str">
        <f t="shared" si="1"/>
        <v/>
      </c>
      <c r="C912" s="14" t="str">
        <f>IF($A912&lt;&gt;"",MINIFS(Merchant!$A:$A,Merchant!$B:$B,$G$2),)</f>
        <v/>
      </c>
      <c r="D912" s="14" t="str">
        <f t="shared" si="2"/>
        <v/>
      </c>
      <c r="E912" s="14" t="str">
        <f t="shared" si="3"/>
        <v/>
      </c>
      <c r="F912" s="7" t="str">
        <f>IF($A912&lt;&gt;"",MAXIFS(Token!$B:$B,Token!$A:$A,$D912),)</f>
        <v/>
      </c>
    </row>
    <row r="913">
      <c r="A913" s="39" t="str">
        <f>IF(AND($L913*1&gt;=$G$3,$L913*1&lt;=$G$4,$I913*$J913&gt;0,OR($I913&lt;&gt;$I914,$L913-$L914&gt;25),$I913/POW(10,$J913)*MAXIFS(Token!$B:$B,Token!$A:$A,$K913)&gt;0.01),$L913/86400+DATE(1970,1,1)+$G$6,)</f>
        <v/>
      </c>
      <c r="B913" s="27" t="str">
        <f t="shared" si="1"/>
        <v/>
      </c>
      <c r="C913" s="14" t="str">
        <f>IF($A913&lt;&gt;"",MINIFS(Merchant!$A:$A,Merchant!$B:$B,$G$2),)</f>
        <v/>
      </c>
      <c r="D913" s="14" t="str">
        <f t="shared" si="2"/>
        <v/>
      </c>
      <c r="E913" s="14" t="str">
        <f t="shared" si="3"/>
        <v/>
      </c>
      <c r="F913" s="7" t="str">
        <f>IF($A913&lt;&gt;"",MAXIFS(Token!$B:$B,Token!$A:$A,$D913),)</f>
        <v/>
      </c>
    </row>
    <row r="914">
      <c r="A914" s="39" t="str">
        <f>IF(AND($L914*1&gt;=$G$3,$L914*1&lt;=$G$4,$I914*$J914&gt;0,OR($I914&lt;&gt;$I915,$L914-$L915&gt;25),$I914/POW(10,$J914)*MAXIFS(Token!$B:$B,Token!$A:$A,$K914)&gt;0.01),$L914/86400+DATE(1970,1,1)+$G$6,)</f>
        <v/>
      </c>
      <c r="B914" s="27" t="str">
        <f t="shared" si="1"/>
        <v/>
      </c>
      <c r="C914" s="14" t="str">
        <f>IF($A914&lt;&gt;"",MINIFS(Merchant!$A:$A,Merchant!$B:$B,$G$2),)</f>
        <v/>
      </c>
      <c r="D914" s="14" t="str">
        <f t="shared" si="2"/>
        <v/>
      </c>
      <c r="E914" s="14" t="str">
        <f t="shared" si="3"/>
        <v/>
      </c>
      <c r="F914" s="7" t="str">
        <f>IF($A914&lt;&gt;"",MAXIFS(Token!$B:$B,Token!$A:$A,$D914),)</f>
        <v/>
      </c>
    </row>
    <row r="915">
      <c r="A915" s="39" t="str">
        <f>IF(AND($L915*1&gt;=$G$3,$L915*1&lt;=$G$4,$I915*$J915&gt;0,OR($I915&lt;&gt;$I916,$L915-$L916&gt;25),$I915/POW(10,$J915)*MAXIFS(Token!$B:$B,Token!$A:$A,$K915)&gt;0.01),$L915/86400+DATE(1970,1,1)+$G$6,)</f>
        <v/>
      </c>
      <c r="B915" s="27" t="str">
        <f t="shared" si="1"/>
        <v/>
      </c>
      <c r="C915" s="14" t="str">
        <f>IF($A915&lt;&gt;"",MINIFS(Merchant!$A:$A,Merchant!$B:$B,$G$2),)</f>
        <v/>
      </c>
      <c r="D915" s="14" t="str">
        <f t="shared" si="2"/>
        <v/>
      </c>
      <c r="E915" s="14" t="str">
        <f t="shared" si="3"/>
        <v/>
      </c>
      <c r="F915" s="7" t="str">
        <f>IF($A915&lt;&gt;"",MAXIFS(Token!$B:$B,Token!$A:$A,$D915),)</f>
        <v/>
      </c>
    </row>
    <row r="916">
      <c r="A916" s="39" t="str">
        <f>IF(AND($L916*1&gt;=$G$3,$L916*1&lt;=$G$4,$I916*$J916&gt;0,OR($I916&lt;&gt;$I917,$L916-$L917&gt;25),$I916/POW(10,$J916)*MAXIFS(Token!$B:$B,Token!$A:$A,$K916)&gt;0.01),$L916/86400+DATE(1970,1,1)+$G$6,)</f>
        <v/>
      </c>
      <c r="B916" s="27" t="str">
        <f t="shared" si="1"/>
        <v/>
      </c>
      <c r="C916" s="14" t="str">
        <f>IF($A916&lt;&gt;"",MINIFS(Merchant!$A:$A,Merchant!$B:$B,$G$2),)</f>
        <v/>
      </c>
      <c r="D916" s="14" t="str">
        <f t="shared" si="2"/>
        <v/>
      </c>
      <c r="E916" s="14" t="str">
        <f t="shared" si="3"/>
        <v/>
      </c>
      <c r="F916" s="7" t="str">
        <f>IF($A916&lt;&gt;"",MAXIFS(Token!$B:$B,Token!$A:$A,$D916),)</f>
        <v/>
      </c>
    </row>
    <row r="917">
      <c r="A917" s="39" t="str">
        <f>IF(AND($L917*1&gt;=$G$3,$L917*1&lt;=$G$4,$I917*$J917&gt;0,OR($I917&lt;&gt;$I918,$L917-$L918&gt;25),$I917/POW(10,$J917)*MAXIFS(Token!$B:$B,Token!$A:$A,$K917)&gt;0.01),$L917/86400+DATE(1970,1,1)+$G$6,)</f>
        <v/>
      </c>
      <c r="B917" s="27" t="str">
        <f t="shared" si="1"/>
        <v/>
      </c>
      <c r="C917" s="14" t="str">
        <f>IF($A917&lt;&gt;"",MINIFS(Merchant!$A:$A,Merchant!$B:$B,$G$2),)</f>
        <v/>
      </c>
      <c r="D917" s="14" t="str">
        <f t="shared" si="2"/>
        <v/>
      </c>
      <c r="E917" s="14" t="str">
        <f t="shared" si="3"/>
        <v/>
      </c>
      <c r="F917" s="7" t="str">
        <f>IF($A917&lt;&gt;"",MAXIFS(Token!$B:$B,Token!$A:$A,$D917),)</f>
        <v/>
      </c>
    </row>
    <row r="918">
      <c r="A918" s="39" t="str">
        <f>IF(AND($L918*1&gt;=$G$3,$L918*1&lt;=$G$4,$I918*$J918&gt;0,OR($I918&lt;&gt;$I919,$L918-$L919&gt;25),$I918/POW(10,$J918)*MAXIFS(Token!$B:$B,Token!$A:$A,$K918)&gt;0.01),$L918/86400+DATE(1970,1,1)+$G$6,)</f>
        <v/>
      </c>
      <c r="B918" s="27" t="str">
        <f t="shared" si="1"/>
        <v/>
      </c>
      <c r="C918" s="14" t="str">
        <f>IF($A918&lt;&gt;"",MINIFS(Merchant!$A:$A,Merchant!$B:$B,$G$2),)</f>
        <v/>
      </c>
      <c r="D918" s="14" t="str">
        <f t="shared" si="2"/>
        <v/>
      </c>
      <c r="E918" s="14" t="str">
        <f t="shared" si="3"/>
        <v/>
      </c>
      <c r="F918" s="7" t="str">
        <f>IF($A918&lt;&gt;"",MAXIFS(Token!$B:$B,Token!$A:$A,$D918),)</f>
        <v/>
      </c>
    </row>
    <row r="919">
      <c r="A919" s="39" t="str">
        <f>IF(AND($L919*1&gt;=$G$3,$L919*1&lt;=$G$4,$I919*$J919&gt;0,OR($I919&lt;&gt;$I920,$L919-$L920&gt;25),$I919/POW(10,$J919)*MAXIFS(Token!$B:$B,Token!$A:$A,$K919)&gt;0.01),$L919/86400+DATE(1970,1,1)+$G$6,)</f>
        <v/>
      </c>
      <c r="B919" s="27" t="str">
        <f t="shared" si="1"/>
        <v/>
      </c>
      <c r="C919" s="14" t="str">
        <f>IF($A919&lt;&gt;"",MINIFS(Merchant!$A:$A,Merchant!$B:$B,$G$2),)</f>
        <v/>
      </c>
      <c r="D919" s="14" t="str">
        <f t="shared" si="2"/>
        <v/>
      </c>
      <c r="E919" s="14" t="str">
        <f t="shared" si="3"/>
        <v/>
      </c>
      <c r="F919" s="7" t="str">
        <f>IF($A919&lt;&gt;"",MAXIFS(Token!$B:$B,Token!$A:$A,$D919),)</f>
        <v/>
      </c>
    </row>
    <row r="920">
      <c r="A920" s="39" t="str">
        <f>IF(AND($L920*1&gt;=$G$3,$L920*1&lt;=$G$4,$I920*$J920&gt;0,OR($I920&lt;&gt;$I921,$L920-$L921&gt;25),$I920/POW(10,$J920)*MAXIFS(Token!$B:$B,Token!$A:$A,$K920)&gt;0.01),$L920/86400+DATE(1970,1,1)+$G$6,)</f>
        <v/>
      </c>
      <c r="B920" s="27" t="str">
        <f t="shared" si="1"/>
        <v/>
      </c>
      <c r="C920" s="14" t="str">
        <f>IF($A920&lt;&gt;"",MINIFS(Merchant!$A:$A,Merchant!$B:$B,$G$2),)</f>
        <v/>
      </c>
      <c r="D920" s="14" t="str">
        <f t="shared" si="2"/>
        <v/>
      </c>
      <c r="E920" s="14" t="str">
        <f t="shared" si="3"/>
        <v/>
      </c>
      <c r="F920" s="7" t="str">
        <f>IF($A920&lt;&gt;"",MAXIFS(Token!$B:$B,Token!$A:$A,$D920),)</f>
        <v/>
      </c>
    </row>
    <row r="921">
      <c r="A921" s="39" t="str">
        <f>IF(AND($L921*1&gt;=$G$3,$L921*1&lt;=$G$4,$I921*$J921&gt;0,OR($I921&lt;&gt;$I922,$L921-$L922&gt;25),$I921/POW(10,$J921)*MAXIFS(Token!$B:$B,Token!$A:$A,$K921)&gt;0.01),$L921/86400+DATE(1970,1,1)+$G$6,)</f>
        <v/>
      </c>
      <c r="B921" s="27" t="str">
        <f t="shared" si="1"/>
        <v/>
      </c>
      <c r="C921" s="14" t="str">
        <f>IF($A921&lt;&gt;"",MINIFS(Merchant!$A:$A,Merchant!$B:$B,$G$2),)</f>
        <v/>
      </c>
      <c r="D921" s="14" t="str">
        <f t="shared" si="2"/>
        <v/>
      </c>
      <c r="E921" s="14" t="str">
        <f t="shared" si="3"/>
        <v/>
      </c>
      <c r="F921" s="7" t="str">
        <f>IF($A921&lt;&gt;"",MAXIFS(Token!$B:$B,Token!$A:$A,$D921),)</f>
        <v/>
      </c>
    </row>
    <row r="922">
      <c r="A922" s="39" t="str">
        <f>IF(AND($L922*1&gt;=$G$3,$L922*1&lt;=$G$4,$I922*$J922&gt;0,OR($I922&lt;&gt;$I923,$L922-$L923&gt;25),$I922/POW(10,$J922)*MAXIFS(Token!$B:$B,Token!$A:$A,$K922)&gt;0.01),$L922/86400+DATE(1970,1,1)+$G$6,)</f>
        <v/>
      </c>
      <c r="B922" s="27" t="str">
        <f t="shared" si="1"/>
        <v/>
      </c>
      <c r="C922" s="14" t="str">
        <f>IF($A922&lt;&gt;"",MINIFS(Merchant!$A:$A,Merchant!$B:$B,$G$2),)</f>
        <v/>
      </c>
      <c r="D922" s="14" t="str">
        <f t="shared" si="2"/>
        <v/>
      </c>
      <c r="E922" s="14" t="str">
        <f t="shared" si="3"/>
        <v/>
      </c>
      <c r="F922" s="7" t="str">
        <f>IF($A922&lt;&gt;"",MAXIFS(Token!$B:$B,Token!$A:$A,$D922),)</f>
        <v/>
      </c>
    </row>
    <row r="923">
      <c r="A923" s="39" t="str">
        <f>IF(AND($L923*1&gt;=$G$3,$L923*1&lt;=$G$4,$I923*$J923&gt;0,OR($I923&lt;&gt;$I924,$L923-$L924&gt;25),$I923/POW(10,$J923)*MAXIFS(Token!$B:$B,Token!$A:$A,$K923)&gt;0.01),$L923/86400+DATE(1970,1,1)+$G$6,)</f>
        <v/>
      </c>
      <c r="B923" s="27" t="str">
        <f t="shared" si="1"/>
        <v/>
      </c>
      <c r="C923" s="14" t="str">
        <f>IF($A923&lt;&gt;"",MINIFS(Merchant!$A:$A,Merchant!$B:$B,$G$2),)</f>
        <v/>
      </c>
      <c r="D923" s="14" t="str">
        <f t="shared" si="2"/>
        <v/>
      </c>
      <c r="E923" s="14" t="str">
        <f t="shared" si="3"/>
        <v/>
      </c>
      <c r="F923" s="7" t="str">
        <f>IF($A923&lt;&gt;"",MAXIFS(Token!$B:$B,Token!$A:$A,$D923),)</f>
        <v/>
      </c>
    </row>
    <row r="924">
      <c r="A924" s="39" t="str">
        <f>IF(AND($L924*1&gt;=$G$3,$L924*1&lt;=$G$4,$I924*$J924&gt;0,OR($I924&lt;&gt;$I925,$L924-$L925&gt;25),$I924/POW(10,$J924)*MAXIFS(Token!$B:$B,Token!$A:$A,$K924)&gt;0.01),$L924/86400+DATE(1970,1,1)+$G$6,)</f>
        <v/>
      </c>
      <c r="B924" s="27" t="str">
        <f t="shared" si="1"/>
        <v/>
      </c>
      <c r="C924" s="14" t="str">
        <f>IF($A924&lt;&gt;"",MINIFS(Merchant!$A:$A,Merchant!$B:$B,$G$2),)</f>
        <v/>
      </c>
      <c r="D924" s="14" t="str">
        <f t="shared" si="2"/>
        <v/>
      </c>
      <c r="E924" s="14" t="str">
        <f t="shared" si="3"/>
        <v/>
      </c>
      <c r="F924" s="7" t="str">
        <f>IF($A924&lt;&gt;"",MAXIFS(Token!$B:$B,Token!$A:$A,$D924),)</f>
        <v/>
      </c>
    </row>
    <row r="925">
      <c r="A925" s="39" t="str">
        <f>IF(AND($L925*1&gt;=$G$3,$L925*1&lt;=$G$4,$I925*$J925&gt;0,OR($I925&lt;&gt;$I926,$L925-$L926&gt;25),$I925/POW(10,$J925)*MAXIFS(Token!$B:$B,Token!$A:$A,$K925)&gt;0.01),$L925/86400+DATE(1970,1,1)+$G$6,)</f>
        <v/>
      </c>
      <c r="B925" s="27" t="str">
        <f t="shared" si="1"/>
        <v/>
      </c>
      <c r="C925" s="14" t="str">
        <f>IF($A925&lt;&gt;"",MINIFS(Merchant!$A:$A,Merchant!$B:$B,$G$2),)</f>
        <v/>
      </c>
      <c r="D925" s="14" t="str">
        <f t="shared" si="2"/>
        <v/>
      </c>
      <c r="E925" s="14" t="str">
        <f t="shared" si="3"/>
        <v/>
      </c>
      <c r="F925" s="7" t="str">
        <f>IF($A925&lt;&gt;"",MAXIFS(Token!$B:$B,Token!$A:$A,$D925),)</f>
        <v/>
      </c>
    </row>
    <row r="926">
      <c r="A926" s="39" t="str">
        <f>IF(AND($L926*1&gt;=$G$3,$L926*1&lt;=$G$4,$I926*$J926&gt;0,OR($I926&lt;&gt;$I927,$L926-$L927&gt;25),$I926/POW(10,$J926)*MAXIFS(Token!$B:$B,Token!$A:$A,$K926)&gt;0.01),$L926/86400+DATE(1970,1,1)+$G$6,)</f>
        <v/>
      </c>
      <c r="B926" s="27" t="str">
        <f t="shared" si="1"/>
        <v/>
      </c>
      <c r="C926" s="14" t="str">
        <f>IF($A926&lt;&gt;"",MINIFS(Merchant!$A:$A,Merchant!$B:$B,$G$2),)</f>
        <v/>
      </c>
      <c r="D926" s="14" t="str">
        <f t="shared" si="2"/>
        <v/>
      </c>
      <c r="E926" s="14" t="str">
        <f t="shared" si="3"/>
        <v/>
      </c>
      <c r="F926" s="7" t="str">
        <f>IF($A926&lt;&gt;"",MAXIFS(Token!$B:$B,Token!$A:$A,$D926),)</f>
        <v/>
      </c>
    </row>
    <row r="927">
      <c r="A927" s="39" t="str">
        <f>IF(AND($L927*1&gt;=$G$3,$L927*1&lt;=$G$4,$I927*$J927&gt;0,OR($I927&lt;&gt;$I928,$L927-$L928&gt;25),$I927/POW(10,$J927)*MAXIFS(Token!$B:$B,Token!$A:$A,$K927)&gt;0.01),$L927/86400+DATE(1970,1,1)+$G$6,)</f>
        <v/>
      </c>
      <c r="B927" s="27" t="str">
        <f t="shared" si="1"/>
        <v/>
      </c>
      <c r="C927" s="14" t="str">
        <f>IF($A927&lt;&gt;"",MINIFS(Merchant!$A:$A,Merchant!$B:$B,$G$2),)</f>
        <v/>
      </c>
      <c r="D927" s="14" t="str">
        <f t="shared" si="2"/>
        <v/>
      </c>
      <c r="E927" s="14" t="str">
        <f t="shared" si="3"/>
        <v/>
      </c>
      <c r="F927" s="7" t="str">
        <f>IF($A927&lt;&gt;"",MAXIFS(Token!$B:$B,Token!$A:$A,$D927),)</f>
        <v/>
      </c>
    </row>
    <row r="928">
      <c r="A928" s="39" t="str">
        <f>IF(AND($L928*1&gt;=$G$3,$L928*1&lt;=$G$4,$I928*$J928&gt;0,OR($I928&lt;&gt;$I929,$L928-$L929&gt;25),$I928/POW(10,$J928)*MAXIFS(Token!$B:$B,Token!$A:$A,$K928)&gt;0.01),$L928/86400+DATE(1970,1,1)+$G$6,)</f>
        <v/>
      </c>
      <c r="B928" s="27" t="str">
        <f t="shared" si="1"/>
        <v/>
      </c>
      <c r="C928" s="14" t="str">
        <f>IF($A928&lt;&gt;"",MINIFS(Merchant!$A:$A,Merchant!$B:$B,$G$2),)</f>
        <v/>
      </c>
      <c r="D928" s="14" t="str">
        <f t="shared" si="2"/>
        <v/>
      </c>
      <c r="E928" s="14" t="str">
        <f t="shared" si="3"/>
        <v/>
      </c>
      <c r="F928" s="7" t="str">
        <f>IF($A928&lt;&gt;"",MAXIFS(Token!$B:$B,Token!$A:$A,$D928),)</f>
        <v/>
      </c>
    </row>
    <row r="929">
      <c r="A929" s="39" t="str">
        <f>IF(AND($L929*1&gt;=$G$3,$L929*1&lt;=$G$4,$I929*$J929&gt;0,OR($I929&lt;&gt;$I930,$L929-$L930&gt;25),$I929/POW(10,$J929)*MAXIFS(Token!$B:$B,Token!$A:$A,$K929)&gt;0.01),$L929/86400+DATE(1970,1,1)+$G$6,)</f>
        <v/>
      </c>
      <c r="B929" s="27" t="str">
        <f t="shared" si="1"/>
        <v/>
      </c>
      <c r="C929" s="14" t="str">
        <f>IF($A929&lt;&gt;"",MINIFS(Merchant!$A:$A,Merchant!$B:$B,$G$2),)</f>
        <v/>
      </c>
      <c r="D929" s="14" t="str">
        <f t="shared" si="2"/>
        <v/>
      </c>
      <c r="E929" s="14" t="str">
        <f t="shared" si="3"/>
        <v/>
      </c>
      <c r="F929" s="7" t="str">
        <f>IF($A929&lt;&gt;"",MAXIFS(Token!$B:$B,Token!$A:$A,$D929),)</f>
        <v/>
      </c>
    </row>
    <row r="930">
      <c r="A930" s="39" t="str">
        <f>IF(AND($L930*1&gt;=$G$3,$L930*1&lt;=$G$4,$I930*$J930&gt;0,OR($I930&lt;&gt;$I931,$L930-$L931&gt;25),$I930/POW(10,$J930)*MAXIFS(Token!$B:$B,Token!$A:$A,$K930)&gt;0.01),$L930/86400+DATE(1970,1,1)+$G$6,)</f>
        <v/>
      </c>
      <c r="B930" s="27" t="str">
        <f t="shared" si="1"/>
        <v/>
      </c>
      <c r="C930" s="14" t="str">
        <f>IF($A930&lt;&gt;"",MINIFS(Merchant!$A:$A,Merchant!$B:$B,$G$2),)</f>
        <v/>
      </c>
      <c r="D930" s="14" t="str">
        <f t="shared" si="2"/>
        <v/>
      </c>
      <c r="E930" s="14" t="str">
        <f t="shared" si="3"/>
        <v/>
      </c>
      <c r="F930" s="7" t="str">
        <f>IF($A930&lt;&gt;"",MAXIFS(Token!$B:$B,Token!$A:$A,$D930),)</f>
        <v/>
      </c>
    </row>
    <row r="931">
      <c r="A931" s="39" t="str">
        <f>IF(AND($L931*1&gt;=$G$3,$L931*1&lt;=$G$4,$I931*$J931&gt;0,OR($I931&lt;&gt;$I932,$L931-$L932&gt;25),$I931/POW(10,$J931)*MAXIFS(Token!$B:$B,Token!$A:$A,$K931)&gt;0.01),$L931/86400+DATE(1970,1,1)+$G$6,)</f>
        <v/>
      </c>
      <c r="B931" s="27" t="str">
        <f t="shared" si="1"/>
        <v/>
      </c>
      <c r="C931" s="14" t="str">
        <f>IF($A931&lt;&gt;"",MINIFS(Merchant!$A:$A,Merchant!$B:$B,$G$2),)</f>
        <v/>
      </c>
      <c r="D931" s="14" t="str">
        <f t="shared" si="2"/>
        <v/>
      </c>
      <c r="E931" s="14" t="str">
        <f t="shared" si="3"/>
        <v/>
      </c>
      <c r="F931" s="7" t="str">
        <f>IF($A931&lt;&gt;"",MAXIFS(Token!$B:$B,Token!$A:$A,$D931),)</f>
        <v/>
      </c>
    </row>
    <row r="932">
      <c r="A932" s="39" t="str">
        <f>IF(AND($L932*1&gt;=$G$3,$L932*1&lt;=$G$4,$I932*$J932&gt;0,OR($I932&lt;&gt;$I933,$L932-$L933&gt;25),$I932/POW(10,$J932)*MAXIFS(Token!$B:$B,Token!$A:$A,$K932)&gt;0.01),$L932/86400+DATE(1970,1,1)+$G$6,)</f>
        <v/>
      </c>
      <c r="B932" s="27" t="str">
        <f t="shared" si="1"/>
        <v/>
      </c>
      <c r="C932" s="14" t="str">
        <f>IF($A932&lt;&gt;"",MINIFS(Merchant!$A:$A,Merchant!$B:$B,$G$2),)</f>
        <v/>
      </c>
      <c r="D932" s="14" t="str">
        <f t="shared" si="2"/>
        <v/>
      </c>
      <c r="E932" s="14" t="str">
        <f t="shared" si="3"/>
        <v/>
      </c>
      <c r="F932" s="7" t="str">
        <f>IF($A932&lt;&gt;"",MAXIFS(Token!$B:$B,Token!$A:$A,$D932),)</f>
        <v/>
      </c>
    </row>
    <row r="933">
      <c r="A933" s="39" t="str">
        <f>IF(AND($L933*1&gt;=$G$3,$L933*1&lt;=$G$4,$I933*$J933&gt;0,OR($I933&lt;&gt;$I934,$L933-$L934&gt;25),$I933/POW(10,$J933)*MAXIFS(Token!$B:$B,Token!$A:$A,$K933)&gt;0.01),$L933/86400+DATE(1970,1,1)+$G$6,)</f>
        <v/>
      </c>
      <c r="B933" s="27" t="str">
        <f t="shared" si="1"/>
        <v/>
      </c>
      <c r="C933" s="14" t="str">
        <f>IF($A933&lt;&gt;"",MINIFS(Merchant!$A:$A,Merchant!$B:$B,$G$2),)</f>
        <v/>
      </c>
      <c r="D933" s="14" t="str">
        <f t="shared" si="2"/>
        <v/>
      </c>
      <c r="E933" s="14" t="str">
        <f t="shared" si="3"/>
        <v/>
      </c>
      <c r="F933" s="7" t="str">
        <f>IF($A933&lt;&gt;"",MAXIFS(Token!$B:$B,Token!$A:$A,$D933),)</f>
        <v/>
      </c>
    </row>
    <row r="934">
      <c r="A934" s="39" t="str">
        <f>IF(AND($L934*1&gt;=$G$3,$L934*1&lt;=$G$4,$I934*$J934&gt;0,OR($I934&lt;&gt;$I935,$L934-$L935&gt;25),$I934/POW(10,$J934)*MAXIFS(Token!$B:$B,Token!$A:$A,$K934)&gt;0.01),$L934/86400+DATE(1970,1,1)+$G$6,)</f>
        <v/>
      </c>
      <c r="B934" s="27" t="str">
        <f t="shared" si="1"/>
        <v/>
      </c>
      <c r="C934" s="14" t="str">
        <f>IF($A934&lt;&gt;"",MINIFS(Merchant!$A:$A,Merchant!$B:$B,$G$2),)</f>
        <v/>
      </c>
      <c r="D934" s="14" t="str">
        <f t="shared" si="2"/>
        <v/>
      </c>
      <c r="E934" s="14" t="str">
        <f t="shared" si="3"/>
        <v/>
      </c>
      <c r="F934" s="7" t="str">
        <f>IF($A934&lt;&gt;"",MAXIFS(Token!$B:$B,Token!$A:$A,$D934),)</f>
        <v/>
      </c>
    </row>
    <row r="935">
      <c r="A935" s="39" t="str">
        <f>IF(AND($L935*1&gt;=$G$3,$L935*1&lt;=$G$4,$I935*$J935&gt;0,OR($I935&lt;&gt;$I936,$L935-$L936&gt;25),$I935/POW(10,$J935)*MAXIFS(Token!$B:$B,Token!$A:$A,$K935)&gt;0.01),$L935/86400+DATE(1970,1,1)+$G$6,)</f>
        <v/>
      </c>
      <c r="B935" s="27" t="str">
        <f t="shared" si="1"/>
        <v/>
      </c>
      <c r="C935" s="14" t="str">
        <f>IF($A935&lt;&gt;"",MINIFS(Merchant!$A:$A,Merchant!$B:$B,$G$2),)</f>
        <v/>
      </c>
      <c r="D935" s="14" t="str">
        <f t="shared" si="2"/>
        <v/>
      </c>
      <c r="E935" s="14" t="str">
        <f t="shared" si="3"/>
        <v/>
      </c>
      <c r="F935" s="7" t="str">
        <f>IF($A935&lt;&gt;"",MAXIFS(Token!$B:$B,Token!$A:$A,$D935),)</f>
        <v/>
      </c>
    </row>
    <row r="936">
      <c r="A936" s="39" t="str">
        <f>IF(AND($L936*1&gt;=$G$3,$L936*1&lt;=$G$4,$I936*$J936&gt;0,OR($I936&lt;&gt;$I937,$L936-$L937&gt;25),$I936/POW(10,$J936)*MAXIFS(Token!$B:$B,Token!$A:$A,$K936)&gt;0.01),$L936/86400+DATE(1970,1,1)+$G$6,)</f>
        <v/>
      </c>
      <c r="B936" s="27" t="str">
        <f t="shared" si="1"/>
        <v/>
      </c>
      <c r="C936" s="14" t="str">
        <f>IF($A936&lt;&gt;"",MINIFS(Merchant!$A:$A,Merchant!$B:$B,$G$2),)</f>
        <v/>
      </c>
      <c r="D936" s="14" t="str">
        <f t="shared" si="2"/>
        <v/>
      </c>
      <c r="E936" s="14" t="str">
        <f t="shared" si="3"/>
        <v/>
      </c>
      <c r="F936" s="7" t="str">
        <f>IF($A936&lt;&gt;"",MAXIFS(Token!$B:$B,Token!$A:$A,$D936),)</f>
        <v/>
      </c>
    </row>
    <row r="937">
      <c r="A937" s="39" t="str">
        <f>IF(AND($L937*1&gt;=$G$3,$L937*1&lt;=$G$4,$I937*$J937&gt;0,OR($I937&lt;&gt;$I938,$L937-$L938&gt;25),$I937/POW(10,$J937)*MAXIFS(Token!$B:$B,Token!$A:$A,$K937)&gt;0.01),$L937/86400+DATE(1970,1,1)+$G$6,)</f>
        <v/>
      </c>
      <c r="B937" s="27" t="str">
        <f t="shared" si="1"/>
        <v/>
      </c>
      <c r="C937" s="14" t="str">
        <f>IF($A937&lt;&gt;"",MINIFS(Merchant!$A:$A,Merchant!$B:$B,$G$2),)</f>
        <v/>
      </c>
      <c r="D937" s="14" t="str">
        <f t="shared" si="2"/>
        <v/>
      </c>
      <c r="E937" s="14" t="str">
        <f t="shared" si="3"/>
        <v/>
      </c>
      <c r="F937" s="7" t="str">
        <f>IF($A937&lt;&gt;"",MAXIFS(Token!$B:$B,Token!$A:$A,$D937),)</f>
        <v/>
      </c>
    </row>
    <row r="938">
      <c r="A938" s="39" t="str">
        <f>IF(AND($L938*1&gt;=$G$3,$L938*1&lt;=$G$4,$I938*$J938&gt;0,OR($I938&lt;&gt;$I939,$L938-$L939&gt;25),$I938/POW(10,$J938)*MAXIFS(Token!$B:$B,Token!$A:$A,$K938)&gt;0.01),$L938/86400+DATE(1970,1,1)+$G$6,)</f>
        <v/>
      </c>
      <c r="B938" s="27" t="str">
        <f t="shared" si="1"/>
        <v/>
      </c>
      <c r="C938" s="14" t="str">
        <f>IF($A938&lt;&gt;"",MINIFS(Merchant!$A:$A,Merchant!$B:$B,$G$2),)</f>
        <v/>
      </c>
      <c r="D938" s="14" t="str">
        <f t="shared" si="2"/>
        <v/>
      </c>
      <c r="E938" s="14" t="str">
        <f t="shared" si="3"/>
        <v/>
      </c>
      <c r="F938" s="7" t="str">
        <f>IF($A938&lt;&gt;"",MAXIFS(Token!$B:$B,Token!$A:$A,$D938),)</f>
        <v/>
      </c>
    </row>
    <row r="939">
      <c r="A939" s="39" t="str">
        <f>IF(AND($L939*1&gt;=$G$3,$L939*1&lt;=$G$4,$I939*$J939&gt;0,OR($I939&lt;&gt;$I940,$L939-$L940&gt;25),$I939/POW(10,$J939)*MAXIFS(Token!$B:$B,Token!$A:$A,$K939)&gt;0.01),$L939/86400+DATE(1970,1,1)+$G$6,)</f>
        <v/>
      </c>
      <c r="B939" s="27" t="str">
        <f t="shared" si="1"/>
        <v/>
      </c>
      <c r="C939" s="14" t="str">
        <f>IF($A939&lt;&gt;"",MINIFS(Merchant!$A:$A,Merchant!$B:$B,$G$2),)</f>
        <v/>
      </c>
      <c r="D939" s="14" t="str">
        <f t="shared" si="2"/>
        <v/>
      </c>
      <c r="E939" s="14" t="str">
        <f t="shared" si="3"/>
        <v/>
      </c>
      <c r="F939" s="7" t="str">
        <f>IF($A939&lt;&gt;"",MAXIFS(Token!$B:$B,Token!$A:$A,$D939),)</f>
        <v/>
      </c>
    </row>
    <row r="940">
      <c r="A940" s="39" t="str">
        <f>IF(AND($L940*1&gt;=$G$3,$L940*1&lt;=$G$4,$I940*$J940&gt;0,OR($I940&lt;&gt;$I941,$L940-$L941&gt;25),$I940/POW(10,$J940)*MAXIFS(Token!$B:$B,Token!$A:$A,$K940)&gt;0.01),$L940/86400+DATE(1970,1,1)+$G$6,)</f>
        <v/>
      </c>
      <c r="B940" s="27" t="str">
        <f t="shared" si="1"/>
        <v/>
      </c>
      <c r="C940" s="14" t="str">
        <f>IF($A940&lt;&gt;"",MINIFS(Merchant!$A:$A,Merchant!$B:$B,$G$2),)</f>
        <v/>
      </c>
      <c r="D940" s="14" t="str">
        <f t="shared" si="2"/>
        <v/>
      </c>
      <c r="E940" s="14" t="str">
        <f t="shared" si="3"/>
        <v/>
      </c>
      <c r="F940" s="7" t="str">
        <f>IF($A940&lt;&gt;"",MAXIFS(Token!$B:$B,Token!$A:$A,$D940),)</f>
        <v/>
      </c>
    </row>
    <row r="941">
      <c r="A941" s="39" t="str">
        <f>IF(AND($L941*1&gt;=$G$3,$L941*1&lt;=$G$4,$I941*$J941&gt;0,OR($I941&lt;&gt;$I942,$L941-$L942&gt;25),$I941/POW(10,$J941)*MAXIFS(Token!$B:$B,Token!$A:$A,$K941)&gt;0.01),$L941/86400+DATE(1970,1,1)+$G$6,)</f>
        <v/>
      </c>
      <c r="B941" s="27" t="str">
        <f t="shared" si="1"/>
        <v/>
      </c>
      <c r="C941" s="14" t="str">
        <f>IF($A941&lt;&gt;"",MINIFS(Merchant!$A:$A,Merchant!$B:$B,$G$2),)</f>
        <v/>
      </c>
      <c r="D941" s="14" t="str">
        <f t="shared" si="2"/>
        <v/>
      </c>
      <c r="E941" s="14" t="str">
        <f t="shared" si="3"/>
        <v/>
      </c>
      <c r="F941" s="7" t="str">
        <f>IF($A941&lt;&gt;"",MAXIFS(Token!$B:$B,Token!$A:$A,$D941),)</f>
        <v/>
      </c>
    </row>
    <row r="942">
      <c r="A942" s="39" t="str">
        <f>IF(AND($L942*1&gt;=$G$3,$L942*1&lt;=$G$4,$I942*$J942&gt;0,OR($I942&lt;&gt;$I943,$L942-$L943&gt;25),$I942/POW(10,$J942)*MAXIFS(Token!$B:$B,Token!$A:$A,$K942)&gt;0.01),$L942/86400+DATE(1970,1,1)+$G$6,)</f>
        <v/>
      </c>
      <c r="B942" s="27" t="str">
        <f t="shared" si="1"/>
        <v/>
      </c>
      <c r="C942" s="14" t="str">
        <f>IF($A942&lt;&gt;"",MINIFS(Merchant!$A:$A,Merchant!$B:$B,$G$2),)</f>
        <v/>
      </c>
      <c r="D942" s="14" t="str">
        <f t="shared" si="2"/>
        <v/>
      </c>
      <c r="E942" s="14" t="str">
        <f t="shared" si="3"/>
        <v/>
      </c>
      <c r="F942" s="7" t="str">
        <f>IF($A942&lt;&gt;"",MAXIFS(Token!$B:$B,Token!$A:$A,$D942),)</f>
        <v/>
      </c>
    </row>
    <row r="943">
      <c r="A943" s="39" t="str">
        <f>IF(AND($L943*1&gt;=$G$3,$L943*1&lt;=$G$4,$I943*$J943&gt;0,OR($I943&lt;&gt;$I944,$L943-$L944&gt;25),$I943/POW(10,$J943)*MAXIFS(Token!$B:$B,Token!$A:$A,$K943)&gt;0.01),$L943/86400+DATE(1970,1,1)+$G$6,)</f>
        <v/>
      </c>
      <c r="B943" s="27" t="str">
        <f t="shared" si="1"/>
        <v/>
      </c>
      <c r="C943" s="14" t="str">
        <f>IF($A943&lt;&gt;"",MINIFS(Merchant!$A:$A,Merchant!$B:$B,$G$2),)</f>
        <v/>
      </c>
      <c r="D943" s="14" t="str">
        <f t="shared" si="2"/>
        <v/>
      </c>
      <c r="E943" s="14" t="str">
        <f t="shared" si="3"/>
        <v/>
      </c>
      <c r="F943" s="7" t="str">
        <f>IF($A943&lt;&gt;"",MAXIFS(Token!$B:$B,Token!$A:$A,$D943),)</f>
        <v/>
      </c>
    </row>
    <row r="944">
      <c r="A944" s="39" t="str">
        <f>IF(AND($L944*1&gt;=$G$3,$L944*1&lt;=$G$4,$I944*$J944&gt;0,OR($I944&lt;&gt;$I945,$L944-$L945&gt;25),$I944/POW(10,$J944)*MAXIFS(Token!$B:$B,Token!$A:$A,$K944)&gt;0.01),$L944/86400+DATE(1970,1,1)+$G$6,)</f>
        <v/>
      </c>
      <c r="B944" s="27" t="str">
        <f t="shared" si="1"/>
        <v/>
      </c>
      <c r="C944" s="14" t="str">
        <f>IF($A944&lt;&gt;"",MINIFS(Merchant!$A:$A,Merchant!$B:$B,$G$2),)</f>
        <v/>
      </c>
      <c r="D944" s="14" t="str">
        <f t="shared" si="2"/>
        <v/>
      </c>
      <c r="E944" s="14" t="str">
        <f t="shared" si="3"/>
        <v/>
      </c>
      <c r="F944" s="7" t="str">
        <f>IF($A944&lt;&gt;"",MAXIFS(Token!$B:$B,Token!$A:$A,$D944),)</f>
        <v/>
      </c>
    </row>
    <row r="945">
      <c r="A945" s="39" t="str">
        <f>IF(AND($L945*1&gt;=$G$3,$L945*1&lt;=$G$4,$I945*$J945&gt;0,OR($I945&lt;&gt;$I946,$L945-$L946&gt;25),$I945/POW(10,$J945)*MAXIFS(Token!$B:$B,Token!$A:$A,$K945)&gt;0.01),$L945/86400+DATE(1970,1,1)+$G$6,)</f>
        <v/>
      </c>
      <c r="B945" s="27" t="str">
        <f t="shared" si="1"/>
        <v/>
      </c>
      <c r="C945" s="14" t="str">
        <f>IF($A945&lt;&gt;"",MINIFS(Merchant!$A:$A,Merchant!$B:$B,$G$2),)</f>
        <v/>
      </c>
      <c r="D945" s="14" t="str">
        <f t="shared" si="2"/>
        <v/>
      </c>
      <c r="E945" s="14" t="str">
        <f t="shared" si="3"/>
        <v/>
      </c>
      <c r="F945" s="7" t="str">
        <f>IF($A945&lt;&gt;"",MAXIFS(Token!$B:$B,Token!$A:$A,$D945),)</f>
        <v/>
      </c>
    </row>
    <row r="946">
      <c r="A946" s="39" t="str">
        <f>IF(AND($L946*1&gt;=$G$3,$L946*1&lt;=$G$4,$I946*$J946&gt;0,OR($I946&lt;&gt;$I947,$L946-$L947&gt;25),$I946/POW(10,$J946)*MAXIFS(Token!$B:$B,Token!$A:$A,$K946)&gt;0.01),$L946/86400+DATE(1970,1,1)+$G$6,)</f>
        <v/>
      </c>
      <c r="B946" s="27" t="str">
        <f t="shared" si="1"/>
        <v/>
      </c>
      <c r="C946" s="14" t="str">
        <f>IF($A946&lt;&gt;"",MINIFS(Merchant!$A:$A,Merchant!$B:$B,$G$2),)</f>
        <v/>
      </c>
      <c r="D946" s="14" t="str">
        <f t="shared" si="2"/>
        <v/>
      </c>
      <c r="E946" s="14" t="str">
        <f t="shared" si="3"/>
        <v/>
      </c>
      <c r="F946" s="7" t="str">
        <f>IF($A946&lt;&gt;"",MAXIFS(Token!$B:$B,Token!$A:$A,$D946),)</f>
        <v/>
      </c>
    </row>
    <row r="947">
      <c r="A947" s="39" t="str">
        <f>IF(AND($L947*1&gt;=$G$3,$L947*1&lt;=$G$4,$I947*$J947&gt;0,OR($I947&lt;&gt;$I948,$L947-$L948&gt;25),$I947/POW(10,$J947)*MAXIFS(Token!$B:$B,Token!$A:$A,$K947)&gt;0.01),$L947/86400+DATE(1970,1,1)+$G$6,)</f>
        <v/>
      </c>
      <c r="B947" s="27" t="str">
        <f t="shared" si="1"/>
        <v/>
      </c>
      <c r="C947" s="14" t="str">
        <f>IF($A947&lt;&gt;"",MINIFS(Merchant!$A:$A,Merchant!$B:$B,$G$2),)</f>
        <v/>
      </c>
      <c r="D947" s="14" t="str">
        <f t="shared" si="2"/>
        <v/>
      </c>
      <c r="E947" s="14" t="str">
        <f t="shared" si="3"/>
        <v/>
      </c>
      <c r="F947" s="7" t="str">
        <f>IF($A947&lt;&gt;"",MAXIFS(Token!$B:$B,Token!$A:$A,$D947),)</f>
        <v/>
      </c>
    </row>
    <row r="948">
      <c r="A948" s="39" t="str">
        <f>IF(AND($L948*1&gt;=$G$3,$L948*1&lt;=$G$4,$I948*$J948&gt;0,OR($I948&lt;&gt;$I949,$L948-$L949&gt;25),$I948/POW(10,$J948)*MAXIFS(Token!$B:$B,Token!$A:$A,$K948)&gt;0.01),$L948/86400+DATE(1970,1,1)+$G$6,)</f>
        <v/>
      </c>
      <c r="B948" s="27" t="str">
        <f t="shared" si="1"/>
        <v/>
      </c>
      <c r="C948" s="14" t="str">
        <f>IF($A948&lt;&gt;"",MINIFS(Merchant!$A:$A,Merchant!$B:$B,$G$2),)</f>
        <v/>
      </c>
      <c r="D948" s="14" t="str">
        <f t="shared" si="2"/>
        <v/>
      </c>
      <c r="E948" s="14" t="str">
        <f t="shared" si="3"/>
        <v/>
      </c>
      <c r="F948" s="7" t="str">
        <f>IF($A948&lt;&gt;"",MAXIFS(Token!$B:$B,Token!$A:$A,$D948),)</f>
        <v/>
      </c>
    </row>
    <row r="949">
      <c r="A949" s="39" t="str">
        <f>IF(AND($L949*1&gt;=$G$3,$L949*1&lt;=$G$4,$I949*$J949&gt;0,OR($I949&lt;&gt;$I950,$L949-$L950&gt;25),$I949/POW(10,$J949)*MAXIFS(Token!$B:$B,Token!$A:$A,$K949)&gt;0.01),$L949/86400+DATE(1970,1,1)+$G$6,)</f>
        <v/>
      </c>
      <c r="B949" s="27" t="str">
        <f t="shared" si="1"/>
        <v/>
      </c>
      <c r="C949" s="14" t="str">
        <f>IF($A949&lt;&gt;"",MINIFS(Merchant!$A:$A,Merchant!$B:$B,$G$2),)</f>
        <v/>
      </c>
      <c r="D949" s="14" t="str">
        <f t="shared" si="2"/>
        <v/>
      </c>
      <c r="E949" s="14" t="str">
        <f t="shared" si="3"/>
        <v/>
      </c>
      <c r="F949" s="7" t="str">
        <f>IF($A949&lt;&gt;"",MAXIFS(Token!$B:$B,Token!$A:$A,$D949),)</f>
        <v/>
      </c>
    </row>
    <row r="950">
      <c r="A950" s="39" t="str">
        <f>IF(AND($L950*1&gt;=$G$3,$L950*1&lt;=$G$4,$I950*$J950&gt;0,OR($I950&lt;&gt;$I951,$L950-$L951&gt;25),$I950/POW(10,$J950)*MAXIFS(Token!$B:$B,Token!$A:$A,$K950)&gt;0.01),$L950/86400+DATE(1970,1,1)+$G$6,)</f>
        <v/>
      </c>
      <c r="B950" s="27" t="str">
        <f t="shared" si="1"/>
        <v/>
      </c>
      <c r="C950" s="14" t="str">
        <f>IF($A950&lt;&gt;"",MINIFS(Merchant!$A:$A,Merchant!$B:$B,$G$2),)</f>
        <v/>
      </c>
      <c r="D950" s="14" t="str">
        <f t="shared" si="2"/>
        <v/>
      </c>
      <c r="E950" s="14" t="str">
        <f t="shared" si="3"/>
        <v/>
      </c>
      <c r="F950" s="7" t="str">
        <f>IF($A950&lt;&gt;"",MAXIFS(Token!$B:$B,Token!$A:$A,$D950),)</f>
        <v/>
      </c>
    </row>
    <row r="951">
      <c r="A951" s="39" t="str">
        <f>IF(AND($L951*1&gt;=$G$3,$L951*1&lt;=$G$4,$I951*$J951&gt;0,OR($I951&lt;&gt;$I952,$L951-$L952&gt;25),$I951/POW(10,$J951)*MAXIFS(Token!$B:$B,Token!$A:$A,$K951)&gt;0.01),$L951/86400+DATE(1970,1,1)+$G$6,)</f>
        <v/>
      </c>
      <c r="B951" s="27" t="str">
        <f t="shared" si="1"/>
        <v/>
      </c>
      <c r="C951" s="14" t="str">
        <f>IF($A951&lt;&gt;"",MINIFS(Merchant!$A:$A,Merchant!$B:$B,$G$2),)</f>
        <v/>
      </c>
      <c r="D951" s="14" t="str">
        <f t="shared" si="2"/>
        <v/>
      </c>
      <c r="E951" s="14" t="str">
        <f t="shared" si="3"/>
        <v/>
      </c>
      <c r="F951" s="7" t="str">
        <f>IF($A951&lt;&gt;"",MAXIFS(Token!$B:$B,Token!$A:$A,$D951),)</f>
        <v/>
      </c>
    </row>
    <row r="952">
      <c r="A952" s="39" t="str">
        <f>IF(AND($L952*1&gt;=$G$3,$L952*1&lt;=$G$4,$I952*$J952&gt;0,OR($I952&lt;&gt;$I953,$L952-$L953&gt;25),$I952/POW(10,$J952)*MAXIFS(Token!$B:$B,Token!$A:$A,$K952)&gt;0.01),$L952/86400+DATE(1970,1,1)+$G$6,)</f>
        <v/>
      </c>
      <c r="B952" s="27" t="str">
        <f t="shared" si="1"/>
        <v/>
      </c>
      <c r="C952" s="14" t="str">
        <f>IF($A952&lt;&gt;"",MINIFS(Merchant!$A:$A,Merchant!$B:$B,$G$2),)</f>
        <v/>
      </c>
      <c r="D952" s="14" t="str">
        <f t="shared" si="2"/>
        <v/>
      </c>
      <c r="E952" s="14" t="str">
        <f t="shared" si="3"/>
        <v/>
      </c>
      <c r="F952" s="7" t="str">
        <f>IF($A952&lt;&gt;"",MAXIFS(Token!$B:$B,Token!$A:$A,$D952),)</f>
        <v/>
      </c>
    </row>
    <row r="953">
      <c r="A953" s="39" t="str">
        <f>IF(AND($L953*1&gt;=$G$3,$L953*1&lt;=$G$4,$I953*$J953&gt;0,OR($I953&lt;&gt;$I954,$L953-$L954&gt;25),$I953/POW(10,$J953)*MAXIFS(Token!$B:$B,Token!$A:$A,$K953)&gt;0.01),$L953/86400+DATE(1970,1,1)+$G$6,)</f>
        <v/>
      </c>
      <c r="B953" s="27" t="str">
        <f t="shared" si="1"/>
        <v/>
      </c>
      <c r="C953" s="14" t="str">
        <f>IF($A953&lt;&gt;"",MINIFS(Merchant!$A:$A,Merchant!$B:$B,$G$2),)</f>
        <v/>
      </c>
      <c r="D953" s="14" t="str">
        <f t="shared" si="2"/>
        <v/>
      </c>
      <c r="E953" s="14" t="str">
        <f t="shared" si="3"/>
        <v/>
      </c>
      <c r="F953" s="7" t="str">
        <f>IF($A953&lt;&gt;"",MAXIFS(Token!$B:$B,Token!$A:$A,$D953),)</f>
        <v/>
      </c>
    </row>
    <row r="954">
      <c r="A954" s="39" t="str">
        <f>IF(AND($L954*1&gt;=$G$3,$L954*1&lt;=$G$4,$I954*$J954&gt;0,OR($I954&lt;&gt;$I955,$L954-$L955&gt;25),$I954/POW(10,$J954)*MAXIFS(Token!$B:$B,Token!$A:$A,$K954)&gt;0.01),$L954/86400+DATE(1970,1,1)+$G$6,)</f>
        <v/>
      </c>
      <c r="B954" s="27" t="str">
        <f t="shared" si="1"/>
        <v/>
      </c>
      <c r="C954" s="14" t="str">
        <f>IF($A954&lt;&gt;"",MINIFS(Merchant!$A:$A,Merchant!$B:$B,$G$2),)</f>
        <v/>
      </c>
      <c r="D954" s="14" t="str">
        <f t="shared" si="2"/>
        <v/>
      </c>
      <c r="E954" s="14" t="str">
        <f t="shared" si="3"/>
        <v/>
      </c>
      <c r="F954" s="7" t="str">
        <f>IF($A954&lt;&gt;"",MAXIFS(Token!$B:$B,Token!$A:$A,$D954),)</f>
        <v/>
      </c>
    </row>
    <row r="955">
      <c r="A955" s="39" t="str">
        <f>IF(AND($L955*1&gt;=$G$3,$L955*1&lt;=$G$4,$I955*$J955&gt;0,OR($I955&lt;&gt;$I956,$L955-$L956&gt;25),$I955/POW(10,$J955)*MAXIFS(Token!$B:$B,Token!$A:$A,$K955)&gt;0.01),$L955/86400+DATE(1970,1,1)+$G$6,)</f>
        <v/>
      </c>
      <c r="B955" s="27" t="str">
        <f t="shared" si="1"/>
        <v/>
      </c>
      <c r="C955" s="14" t="str">
        <f>IF($A955&lt;&gt;"",MINIFS(Merchant!$A:$A,Merchant!$B:$B,$G$2),)</f>
        <v/>
      </c>
      <c r="D955" s="14" t="str">
        <f t="shared" si="2"/>
        <v/>
      </c>
      <c r="E955" s="14" t="str">
        <f t="shared" si="3"/>
        <v/>
      </c>
      <c r="F955" s="7" t="str">
        <f>IF($A955&lt;&gt;"",MAXIFS(Token!$B:$B,Token!$A:$A,$D955),)</f>
        <v/>
      </c>
    </row>
    <row r="956">
      <c r="A956" s="39" t="str">
        <f>IF(AND($L956*1&gt;=$G$3,$L956*1&lt;=$G$4,$I956*$J956&gt;0,OR($I956&lt;&gt;$I957,$L956-$L957&gt;25),$I956/POW(10,$J956)*MAXIFS(Token!$B:$B,Token!$A:$A,$K956)&gt;0.01),$L956/86400+DATE(1970,1,1)+$G$6,)</f>
        <v/>
      </c>
      <c r="B956" s="27" t="str">
        <f t="shared" si="1"/>
        <v/>
      </c>
      <c r="C956" s="14" t="str">
        <f>IF($A956&lt;&gt;"",MINIFS(Merchant!$A:$A,Merchant!$B:$B,$G$2),)</f>
        <v/>
      </c>
      <c r="D956" s="14" t="str">
        <f t="shared" si="2"/>
        <v/>
      </c>
      <c r="E956" s="14" t="str">
        <f t="shared" si="3"/>
        <v/>
      </c>
      <c r="F956" s="7" t="str">
        <f>IF($A956&lt;&gt;"",MAXIFS(Token!$B:$B,Token!$A:$A,$D956),)</f>
        <v/>
      </c>
    </row>
    <row r="957">
      <c r="A957" s="39" t="str">
        <f>IF(AND($L957*1&gt;=$G$3,$L957*1&lt;=$G$4,$I957*$J957&gt;0,OR($I957&lt;&gt;$I958,$L957-$L958&gt;25),$I957/POW(10,$J957)*MAXIFS(Token!$B:$B,Token!$A:$A,$K957)&gt;0.01),$L957/86400+DATE(1970,1,1)+$G$6,)</f>
        <v/>
      </c>
      <c r="B957" s="27" t="str">
        <f t="shared" si="1"/>
        <v/>
      </c>
      <c r="C957" s="14" t="str">
        <f>IF($A957&lt;&gt;"",MINIFS(Merchant!$A:$A,Merchant!$B:$B,$G$2),)</f>
        <v/>
      </c>
      <c r="D957" s="14" t="str">
        <f t="shared" si="2"/>
        <v/>
      </c>
      <c r="E957" s="14" t="str">
        <f t="shared" si="3"/>
        <v/>
      </c>
      <c r="F957" s="7" t="str">
        <f>IF($A957&lt;&gt;"",MAXIFS(Token!$B:$B,Token!$A:$A,$D957),)</f>
        <v/>
      </c>
    </row>
    <row r="958">
      <c r="A958" s="39" t="str">
        <f>IF(AND($L958*1&gt;=$G$3,$L958*1&lt;=$G$4,$I958*$J958&gt;0,OR($I958&lt;&gt;$I959,$L958-$L959&gt;25),$I958/POW(10,$J958)*MAXIFS(Token!$B:$B,Token!$A:$A,$K958)&gt;0.01),$L958/86400+DATE(1970,1,1)+$G$6,)</f>
        <v/>
      </c>
      <c r="B958" s="27" t="str">
        <f t="shared" si="1"/>
        <v/>
      </c>
      <c r="C958" s="14" t="str">
        <f>IF($A958&lt;&gt;"",MINIFS(Merchant!$A:$A,Merchant!$B:$B,$G$2),)</f>
        <v/>
      </c>
      <c r="D958" s="14" t="str">
        <f t="shared" si="2"/>
        <v/>
      </c>
      <c r="E958" s="14" t="str">
        <f t="shared" si="3"/>
        <v/>
      </c>
      <c r="F958" s="7" t="str">
        <f>IF($A958&lt;&gt;"",MAXIFS(Token!$B:$B,Token!$A:$A,$D958),)</f>
        <v/>
      </c>
    </row>
    <row r="959">
      <c r="A959" s="39" t="str">
        <f>IF(AND($L959*1&gt;=$G$3,$L959*1&lt;=$G$4,$I959*$J959&gt;0,OR($I959&lt;&gt;$I960,$L959-$L960&gt;25),$I959/POW(10,$J959)*MAXIFS(Token!$B:$B,Token!$A:$A,$K959)&gt;0.01),$L959/86400+DATE(1970,1,1)+$G$6,)</f>
        <v/>
      </c>
      <c r="B959" s="27" t="str">
        <f t="shared" si="1"/>
        <v/>
      </c>
      <c r="C959" s="14" t="str">
        <f>IF($A959&lt;&gt;"",MINIFS(Merchant!$A:$A,Merchant!$B:$B,$G$2),)</f>
        <v/>
      </c>
      <c r="D959" s="14" t="str">
        <f t="shared" si="2"/>
        <v/>
      </c>
      <c r="E959" s="14" t="str">
        <f t="shared" si="3"/>
        <v/>
      </c>
      <c r="F959" s="7" t="str">
        <f>IF($A959&lt;&gt;"",MAXIFS(Token!$B:$B,Token!$A:$A,$D959),)</f>
        <v/>
      </c>
    </row>
    <row r="960">
      <c r="A960" s="39" t="str">
        <f>IF(AND($L960*1&gt;=$G$3,$L960*1&lt;=$G$4,$I960*$J960&gt;0,OR($I960&lt;&gt;$I961,$L960-$L961&gt;25),$I960/POW(10,$J960)*MAXIFS(Token!$B:$B,Token!$A:$A,$K960)&gt;0.01),$L960/86400+DATE(1970,1,1)+$G$6,)</f>
        <v/>
      </c>
      <c r="B960" s="27" t="str">
        <f t="shared" si="1"/>
        <v/>
      </c>
      <c r="C960" s="14" t="str">
        <f>IF($A960&lt;&gt;"",MINIFS(Merchant!$A:$A,Merchant!$B:$B,$G$2),)</f>
        <v/>
      </c>
      <c r="D960" s="14" t="str">
        <f t="shared" si="2"/>
        <v/>
      </c>
      <c r="E960" s="14" t="str">
        <f t="shared" si="3"/>
        <v/>
      </c>
      <c r="F960" s="7" t="str">
        <f>IF($A960&lt;&gt;"",MAXIFS(Token!$B:$B,Token!$A:$A,$D960),)</f>
        <v/>
      </c>
    </row>
    <row r="961">
      <c r="A961" s="39" t="str">
        <f>IF(AND($L961*1&gt;=$G$3,$L961*1&lt;=$G$4,$I961*$J961&gt;0,OR($I961&lt;&gt;$I962,$L961-$L962&gt;25),$I961/POW(10,$J961)*MAXIFS(Token!$B:$B,Token!$A:$A,$K961)&gt;0.01),$L961/86400+DATE(1970,1,1)+$G$6,)</f>
        <v/>
      </c>
      <c r="B961" s="27" t="str">
        <f t="shared" si="1"/>
        <v/>
      </c>
      <c r="C961" s="14" t="str">
        <f>IF($A961&lt;&gt;"",MINIFS(Merchant!$A:$A,Merchant!$B:$B,$G$2),)</f>
        <v/>
      </c>
      <c r="D961" s="14" t="str">
        <f t="shared" si="2"/>
        <v/>
      </c>
      <c r="E961" s="14" t="str">
        <f t="shared" si="3"/>
        <v/>
      </c>
      <c r="F961" s="7" t="str">
        <f>IF($A961&lt;&gt;"",MAXIFS(Token!$B:$B,Token!$A:$A,$D961),)</f>
        <v/>
      </c>
    </row>
    <row r="962">
      <c r="A962" s="39" t="str">
        <f>IF(AND($L962*1&gt;=$G$3,$L962*1&lt;=$G$4,$I962*$J962&gt;0,OR($I962&lt;&gt;$I963,$L962-$L963&gt;25),$I962/POW(10,$J962)*MAXIFS(Token!$B:$B,Token!$A:$A,$K962)&gt;0.01),$L962/86400+DATE(1970,1,1)+$G$6,)</f>
        <v/>
      </c>
      <c r="B962" s="27" t="str">
        <f t="shared" si="1"/>
        <v/>
      </c>
      <c r="C962" s="14" t="str">
        <f>IF($A962&lt;&gt;"",MINIFS(Merchant!$A:$A,Merchant!$B:$B,$G$2),)</f>
        <v/>
      </c>
      <c r="D962" s="14" t="str">
        <f t="shared" si="2"/>
        <v/>
      </c>
      <c r="E962" s="14" t="str">
        <f t="shared" si="3"/>
        <v/>
      </c>
      <c r="F962" s="7" t="str">
        <f>IF($A962&lt;&gt;"",MAXIFS(Token!$B:$B,Token!$A:$A,$D962),)</f>
        <v/>
      </c>
    </row>
    <row r="963">
      <c r="A963" s="39" t="str">
        <f>IF(AND($L963*1&gt;=$G$3,$L963*1&lt;=$G$4,$I963*$J963&gt;0,OR($I963&lt;&gt;$I964,$L963-$L964&gt;25),$I963/POW(10,$J963)*MAXIFS(Token!$B:$B,Token!$A:$A,$K963)&gt;0.01),$L963/86400+DATE(1970,1,1)+$G$6,)</f>
        <v/>
      </c>
      <c r="B963" s="27" t="str">
        <f t="shared" si="1"/>
        <v/>
      </c>
      <c r="C963" s="14" t="str">
        <f>IF($A963&lt;&gt;"",MINIFS(Merchant!$A:$A,Merchant!$B:$B,$G$2),)</f>
        <v/>
      </c>
      <c r="D963" s="14" t="str">
        <f t="shared" si="2"/>
        <v/>
      </c>
      <c r="E963" s="14" t="str">
        <f t="shared" si="3"/>
        <v/>
      </c>
      <c r="F963" s="7" t="str">
        <f>IF($A963&lt;&gt;"",MAXIFS(Token!$B:$B,Token!$A:$A,$D963),)</f>
        <v/>
      </c>
    </row>
    <row r="964">
      <c r="A964" s="39" t="str">
        <f>IF(AND($L964*1&gt;=$G$3,$L964*1&lt;=$G$4,$I964*$J964&gt;0,OR($I964&lt;&gt;$I965,$L964-$L965&gt;25),$I964/POW(10,$J964)*MAXIFS(Token!$B:$B,Token!$A:$A,$K964)&gt;0.01),$L964/86400+DATE(1970,1,1)+$G$6,)</f>
        <v/>
      </c>
      <c r="B964" s="27" t="str">
        <f t="shared" si="1"/>
        <v/>
      </c>
      <c r="C964" s="14" t="str">
        <f>IF($A964&lt;&gt;"",MINIFS(Merchant!$A:$A,Merchant!$B:$B,$G$2),)</f>
        <v/>
      </c>
      <c r="D964" s="14" t="str">
        <f t="shared" si="2"/>
        <v/>
      </c>
      <c r="E964" s="14" t="str">
        <f t="shared" si="3"/>
        <v/>
      </c>
      <c r="F964" s="7" t="str">
        <f>IF($A964&lt;&gt;"",MAXIFS(Token!$B:$B,Token!$A:$A,$D964),)</f>
        <v/>
      </c>
    </row>
    <row r="965">
      <c r="A965" s="39" t="str">
        <f>IF(AND($L965*1&gt;=$G$3,$L965*1&lt;=$G$4,$I965*$J965&gt;0,OR($I965&lt;&gt;$I966,$L965-$L966&gt;25),$I965/POW(10,$J965)*MAXIFS(Token!$B:$B,Token!$A:$A,$K965)&gt;0.01),$L965/86400+DATE(1970,1,1)+$G$6,)</f>
        <v/>
      </c>
      <c r="B965" s="27" t="str">
        <f t="shared" si="1"/>
        <v/>
      </c>
      <c r="C965" s="14" t="str">
        <f>IF($A965&lt;&gt;"",MINIFS(Merchant!$A:$A,Merchant!$B:$B,$G$2),)</f>
        <v/>
      </c>
      <c r="D965" s="14" t="str">
        <f t="shared" si="2"/>
        <v/>
      </c>
      <c r="E965" s="14" t="str">
        <f t="shared" si="3"/>
        <v/>
      </c>
      <c r="F965" s="7" t="str">
        <f>IF($A965&lt;&gt;"",MAXIFS(Token!$B:$B,Token!$A:$A,$D965),)</f>
        <v/>
      </c>
    </row>
    <row r="966">
      <c r="A966" s="39" t="str">
        <f>IF(AND($L966*1&gt;=$G$3,$L966*1&lt;=$G$4,$I966*$J966&gt;0,OR($I966&lt;&gt;$I967,$L966-$L967&gt;25),$I966/POW(10,$J966)*MAXIFS(Token!$B:$B,Token!$A:$A,$K966)&gt;0.01),$L966/86400+DATE(1970,1,1)+$G$6,)</f>
        <v/>
      </c>
      <c r="B966" s="27" t="str">
        <f t="shared" si="1"/>
        <v/>
      </c>
      <c r="C966" s="14" t="str">
        <f>IF($A966&lt;&gt;"",MINIFS(Merchant!$A:$A,Merchant!$B:$B,$G$2),)</f>
        <v/>
      </c>
      <c r="D966" s="14" t="str">
        <f t="shared" si="2"/>
        <v/>
      </c>
      <c r="E966" s="14" t="str">
        <f t="shared" si="3"/>
        <v/>
      </c>
      <c r="F966" s="7" t="str">
        <f>IF($A966&lt;&gt;"",MAXIFS(Token!$B:$B,Token!$A:$A,$D966),)</f>
        <v/>
      </c>
    </row>
    <row r="967">
      <c r="A967" s="39" t="str">
        <f>IF(AND($L967*1&gt;=$G$3,$L967*1&lt;=$G$4,$I967*$J967&gt;0,OR($I967&lt;&gt;$I968,$L967-$L968&gt;25),$I967/POW(10,$J967)*MAXIFS(Token!$B:$B,Token!$A:$A,$K967)&gt;0.01),$L967/86400+DATE(1970,1,1)+$G$6,)</f>
        <v/>
      </c>
      <c r="B967" s="27" t="str">
        <f t="shared" si="1"/>
        <v/>
      </c>
      <c r="C967" s="14" t="str">
        <f>IF($A967&lt;&gt;"",MINIFS(Merchant!$A:$A,Merchant!$B:$B,$G$2),)</f>
        <v/>
      </c>
      <c r="D967" s="14" t="str">
        <f t="shared" si="2"/>
        <v/>
      </c>
      <c r="E967" s="14" t="str">
        <f t="shared" si="3"/>
        <v/>
      </c>
      <c r="F967" s="7" t="str">
        <f>IF($A967&lt;&gt;"",MAXIFS(Token!$B:$B,Token!$A:$A,$D967),)</f>
        <v/>
      </c>
    </row>
    <row r="968">
      <c r="A968" s="39" t="str">
        <f>IF(AND($L968*1&gt;=$G$3,$L968*1&lt;=$G$4,$I968*$J968&gt;0,OR($I968&lt;&gt;$I969,$L968-$L969&gt;25),$I968/POW(10,$J968)*MAXIFS(Token!$B:$B,Token!$A:$A,$K968)&gt;0.01),$L968/86400+DATE(1970,1,1)+$G$6,)</f>
        <v/>
      </c>
      <c r="B968" s="27" t="str">
        <f t="shared" si="1"/>
        <v/>
      </c>
      <c r="C968" s="14" t="str">
        <f>IF($A968&lt;&gt;"",MINIFS(Merchant!$A:$A,Merchant!$B:$B,$G$2),)</f>
        <v/>
      </c>
      <c r="D968" s="14" t="str">
        <f t="shared" si="2"/>
        <v/>
      </c>
      <c r="E968" s="14" t="str">
        <f t="shared" si="3"/>
        <v/>
      </c>
      <c r="F968" s="7" t="str">
        <f>IF($A968&lt;&gt;"",MAXIFS(Token!$B:$B,Token!$A:$A,$D968),)</f>
        <v/>
      </c>
    </row>
    <row r="969">
      <c r="A969" s="39" t="str">
        <f>IF(AND($L969*1&gt;=$G$3,$L969*1&lt;=$G$4,$I969*$J969&gt;0,OR($I969&lt;&gt;$I970,$L969-$L970&gt;25),$I969/POW(10,$J969)*MAXIFS(Token!$B:$B,Token!$A:$A,$K969)&gt;0.01),$L969/86400+DATE(1970,1,1)+$G$6,)</f>
        <v/>
      </c>
      <c r="B969" s="27" t="str">
        <f t="shared" si="1"/>
        <v/>
      </c>
      <c r="C969" s="14" t="str">
        <f>IF($A969&lt;&gt;"",MINIFS(Merchant!$A:$A,Merchant!$B:$B,$G$2),)</f>
        <v/>
      </c>
      <c r="D969" s="14" t="str">
        <f t="shared" si="2"/>
        <v/>
      </c>
      <c r="E969" s="14" t="str">
        <f t="shared" si="3"/>
        <v/>
      </c>
      <c r="F969" s="7" t="str">
        <f>IF($A969&lt;&gt;"",MAXIFS(Token!$B:$B,Token!$A:$A,$D969),)</f>
        <v/>
      </c>
    </row>
    <row r="970">
      <c r="A970" s="39" t="str">
        <f>IF(AND($L970*1&gt;=$G$3,$L970*1&lt;=$G$4,$I970*$J970&gt;0,OR($I970&lt;&gt;$I971,$L970-$L971&gt;25),$I970/POW(10,$J970)*MAXIFS(Token!$B:$B,Token!$A:$A,$K970)&gt;0.01),$L970/86400+DATE(1970,1,1)+$G$6,)</f>
        <v/>
      </c>
      <c r="B970" s="27" t="str">
        <f t="shared" si="1"/>
        <v/>
      </c>
      <c r="C970" s="14" t="str">
        <f>IF($A970&lt;&gt;"",MINIFS(Merchant!$A:$A,Merchant!$B:$B,$G$2),)</f>
        <v/>
      </c>
      <c r="D970" s="14" t="str">
        <f t="shared" si="2"/>
        <v/>
      </c>
      <c r="E970" s="14" t="str">
        <f t="shared" si="3"/>
        <v/>
      </c>
      <c r="F970" s="7" t="str">
        <f>IF($A970&lt;&gt;"",MAXIFS(Token!$B:$B,Token!$A:$A,$D970),)</f>
        <v/>
      </c>
    </row>
    <row r="971">
      <c r="A971" s="39" t="str">
        <f>IF(AND($L971*1&gt;=$G$3,$L971*1&lt;=$G$4,$I971*$J971&gt;0,OR($I971&lt;&gt;$I972,$L971-$L972&gt;25),$I971/POW(10,$J971)*MAXIFS(Token!$B:$B,Token!$A:$A,$K971)&gt;0.01),$L971/86400+DATE(1970,1,1)+$G$6,)</f>
        <v/>
      </c>
      <c r="B971" s="27" t="str">
        <f t="shared" si="1"/>
        <v/>
      </c>
      <c r="C971" s="14" t="str">
        <f>IF($A971&lt;&gt;"",MINIFS(Merchant!$A:$A,Merchant!$B:$B,$G$2),)</f>
        <v/>
      </c>
      <c r="D971" s="14" t="str">
        <f t="shared" si="2"/>
        <v/>
      </c>
      <c r="E971" s="14" t="str">
        <f t="shared" si="3"/>
        <v/>
      </c>
      <c r="F971" s="7" t="str">
        <f>IF($A971&lt;&gt;"",MAXIFS(Token!$B:$B,Token!$A:$A,$D971),)</f>
        <v/>
      </c>
    </row>
    <row r="972">
      <c r="A972" s="39" t="str">
        <f>IF(AND($L972*1&gt;=$G$3,$L972*1&lt;=$G$4,$I972*$J972&gt;0,OR($I972&lt;&gt;$I973,$L972-$L973&gt;25),$I972/POW(10,$J972)*MAXIFS(Token!$B:$B,Token!$A:$A,$K972)&gt;0.01),$L972/86400+DATE(1970,1,1)+$G$6,)</f>
        <v/>
      </c>
      <c r="B972" s="27" t="str">
        <f t="shared" si="1"/>
        <v/>
      </c>
      <c r="C972" s="14" t="str">
        <f>IF($A972&lt;&gt;"",MINIFS(Merchant!$A:$A,Merchant!$B:$B,$G$2),)</f>
        <v/>
      </c>
      <c r="D972" s="14" t="str">
        <f t="shared" si="2"/>
        <v/>
      </c>
      <c r="E972" s="14" t="str">
        <f t="shared" si="3"/>
        <v/>
      </c>
      <c r="F972" s="7" t="str">
        <f>IF($A972&lt;&gt;"",MAXIFS(Token!$B:$B,Token!$A:$A,$D972),)</f>
        <v/>
      </c>
    </row>
    <row r="973">
      <c r="A973" s="39" t="str">
        <f>IF(AND($L973*1&gt;=$G$3,$L973*1&lt;=$G$4,$I973*$J973&gt;0,OR($I973&lt;&gt;$I974,$L973-$L974&gt;25),$I973/POW(10,$J973)*MAXIFS(Token!$B:$B,Token!$A:$A,$K973)&gt;0.01),$L973/86400+DATE(1970,1,1)+$G$6,)</f>
        <v/>
      </c>
      <c r="B973" s="27" t="str">
        <f t="shared" si="1"/>
        <v/>
      </c>
      <c r="C973" s="14" t="str">
        <f>IF($A973&lt;&gt;"",MINIFS(Merchant!$A:$A,Merchant!$B:$B,$G$2),)</f>
        <v/>
      </c>
      <c r="D973" s="14" t="str">
        <f t="shared" si="2"/>
        <v/>
      </c>
      <c r="E973" s="14" t="str">
        <f t="shared" si="3"/>
        <v/>
      </c>
      <c r="F973" s="7" t="str">
        <f>IF($A973&lt;&gt;"",MAXIFS(Token!$B:$B,Token!$A:$A,$D973),)</f>
        <v/>
      </c>
    </row>
    <row r="974">
      <c r="A974" s="39" t="str">
        <f>IF(AND($L974*1&gt;=$G$3,$L974*1&lt;=$G$4,$I974*$J974&gt;0,OR($I974&lt;&gt;$I975,$L974-$L975&gt;25),$I974/POW(10,$J974)*MAXIFS(Token!$B:$B,Token!$A:$A,$K974)&gt;0.01),$L974/86400+DATE(1970,1,1)+$G$6,)</f>
        <v/>
      </c>
      <c r="B974" s="27" t="str">
        <f t="shared" si="1"/>
        <v/>
      </c>
      <c r="C974" s="14" t="str">
        <f>IF($A974&lt;&gt;"",MINIFS(Merchant!$A:$A,Merchant!$B:$B,$G$2),)</f>
        <v/>
      </c>
      <c r="D974" s="14" t="str">
        <f t="shared" si="2"/>
        <v/>
      </c>
      <c r="E974" s="14" t="str">
        <f t="shared" si="3"/>
        <v/>
      </c>
      <c r="F974" s="7" t="str">
        <f>IF($A974&lt;&gt;"",MAXIFS(Token!$B:$B,Token!$A:$A,$D974),)</f>
        <v/>
      </c>
    </row>
    <row r="975">
      <c r="A975" s="39" t="str">
        <f>IF(AND($L975*1&gt;=$G$3,$L975*1&lt;=$G$4,$I975*$J975&gt;0,OR($I975&lt;&gt;$I976,$L975-$L976&gt;25),$I975/POW(10,$J975)*MAXIFS(Token!$B:$B,Token!$A:$A,$K975)&gt;0.01),$L975/86400+DATE(1970,1,1)+$G$6,)</f>
        <v/>
      </c>
      <c r="B975" s="27" t="str">
        <f t="shared" si="1"/>
        <v/>
      </c>
      <c r="C975" s="14" t="str">
        <f>IF($A975&lt;&gt;"",MINIFS(Merchant!$A:$A,Merchant!$B:$B,$G$2),)</f>
        <v/>
      </c>
      <c r="D975" s="14" t="str">
        <f t="shared" si="2"/>
        <v/>
      </c>
      <c r="E975" s="14" t="str">
        <f t="shared" si="3"/>
        <v/>
      </c>
      <c r="F975" s="7" t="str">
        <f>IF($A975&lt;&gt;"",MAXIFS(Token!$B:$B,Token!$A:$A,$D975),)</f>
        <v/>
      </c>
    </row>
    <row r="976">
      <c r="A976" s="39" t="str">
        <f>IF(AND($L976*1&gt;=$G$3,$L976*1&lt;=$G$4,$I976*$J976&gt;0,OR($I976&lt;&gt;$I977,$L976-$L977&gt;25),$I976/POW(10,$J976)*MAXIFS(Token!$B:$B,Token!$A:$A,$K976)&gt;0.01),$L976/86400+DATE(1970,1,1)+$G$6,)</f>
        <v/>
      </c>
      <c r="B976" s="27" t="str">
        <f t="shared" si="1"/>
        <v/>
      </c>
      <c r="C976" s="14" t="str">
        <f>IF($A976&lt;&gt;"",MINIFS(Merchant!$A:$A,Merchant!$B:$B,$G$2),)</f>
        <v/>
      </c>
      <c r="D976" s="14" t="str">
        <f t="shared" si="2"/>
        <v/>
      </c>
      <c r="E976" s="14" t="str">
        <f t="shared" si="3"/>
        <v/>
      </c>
      <c r="F976" s="7" t="str">
        <f>IF($A976&lt;&gt;"",MAXIFS(Token!$B:$B,Token!$A:$A,$D976),)</f>
        <v/>
      </c>
    </row>
    <row r="977">
      <c r="A977" s="39" t="str">
        <f>IF(AND($L977*1&gt;=$G$3,$L977*1&lt;=$G$4,$I977*$J977&gt;0,OR($I977&lt;&gt;$I978,$L977-$L978&gt;25),$I977/POW(10,$J977)*MAXIFS(Token!$B:$B,Token!$A:$A,$K977)&gt;0.01),$L977/86400+DATE(1970,1,1)+$G$6,)</f>
        <v/>
      </c>
      <c r="B977" s="27" t="str">
        <f t="shared" si="1"/>
        <v/>
      </c>
      <c r="C977" s="14" t="str">
        <f>IF($A977&lt;&gt;"",MINIFS(Merchant!$A:$A,Merchant!$B:$B,$G$2),)</f>
        <v/>
      </c>
      <c r="D977" s="14" t="str">
        <f t="shared" si="2"/>
        <v/>
      </c>
      <c r="E977" s="14" t="str">
        <f t="shared" si="3"/>
        <v/>
      </c>
      <c r="F977" s="7" t="str">
        <f>IF($A977&lt;&gt;"",MAXIFS(Token!$B:$B,Token!$A:$A,$D977),)</f>
        <v/>
      </c>
    </row>
    <row r="978">
      <c r="A978" s="39" t="str">
        <f>IF(AND($L978*1&gt;=$G$3,$L978*1&lt;=$G$4,$I978*$J978&gt;0,OR($I978&lt;&gt;$I979,$L978-$L979&gt;25),$I978/POW(10,$J978)*MAXIFS(Token!$B:$B,Token!$A:$A,$K978)&gt;0.01),$L978/86400+DATE(1970,1,1)+$G$6,)</f>
        <v/>
      </c>
      <c r="B978" s="27" t="str">
        <f t="shared" si="1"/>
        <v/>
      </c>
      <c r="C978" s="14" t="str">
        <f>IF($A978&lt;&gt;"",MINIFS(Merchant!$A:$A,Merchant!$B:$B,$G$2),)</f>
        <v/>
      </c>
      <c r="D978" s="14" t="str">
        <f t="shared" si="2"/>
        <v/>
      </c>
      <c r="E978" s="14" t="str">
        <f t="shared" si="3"/>
        <v/>
      </c>
      <c r="F978" s="7" t="str">
        <f>IF($A978&lt;&gt;"",MAXIFS(Token!$B:$B,Token!$A:$A,$D978),)</f>
        <v/>
      </c>
    </row>
    <row r="979">
      <c r="A979" s="39" t="str">
        <f>IF(AND($L979*1&gt;=$G$3,$L979*1&lt;=$G$4,$I979*$J979&gt;0,OR($I979&lt;&gt;$I980,$L979-$L980&gt;25),$I979/POW(10,$J979)*MAXIFS(Token!$B:$B,Token!$A:$A,$K979)&gt;0.01),$L979/86400+DATE(1970,1,1)+$G$6,)</f>
        <v/>
      </c>
      <c r="B979" s="27" t="str">
        <f t="shared" si="1"/>
        <v/>
      </c>
      <c r="C979" s="14" t="str">
        <f>IF($A979&lt;&gt;"",MINIFS(Merchant!$A:$A,Merchant!$B:$B,$G$2),)</f>
        <v/>
      </c>
      <c r="D979" s="14" t="str">
        <f t="shared" si="2"/>
        <v/>
      </c>
      <c r="E979" s="14" t="str">
        <f t="shared" si="3"/>
        <v/>
      </c>
      <c r="F979" s="7" t="str">
        <f>IF($A979&lt;&gt;"",MAXIFS(Token!$B:$B,Token!$A:$A,$D979),)</f>
        <v/>
      </c>
    </row>
    <row r="980">
      <c r="A980" s="39" t="str">
        <f>IF(AND($L980*1&gt;=$G$3,$L980*1&lt;=$G$4,$I980*$J980&gt;0,OR($I980&lt;&gt;$I981,$L980-$L981&gt;25),$I980/POW(10,$J980)*MAXIFS(Token!$B:$B,Token!$A:$A,$K980)&gt;0.01),$L980/86400+DATE(1970,1,1)+$G$6,)</f>
        <v/>
      </c>
      <c r="B980" s="27" t="str">
        <f t="shared" si="1"/>
        <v/>
      </c>
      <c r="C980" s="14" t="str">
        <f>IF($A980&lt;&gt;"",MINIFS(Merchant!$A:$A,Merchant!$B:$B,$G$2),)</f>
        <v/>
      </c>
      <c r="D980" s="14" t="str">
        <f t="shared" si="2"/>
        <v/>
      </c>
      <c r="E980" s="14" t="str">
        <f t="shared" si="3"/>
        <v/>
      </c>
      <c r="F980" s="7" t="str">
        <f>IF($A980&lt;&gt;"",MAXIFS(Token!$B:$B,Token!$A:$A,$D980),)</f>
        <v/>
      </c>
    </row>
    <row r="981">
      <c r="A981" s="39" t="str">
        <f>IF(AND($L981*1&gt;=$G$3,$L981*1&lt;=$G$4,$I981*$J981&gt;0,OR($I981&lt;&gt;$I982,$L981-$L982&gt;25),$I981/POW(10,$J981)*MAXIFS(Token!$B:$B,Token!$A:$A,$K981)&gt;0.01),$L981/86400+DATE(1970,1,1)+$G$6,)</f>
        <v/>
      </c>
      <c r="B981" s="27" t="str">
        <f t="shared" si="1"/>
        <v/>
      </c>
      <c r="C981" s="14" t="str">
        <f>IF($A981&lt;&gt;"",MINIFS(Merchant!$A:$A,Merchant!$B:$B,$G$2),)</f>
        <v/>
      </c>
      <c r="D981" s="14" t="str">
        <f t="shared" si="2"/>
        <v/>
      </c>
      <c r="E981" s="14" t="str">
        <f t="shared" si="3"/>
        <v/>
      </c>
      <c r="F981" s="7" t="str">
        <f>IF($A981&lt;&gt;"",MAXIFS(Token!$B:$B,Token!$A:$A,$D981),)</f>
        <v/>
      </c>
    </row>
    <row r="982">
      <c r="A982" s="39" t="str">
        <f>IF(AND($L982*1&gt;=$G$3,$L982*1&lt;=$G$4,$I982*$J982&gt;0,OR($I982&lt;&gt;$I983,$L982-$L983&gt;25),$I982/POW(10,$J982)*MAXIFS(Token!$B:$B,Token!$A:$A,$K982)&gt;0.01),$L982/86400+DATE(1970,1,1)+$G$6,)</f>
        <v/>
      </c>
      <c r="B982" s="27" t="str">
        <f t="shared" si="1"/>
        <v/>
      </c>
      <c r="C982" s="14" t="str">
        <f>IF($A982&lt;&gt;"",MINIFS(Merchant!$A:$A,Merchant!$B:$B,$G$2),)</f>
        <v/>
      </c>
      <c r="D982" s="14" t="str">
        <f t="shared" si="2"/>
        <v/>
      </c>
      <c r="E982" s="14" t="str">
        <f t="shared" si="3"/>
        <v/>
      </c>
      <c r="F982" s="7" t="str">
        <f>IF($A982&lt;&gt;"",MAXIFS(Token!$B:$B,Token!$A:$A,$D982),)</f>
        <v/>
      </c>
    </row>
    <row r="983">
      <c r="A983" s="39" t="str">
        <f>IF(AND($L983*1&gt;=$G$3,$L983*1&lt;=$G$4,$I983*$J983&gt;0,OR($I983&lt;&gt;$I984,$L983-$L984&gt;25),$I983/POW(10,$J983)*MAXIFS(Token!$B:$B,Token!$A:$A,$K983)&gt;0.01),$L983/86400+DATE(1970,1,1)+$G$6,)</f>
        <v/>
      </c>
      <c r="B983" s="27" t="str">
        <f t="shared" si="1"/>
        <v/>
      </c>
      <c r="C983" s="14" t="str">
        <f>IF($A983&lt;&gt;"",MINIFS(Merchant!$A:$A,Merchant!$B:$B,$G$2),)</f>
        <v/>
      </c>
      <c r="D983" s="14" t="str">
        <f t="shared" si="2"/>
        <v/>
      </c>
      <c r="E983" s="14" t="str">
        <f t="shared" si="3"/>
        <v/>
      </c>
      <c r="F983" s="7" t="str">
        <f>IF($A983&lt;&gt;"",MAXIFS(Token!$B:$B,Token!$A:$A,$D983),)</f>
        <v/>
      </c>
    </row>
    <row r="984">
      <c r="A984" s="39" t="str">
        <f>IF(AND($L984*1&gt;=$G$3,$L984*1&lt;=$G$4,$I984*$J984&gt;0,OR($I984&lt;&gt;$I985,$L984-$L985&gt;25),$I984/POW(10,$J984)*MAXIFS(Token!$B:$B,Token!$A:$A,$K984)&gt;0.01),$L984/86400+DATE(1970,1,1)+$G$6,)</f>
        <v/>
      </c>
      <c r="B984" s="27" t="str">
        <f t="shared" si="1"/>
        <v/>
      </c>
      <c r="C984" s="14" t="str">
        <f>IF($A984&lt;&gt;"",MINIFS(Merchant!$A:$A,Merchant!$B:$B,$G$2),)</f>
        <v/>
      </c>
      <c r="D984" s="14" t="str">
        <f t="shared" si="2"/>
        <v/>
      </c>
      <c r="E984" s="14" t="str">
        <f t="shared" si="3"/>
        <v/>
      </c>
      <c r="F984" s="7" t="str">
        <f>IF($A984&lt;&gt;"",MAXIFS(Token!$B:$B,Token!$A:$A,$D984),)</f>
        <v/>
      </c>
    </row>
    <row r="985">
      <c r="A985" s="39" t="str">
        <f>IF(AND($L985*1&gt;=$G$3,$L985*1&lt;=$G$4,$I985*$J985&gt;0,OR($I985&lt;&gt;$I986,$L985-$L986&gt;25),$I985/POW(10,$J985)*MAXIFS(Token!$B:$B,Token!$A:$A,$K985)&gt;0.01),$L985/86400+DATE(1970,1,1)+$G$6,)</f>
        <v/>
      </c>
      <c r="B985" s="27" t="str">
        <f t="shared" si="1"/>
        <v/>
      </c>
      <c r="C985" s="14" t="str">
        <f>IF($A985&lt;&gt;"",MINIFS(Merchant!$A:$A,Merchant!$B:$B,$G$2),)</f>
        <v/>
      </c>
      <c r="D985" s="14" t="str">
        <f t="shared" si="2"/>
        <v/>
      </c>
      <c r="E985" s="14" t="str">
        <f t="shared" si="3"/>
        <v/>
      </c>
      <c r="F985" s="7" t="str">
        <f>IF($A985&lt;&gt;"",MAXIFS(Token!$B:$B,Token!$A:$A,$D985),)</f>
        <v/>
      </c>
    </row>
    <row r="986">
      <c r="A986" s="39" t="str">
        <f>IF(AND($L986*1&gt;=$G$3,$L986*1&lt;=$G$4,$I986*$J986&gt;0,OR($I986&lt;&gt;$I987,$L986-$L987&gt;25),$I986/POW(10,$J986)*MAXIFS(Token!$B:$B,Token!$A:$A,$K986)&gt;0.01),$L986/86400+DATE(1970,1,1)+$G$6,)</f>
        <v/>
      </c>
      <c r="B986" s="27" t="str">
        <f t="shared" si="1"/>
        <v/>
      </c>
      <c r="C986" s="14" t="str">
        <f>IF($A986&lt;&gt;"",MINIFS(Merchant!$A:$A,Merchant!$B:$B,$G$2),)</f>
        <v/>
      </c>
      <c r="D986" s="14" t="str">
        <f t="shared" si="2"/>
        <v/>
      </c>
      <c r="E986" s="14" t="str">
        <f t="shared" si="3"/>
        <v/>
      </c>
      <c r="F986" s="7" t="str">
        <f>IF($A986&lt;&gt;"",MAXIFS(Token!$B:$B,Token!$A:$A,$D986),)</f>
        <v/>
      </c>
    </row>
    <row r="987">
      <c r="A987" s="39" t="str">
        <f>IF(AND($L987*1&gt;=$G$3,$L987*1&lt;=$G$4,$I987*$J987&gt;0,OR($I987&lt;&gt;$I988,$L987-$L988&gt;25),$I987/POW(10,$J987)*MAXIFS(Token!$B:$B,Token!$A:$A,$K987)&gt;0.01),$L987/86400+DATE(1970,1,1)+$G$6,)</f>
        <v/>
      </c>
      <c r="B987" s="27" t="str">
        <f t="shared" si="1"/>
        <v/>
      </c>
      <c r="C987" s="14" t="str">
        <f>IF($A987&lt;&gt;"",MINIFS(Merchant!$A:$A,Merchant!$B:$B,$G$2),)</f>
        <v/>
      </c>
      <c r="D987" s="14" t="str">
        <f t="shared" si="2"/>
        <v/>
      </c>
      <c r="E987" s="14" t="str">
        <f t="shared" si="3"/>
        <v/>
      </c>
      <c r="F987" s="7" t="str">
        <f>IF($A987&lt;&gt;"",MAXIFS(Token!$B:$B,Token!$A:$A,$D987),)</f>
        <v/>
      </c>
    </row>
    <row r="988">
      <c r="A988" s="39" t="str">
        <f>IF(AND($L988*1&gt;=$G$3,$L988*1&lt;=$G$4,$I988*$J988&gt;0,OR($I988&lt;&gt;$I989,$L988-$L989&gt;25),$I988/POW(10,$J988)*MAXIFS(Token!$B:$B,Token!$A:$A,$K988)&gt;0.01),$L988/86400+DATE(1970,1,1)+$G$6,)</f>
        <v/>
      </c>
      <c r="B988" s="27" t="str">
        <f t="shared" si="1"/>
        <v/>
      </c>
      <c r="C988" s="14" t="str">
        <f>IF($A988&lt;&gt;"",MINIFS(Merchant!$A:$A,Merchant!$B:$B,$G$2),)</f>
        <v/>
      </c>
      <c r="D988" s="14" t="str">
        <f t="shared" si="2"/>
        <v/>
      </c>
      <c r="E988" s="14" t="str">
        <f t="shared" si="3"/>
        <v/>
      </c>
      <c r="F988" s="7" t="str">
        <f>IF($A988&lt;&gt;"",MAXIFS(Token!$B:$B,Token!$A:$A,$D988),)</f>
        <v/>
      </c>
    </row>
    <row r="989">
      <c r="A989" s="39" t="str">
        <f>IF(AND($L989*1&gt;=$G$3,$L989*1&lt;=$G$4,$I989*$J989&gt;0,OR($I989&lt;&gt;$I990,$L989-$L990&gt;25),$I989/POW(10,$J989)*MAXIFS(Token!$B:$B,Token!$A:$A,$K989)&gt;0.01),$L989/86400+DATE(1970,1,1)+$G$6,)</f>
        <v/>
      </c>
      <c r="B989" s="27" t="str">
        <f t="shared" si="1"/>
        <v/>
      </c>
      <c r="C989" s="14" t="str">
        <f>IF($A989&lt;&gt;"",MINIFS(Merchant!$A:$A,Merchant!$B:$B,$G$2),)</f>
        <v/>
      </c>
      <c r="D989" s="14" t="str">
        <f t="shared" si="2"/>
        <v/>
      </c>
      <c r="E989" s="14" t="str">
        <f t="shared" si="3"/>
        <v/>
      </c>
      <c r="F989" s="7" t="str">
        <f>IF($A989&lt;&gt;"",MAXIFS(Token!$B:$B,Token!$A:$A,$D989),)</f>
        <v/>
      </c>
    </row>
    <row r="990">
      <c r="A990" s="39" t="str">
        <f>IF(AND($L990*1&gt;=$G$3,$L990*1&lt;=$G$4,$I990*$J990&gt;0,OR($I990&lt;&gt;$I991,$L990-$L991&gt;25),$I990/POW(10,$J990)*MAXIFS(Token!$B:$B,Token!$A:$A,$K990)&gt;0.01),$L990/86400+DATE(1970,1,1)+$G$6,)</f>
        <v/>
      </c>
      <c r="B990" s="27" t="str">
        <f t="shared" si="1"/>
        <v/>
      </c>
      <c r="C990" s="14" t="str">
        <f>IF($A990&lt;&gt;"",MINIFS(Merchant!$A:$A,Merchant!$B:$B,$G$2),)</f>
        <v/>
      </c>
      <c r="D990" s="14" t="str">
        <f t="shared" si="2"/>
        <v/>
      </c>
      <c r="E990" s="14" t="str">
        <f t="shared" si="3"/>
        <v/>
      </c>
      <c r="F990" s="7" t="str">
        <f>IF($A990&lt;&gt;"",MAXIFS(Token!$B:$B,Token!$A:$A,$D990),)</f>
        <v/>
      </c>
    </row>
    <row r="991">
      <c r="A991" s="39" t="str">
        <f>IF(AND($L991*1&gt;=$G$3,$L991*1&lt;=$G$4,$I991*$J991&gt;0,OR($I991&lt;&gt;$I992,$L991-$L992&gt;25),$I991/POW(10,$J991)*MAXIFS(Token!$B:$B,Token!$A:$A,$K991)&gt;0.01),$L991/86400+DATE(1970,1,1)+$G$6,)</f>
        <v/>
      </c>
      <c r="B991" s="27" t="str">
        <f t="shared" si="1"/>
        <v/>
      </c>
      <c r="C991" s="14" t="str">
        <f>IF($A991&lt;&gt;"",MINIFS(Merchant!$A:$A,Merchant!$B:$B,$G$2),)</f>
        <v/>
      </c>
      <c r="D991" s="14" t="str">
        <f t="shared" si="2"/>
        <v/>
      </c>
      <c r="E991" s="14" t="str">
        <f t="shared" si="3"/>
        <v/>
      </c>
      <c r="F991" s="7" t="str">
        <f>IF($A991&lt;&gt;"",MAXIFS(Token!$B:$B,Token!$A:$A,$D991),)</f>
        <v/>
      </c>
    </row>
    <row r="992">
      <c r="A992" s="39" t="str">
        <f>IF(AND($L992*1&gt;=$G$3,$L992*1&lt;=$G$4,$I992*$J992&gt;0,OR($I992&lt;&gt;$I993,$L992-$L993&gt;25),$I992/POW(10,$J992)*MAXIFS(Token!$B:$B,Token!$A:$A,$K992)&gt;0.01),$L992/86400+DATE(1970,1,1)+$G$6,)</f>
        <v/>
      </c>
      <c r="B992" s="27" t="str">
        <f t="shared" si="1"/>
        <v/>
      </c>
      <c r="C992" s="14" t="str">
        <f>IF($A992&lt;&gt;"",MINIFS(Merchant!$A:$A,Merchant!$B:$B,$G$2),)</f>
        <v/>
      </c>
      <c r="D992" s="14" t="str">
        <f t="shared" si="2"/>
        <v/>
      </c>
      <c r="E992" s="14" t="str">
        <f t="shared" si="3"/>
        <v/>
      </c>
      <c r="F992" s="7" t="str">
        <f>IF($A992&lt;&gt;"",MAXIFS(Token!$B:$B,Token!$A:$A,$D992),)</f>
        <v/>
      </c>
    </row>
    <row r="993">
      <c r="A993" s="39" t="str">
        <f>IF(AND($L993*1&gt;=$G$3,$L993*1&lt;=$G$4,$I993*$J993&gt;0,OR($I993&lt;&gt;$I994,$L993-$L994&gt;25),$I993/POW(10,$J993)*MAXIFS(Token!$B:$B,Token!$A:$A,$K993)&gt;0.01),$L993/86400+DATE(1970,1,1)+$G$6,)</f>
        <v/>
      </c>
      <c r="B993" s="27" t="str">
        <f t="shared" si="1"/>
        <v/>
      </c>
      <c r="C993" s="14" t="str">
        <f>IF($A993&lt;&gt;"",MINIFS(Merchant!$A:$A,Merchant!$B:$B,$G$2),)</f>
        <v/>
      </c>
      <c r="D993" s="14" t="str">
        <f t="shared" si="2"/>
        <v/>
      </c>
      <c r="E993" s="14" t="str">
        <f t="shared" si="3"/>
        <v/>
      </c>
      <c r="F993" s="7" t="str">
        <f>IF($A993&lt;&gt;"",MAXIFS(Token!$B:$B,Token!$A:$A,$D993),)</f>
        <v/>
      </c>
    </row>
    <row r="994">
      <c r="A994" s="39" t="str">
        <f>IF(AND($L994*1&gt;=$G$3,$L994*1&lt;=$G$4,$I994*$J994&gt;0,OR($I994&lt;&gt;$I995,$L994-$L995&gt;25),$I994/POW(10,$J994)*MAXIFS(Token!$B:$B,Token!$A:$A,$K994)&gt;0.01),$L994/86400+DATE(1970,1,1)+$G$6,)</f>
        <v/>
      </c>
      <c r="B994" s="27" t="str">
        <f t="shared" si="1"/>
        <v/>
      </c>
      <c r="C994" s="14" t="str">
        <f>IF($A994&lt;&gt;"",MINIFS(Merchant!$A:$A,Merchant!$B:$B,$G$2),)</f>
        <v/>
      </c>
      <c r="D994" s="14" t="str">
        <f t="shared" si="2"/>
        <v/>
      </c>
      <c r="E994" s="14" t="str">
        <f t="shared" si="3"/>
        <v/>
      </c>
      <c r="F994" s="7" t="str">
        <f>IF($A994&lt;&gt;"",MAXIFS(Token!$B:$B,Token!$A:$A,$D994),)</f>
        <v/>
      </c>
    </row>
    <row r="995">
      <c r="A995" s="39" t="str">
        <f>IF(AND($L995*1&gt;=$G$3,$L995*1&lt;=$G$4,$I995*$J995&gt;0,OR($I995&lt;&gt;$I996,$L995-$L996&gt;25),$I995/POW(10,$J995)*MAXIFS(Token!$B:$B,Token!$A:$A,$K995)&gt;0.01),$L995/86400+DATE(1970,1,1)+$G$6,)</f>
        <v/>
      </c>
      <c r="B995" s="27" t="str">
        <f t="shared" si="1"/>
        <v/>
      </c>
      <c r="C995" s="14" t="str">
        <f>IF($A995&lt;&gt;"",MINIFS(Merchant!$A:$A,Merchant!$B:$B,$G$2),)</f>
        <v/>
      </c>
      <c r="D995" s="14" t="str">
        <f t="shared" si="2"/>
        <v/>
      </c>
      <c r="E995" s="14" t="str">
        <f t="shared" si="3"/>
        <v/>
      </c>
      <c r="F995" s="7" t="str">
        <f>IF($A995&lt;&gt;"",MAXIFS(Token!$B:$B,Token!$A:$A,$D995),)</f>
        <v/>
      </c>
    </row>
    <row r="996">
      <c r="A996" s="39" t="str">
        <f>IF(AND($L996*1&gt;=$G$3,$L996*1&lt;=$G$4,$I996*$J996&gt;0,OR($I996&lt;&gt;$I997,$L996-$L997&gt;25),$I996/POW(10,$J996)*MAXIFS(Token!$B:$B,Token!$A:$A,$K996)&gt;0.01),$L996/86400+DATE(1970,1,1)+$G$6,)</f>
        <v/>
      </c>
      <c r="B996" s="27" t="str">
        <f t="shared" si="1"/>
        <v/>
      </c>
      <c r="C996" s="14" t="str">
        <f>IF($A996&lt;&gt;"",MINIFS(Merchant!$A:$A,Merchant!$B:$B,$G$2),)</f>
        <v/>
      </c>
      <c r="D996" s="14" t="str">
        <f t="shared" si="2"/>
        <v/>
      </c>
      <c r="E996" s="14" t="str">
        <f t="shared" si="3"/>
        <v/>
      </c>
      <c r="F996" s="7" t="str">
        <f>IF($A996&lt;&gt;"",MAXIFS(Token!$B:$B,Token!$A:$A,$D996),)</f>
        <v/>
      </c>
    </row>
    <row r="997">
      <c r="A997" s="39" t="str">
        <f>IF(AND($L997*1&gt;=$G$3,$L997*1&lt;=$G$4,$I997*$J997&gt;0,OR($I997&lt;&gt;$I998,$L997-$L998&gt;25),$I997/POW(10,$J997)*MAXIFS(Token!$B:$B,Token!$A:$A,$K997)&gt;0.01),$L997/86400+DATE(1970,1,1)+$G$6,)</f>
        <v/>
      </c>
      <c r="B997" s="27" t="str">
        <f t="shared" si="1"/>
        <v/>
      </c>
      <c r="C997" s="14" t="str">
        <f>IF($A997&lt;&gt;"",MINIFS(Merchant!$A:$A,Merchant!$B:$B,$G$2),)</f>
        <v/>
      </c>
      <c r="D997" s="14" t="str">
        <f t="shared" si="2"/>
        <v/>
      </c>
      <c r="E997" s="14" t="str">
        <f t="shared" si="3"/>
        <v/>
      </c>
      <c r="F997" s="7" t="str">
        <f>IF($A997&lt;&gt;"",MAXIFS(Token!$B:$B,Token!$A:$A,$D997),)</f>
        <v/>
      </c>
    </row>
    <row r="998">
      <c r="A998" s="39" t="str">
        <f>IF(AND($L998*1&gt;=$G$3,$L998*1&lt;=$G$4,$I998*$J998&gt;0,OR($I998&lt;&gt;$I999,$L998-$L999&gt;25),$I998/POW(10,$J998)*MAXIFS(Token!$B:$B,Token!$A:$A,$K998)&gt;0.01),$L998/86400+DATE(1970,1,1)+$G$6,)</f>
        <v/>
      </c>
      <c r="B998" s="27" t="str">
        <f t="shared" si="1"/>
        <v/>
      </c>
      <c r="C998" s="14" t="str">
        <f>IF($A998&lt;&gt;"",MINIFS(Merchant!$A:$A,Merchant!$B:$B,$G$2),)</f>
        <v/>
      </c>
      <c r="D998" s="14" t="str">
        <f t="shared" si="2"/>
        <v/>
      </c>
      <c r="E998" s="14" t="str">
        <f t="shared" si="3"/>
        <v/>
      </c>
      <c r="F998" s="7" t="str">
        <f>IF($A998&lt;&gt;"",MAXIFS(Token!$B:$B,Token!$A:$A,$D998),)</f>
        <v/>
      </c>
    </row>
    <row r="999">
      <c r="A999" s="39" t="str">
        <f>IF(AND($L999*1&gt;=$G$3,$L999*1&lt;=$G$4,$I999*$J999&gt;0,OR($I999&lt;&gt;$I1000,$L999-$L1000&gt;25),$I999/POW(10,$J999)*MAXIFS(Token!$B:$B,Token!$A:$A,$K999)&gt;0.01),$L999/86400+DATE(1970,1,1)+$G$6,)</f>
        <v/>
      </c>
      <c r="B999" s="27" t="str">
        <f t="shared" si="1"/>
        <v/>
      </c>
      <c r="C999" s="14" t="str">
        <f>IF($A999&lt;&gt;"",MINIFS(Merchant!$A:$A,Merchant!$B:$B,$G$2),)</f>
        <v/>
      </c>
      <c r="D999" s="14" t="str">
        <f t="shared" si="2"/>
        <v/>
      </c>
      <c r="E999" s="14" t="str">
        <f t="shared" si="3"/>
        <v/>
      </c>
      <c r="F999" s="7" t="str">
        <f>IF($A999&lt;&gt;"",MAXIFS(Token!$B:$B,Token!$A:$A,$D999),)</f>
        <v/>
      </c>
    </row>
    <row r="1000">
      <c r="A1000" s="39" t="str">
        <f>IF(AND($L1000*1&gt;=$G$3,$L1000*1&lt;=$G$4,$I1000*$J1000&gt;0,OR($I1000&lt;&gt;$I1001,$L1000-$L1001&gt;25),$I1000/POW(10,$J1000)*MAXIFS(Token!$B:$B,Token!$A:$A,$K1000)&gt;0.01),$L1000/86400+DATE(1970,1,1)+$G$6,)</f>
        <v/>
      </c>
      <c r="B1000" s="27" t="str">
        <f t="shared" si="1"/>
        <v/>
      </c>
      <c r="C1000" s="14" t="str">
        <f>IF($A1000&lt;&gt;"",MINIFS(Merchant!$A:$A,Merchant!$B:$B,$G$2),)</f>
        <v/>
      </c>
      <c r="D1000" s="14" t="str">
        <f t="shared" si="2"/>
        <v/>
      </c>
      <c r="E1000" s="14" t="str">
        <f t="shared" si="3"/>
        <v/>
      </c>
      <c r="F1000" s="7" t="str">
        <f>IF($A1000&lt;&gt;"",MAXIFS(Token!$B:$B,Token!$A:$A,$D1000),)</f>
        <v/>
      </c>
    </row>
  </sheetData>
  <drawing r:id="rId2"/>
  <legacyDrawing r:id="rId3"/>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75"/>
    <col customWidth="1" min="7" max="7" width="12.63"/>
  </cols>
  <sheetData>
    <row r="1">
      <c r="A1" s="1" t="s">
        <v>4</v>
      </c>
      <c r="B1" s="1" t="s">
        <v>5</v>
      </c>
      <c r="C1" s="1" t="s">
        <v>6</v>
      </c>
      <c r="D1" s="1" t="s">
        <v>7</v>
      </c>
      <c r="E1" s="1" t="s">
        <v>8</v>
      </c>
      <c r="F1" s="11" t="s">
        <v>9</v>
      </c>
      <c r="G1" s="14">
        <v>2.0</v>
      </c>
      <c r="H1" s="14" t="s">
        <v>105</v>
      </c>
      <c r="I1" s="6" t="s">
        <v>106</v>
      </c>
      <c r="J1" s="6" t="s">
        <v>107</v>
      </c>
      <c r="K1" s="6" t="s">
        <v>108</v>
      </c>
      <c r="L1" s="6" t="s">
        <v>109</v>
      </c>
    </row>
    <row r="2">
      <c r="A2" s="39" t="str">
        <f>IF(AND($L2*1&gt;=$G$3,$L2*1&lt;=$G$4,$I2*$J2&gt;0,OR($I2&lt;&gt;$I3,$L2-$L3&gt;25),IF(ABS($I2)&gt;10,$I2/POW(10,$J2),$J2/POW(10,$I2))*MAXIFS(Token!$C:$C,Token!$A:$A,$K2)&gt;0.01),$L2/86400+DATE(1970,1,1)+$G$6,)</f>
        <v/>
      </c>
      <c r="B2" s="27" t="str">
        <f t="shared" ref="B2:B1000" si="1">IF($A2&lt;&gt;"",$E2*$F2,)</f>
        <v/>
      </c>
      <c r="C2" s="14" t="str">
        <f>IF($A2&lt;&gt;"",MINIFS(Merchant!$A:$A,Merchant!$B:$B,$G$2),)</f>
        <v/>
      </c>
      <c r="D2" s="14" t="str">
        <f t="shared" ref="D2:D1000" si="2">IF($A2&lt;&gt;"",$K2,)</f>
        <v/>
      </c>
      <c r="E2" s="14" t="str">
        <f t="shared" ref="E2:E1000" si="3">IF($A2&lt;&gt;"",IF(ABS($I2)&gt;10,$I2/POW(10,$J2),$J2/POW(10,$I2)),)</f>
        <v/>
      </c>
      <c r="F2" s="7" t="str">
        <f>IF($A2&lt;&gt;"",MAXIFS(Token!$C:$C,Token!$A:$A,$D2),)</f>
        <v/>
      </c>
      <c r="G2" s="14" t="str">
        <f>VLOOKUP($G1,Merchant!$A:$B,2)</f>
        <v>GZLPJYkR3diD8c8vpgb7sXHEH9sG1R9sWa3yPwaL9Peb</v>
      </c>
      <c r="H2" s="6" t="str">
        <f>IFERROR(__xludf.DUMMYFUNCTION("IF(AND($G$11,$G$1&gt;1,INDEX(I:I,ROW()-1)&lt;&gt;""""),ImportJSON(""https://public-api.solscan.io/account/splTransfers?account=""&amp;$G$2&amp;IF($G$5,""&amp;fromTime=""&amp;TO_TEXT($G$3)&amp;""&amp;toTime=""&amp;TO_TEXT($G$4),)&amp;""&amp;offset=""&amp;ROW()-2&amp;""&amp;limit=50""&amp;$G$7,TEXTJOIN("","",1,$H$1:$"&amp;"L$1),""noHeaders""),)"),"156")</f>
        <v>156</v>
      </c>
      <c r="I2" s="6" t="str">
        <f>IFERROR(__xludf.DUMMYFUNCTION("""COMPUTED_VALUE"""),"-14100000000")</f>
        <v>-14100000000</v>
      </c>
      <c r="J2" s="6" t="str">
        <f>IFERROR(__xludf.DUMMYFUNCTION("""COMPUTED_VALUE"""),"9")</f>
        <v>9</v>
      </c>
      <c r="K2" s="6" t="str">
        <f>IFERROR(__xludf.DUMMYFUNCTION("""COMPUTED_VALUE"""),"€")</f>
        <v>€</v>
      </c>
      <c r="L2" s="6" t="str">
        <f>IFERROR(__xludf.DUMMYFUNCTION("""COMPUTED_VALUE"""),"1672605089")</f>
        <v>1672605089</v>
      </c>
    </row>
    <row r="3">
      <c r="A3" s="39">
        <f>IF(AND($L3*1&gt;=$G$3,$L3*1&lt;=$G$4,$I3*$J3&gt;0,OR($I3&lt;&gt;$I4,$L3-$L4&gt;25),IF(ABS($I3)&gt;10,$I3/POW(10,$J3),$J3/POW(10,$I3))*MAXIFS(Token!$C:$C,Token!$A:$A,$K3)&gt;0.01),$L3/86400+DATE(1970,1,1)+$G$6,)</f>
        <v>44927.5589</v>
      </c>
      <c r="B3" s="27">
        <f t="shared" si="1"/>
        <v>14.1</v>
      </c>
      <c r="C3" s="14">
        <f>IF($A3&lt;&gt;"",MINIFS(Merchant!$A:$A,Merchant!$B:$B,$G$2),)</f>
        <v>2</v>
      </c>
      <c r="D3" s="14" t="str">
        <f t="shared" si="2"/>
        <v>€</v>
      </c>
      <c r="E3" s="14">
        <f t="shared" si="3"/>
        <v>14.1</v>
      </c>
      <c r="F3" s="7">
        <f>IF($A3&lt;&gt;"",MAXIFS(Token!$C:$C,Token!$A:$A,$D3),)</f>
        <v>1</v>
      </c>
      <c r="G3" s="6">
        <f>IFERROR((VLOOKUP($G$1,Merchant!$A:$M,10)-DATE(1970,1,1)-IF($G$6&lt;&gt;"",$G$6,0))*86400,0)</f>
        <v>-2122690176</v>
      </c>
      <c r="H3" s="6" t="str">
        <f>IFERROR(__xludf.DUMMYFUNCTION("""COMPUTED_VALUE"""),"156")</f>
        <v>156</v>
      </c>
      <c r="I3" s="6" t="str">
        <f>IFERROR(__xludf.DUMMYFUNCTION("""COMPUTED_VALUE"""),"14100000000")</f>
        <v>14100000000</v>
      </c>
      <c r="J3" s="6" t="str">
        <f>IFERROR(__xludf.DUMMYFUNCTION("""COMPUTED_VALUE"""),"9")</f>
        <v>9</v>
      </c>
      <c r="K3" s="6" t="str">
        <f>IFERROR(__xludf.DUMMYFUNCTION("""COMPUTED_VALUE"""),"€")</f>
        <v>€</v>
      </c>
      <c r="L3" s="6" t="str">
        <f>IFERROR(__xludf.DUMMYFUNCTION("""COMPUTED_VALUE"""),"1672572289")</f>
        <v>1672572289</v>
      </c>
    </row>
    <row r="4">
      <c r="A4" s="39" t="str">
        <f>IF(AND($L4*1&gt;=$G$3,$L4*1&lt;=$G$4,$I4*$J4&gt;0,OR($I4&lt;&gt;$I5,$L4-$L5&gt;25),IF(ABS($I4)&gt;10,$I4/POW(10,$J4),$J4/POW(10,$I4))*MAXIFS(Token!$C:$C,Token!$A:$A,$K4)&gt;0.01),$L4/86400+DATE(1970,1,1)+$G$6,)</f>
        <v/>
      </c>
      <c r="B4" s="27" t="str">
        <f t="shared" si="1"/>
        <v/>
      </c>
      <c r="C4" s="14" t="str">
        <f>IF($A4&lt;&gt;"",MINIFS(Merchant!$A:$A,Merchant!$B:$B,$G$2),)</f>
        <v/>
      </c>
      <c r="D4" s="14" t="str">
        <f t="shared" si="2"/>
        <v/>
      </c>
      <c r="E4" s="14" t="str">
        <f t="shared" si="3"/>
        <v/>
      </c>
      <c r="F4" s="7" t="str">
        <f>IF($A4&lt;&gt;"",MAXIFS(Token!$C:$C,Token!$A:$A,$D4),)</f>
        <v/>
      </c>
      <c r="G4" s="6">
        <f>IFERROR((MAX(VLOOKUP($G$1,Merchant!$A:$M,10),VLOOKUP($G$1,Merchant!$A:$M,11))-DATE(1970,1,1)-IF($G$6&lt;&gt;"",$G$6,0))*86400,0)</f>
        <v>1672599970</v>
      </c>
      <c r="H4" s="6" t="str">
        <f>IFERROR(__xludf.DUMMYFUNCTION("""COMPUTED_VALUE"""),"156")</f>
        <v>156</v>
      </c>
      <c r="I4" s="6" t="str">
        <f>IFERROR(__xludf.DUMMYFUNCTION("""COMPUTED_VALUE"""),"-37500000000")</f>
        <v>-37500000000</v>
      </c>
      <c r="J4" s="6" t="str">
        <f>IFERROR(__xludf.DUMMYFUNCTION("""COMPUTED_VALUE"""),"9")</f>
        <v>9</v>
      </c>
      <c r="K4" s="6" t="str">
        <f>IFERROR(__xludf.DUMMYFUNCTION("""COMPUTED_VALUE"""),"€")</f>
        <v>€</v>
      </c>
      <c r="L4" s="6" t="str">
        <f>IFERROR(__xludf.DUMMYFUNCTION("""COMPUTED_VALUE"""),"1672400668")</f>
        <v>1672400668</v>
      </c>
    </row>
    <row r="5">
      <c r="A5" s="39">
        <f>IF(AND($L5*1&gt;=$G$3,$L5*1&lt;=$G$4,$I5*$J5&gt;0,OR($I5&lt;&gt;$I6,$L5-$L6&gt;25),IF(ABS($I5)&gt;10,$I5/POW(10,$J5),$J5/POW(10,$I5))*MAXIFS(Token!$C:$C,Token!$A:$A,$K5)&gt;0.01),$L5/86400+DATE(1970,1,1)+$G$6,)</f>
        <v>44918.48036</v>
      </c>
      <c r="B5" s="27">
        <f t="shared" si="1"/>
        <v>20.5</v>
      </c>
      <c r="C5" s="14">
        <f>IF($A5&lt;&gt;"",MINIFS(Merchant!$A:$A,Merchant!$B:$B,$G$2),)</f>
        <v>2</v>
      </c>
      <c r="D5" s="14" t="str">
        <f t="shared" si="2"/>
        <v>€</v>
      </c>
      <c r="E5" s="14">
        <f t="shared" si="3"/>
        <v>20.5</v>
      </c>
      <c r="F5" s="7">
        <f>IF($A5&lt;&gt;"",MAXIFS(Token!$C:$C,Token!$A:$A,$D5),)</f>
        <v>1</v>
      </c>
      <c r="G5" s="40" t="b">
        <f>FALSE</f>
        <v>0</v>
      </c>
      <c r="H5" s="6" t="str">
        <f>IFERROR(__xludf.DUMMYFUNCTION("""COMPUTED_VALUE"""),"156")</f>
        <v>156</v>
      </c>
      <c r="I5" s="6" t="str">
        <f>IFERROR(__xludf.DUMMYFUNCTION("""COMPUTED_VALUE"""),"20500000000")</f>
        <v>20500000000</v>
      </c>
      <c r="J5" s="6" t="str">
        <f>IFERROR(__xludf.DUMMYFUNCTION("""COMPUTED_VALUE"""),"9")</f>
        <v>9</v>
      </c>
      <c r="K5" s="6" t="str">
        <f>IFERROR(__xludf.DUMMYFUNCTION("""COMPUTED_VALUE"""),"€")</f>
        <v>€</v>
      </c>
      <c r="L5" s="6" t="str">
        <f>IFERROR(__xludf.DUMMYFUNCTION("""COMPUTED_VALUE"""),"1671787903")</f>
        <v>1671787903</v>
      </c>
    </row>
    <row r="6">
      <c r="A6" s="39">
        <f>IF(AND($L6*1&gt;=$G$3,$L6*1&lt;=$G$4,$I6*$J6&gt;0,OR($I6&lt;&gt;$I7,$L6-$L7&gt;25),IF(ABS($I6)&gt;10,$I6/POW(10,$J6),$J6/POW(10,$I6))*MAXIFS(Token!$C:$C,Token!$A:$A,$K6)&gt;0.01),$L6/86400+DATE(1970,1,1)+$G$6,)</f>
        <v>44917.52659</v>
      </c>
      <c r="B6" s="27">
        <f t="shared" si="1"/>
        <v>17</v>
      </c>
      <c r="C6" s="14">
        <f>IF($A6&lt;&gt;"",MINIFS(Merchant!$A:$A,Merchant!$B:$B,$G$2),)</f>
        <v>2</v>
      </c>
      <c r="D6" s="14" t="str">
        <f t="shared" si="2"/>
        <v>€</v>
      </c>
      <c r="E6" s="14">
        <f t="shared" si="3"/>
        <v>17</v>
      </c>
      <c r="F6" s="7">
        <f>IF($A6&lt;&gt;"",MAXIFS(Token!$C:$C,Token!$A:$A,$D6),)</f>
        <v>1</v>
      </c>
      <c r="G6" s="41">
        <f>TIME(2,0,0)</f>
        <v>0.08333333333</v>
      </c>
      <c r="H6" s="6" t="str">
        <f>IFERROR(__xludf.DUMMYFUNCTION("""COMPUTED_VALUE"""),"156")</f>
        <v>156</v>
      </c>
      <c r="I6" s="6" t="str">
        <f>IFERROR(__xludf.DUMMYFUNCTION("""COMPUTED_VALUE"""),"17000000000")</f>
        <v>17000000000</v>
      </c>
      <c r="J6" s="6" t="str">
        <f>IFERROR(__xludf.DUMMYFUNCTION("""COMPUTED_VALUE"""),"9")</f>
        <v>9</v>
      </c>
      <c r="K6" s="6" t="str">
        <f>IFERROR(__xludf.DUMMYFUNCTION("""COMPUTED_VALUE"""),"€")</f>
        <v>€</v>
      </c>
      <c r="L6" s="6" t="str">
        <f>IFERROR(__xludf.DUMMYFUNCTION("""COMPUTED_VALUE"""),"1671705497")</f>
        <v>1671705497</v>
      </c>
    </row>
    <row r="7">
      <c r="A7" s="39" t="str">
        <f>IF(AND($L7*1&gt;=$G$3,$L7*1&lt;=$G$4,$I7*$J7&gt;0,OR($I7&lt;&gt;$I8,$L7-$L8&gt;25),IF(ABS($I7)&gt;10,$I7/POW(10,$J7),$J7/POW(10,$I7))*MAXIFS(Token!$C:$C,Token!$A:$A,$K7)&gt;0.01),$L7/86400+DATE(1970,1,1)+$G$6,)</f>
        <v/>
      </c>
      <c r="B7" s="27" t="str">
        <f t="shared" si="1"/>
        <v/>
      </c>
      <c r="C7" s="14" t="str">
        <f>IF($A7&lt;&gt;"",MINIFS(Merchant!$A:$A,Merchant!$B:$B,$G$2),)</f>
        <v/>
      </c>
      <c r="D7" s="14" t="str">
        <f t="shared" si="2"/>
        <v/>
      </c>
      <c r="E7" s="14" t="str">
        <f t="shared" si="3"/>
        <v/>
      </c>
      <c r="F7" s="7" t="str">
        <f>IF($A7&lt;&gt;"",MAXIFS(Token!$C:$C,Token!$A:$A,$D7),)</f>
        <v/>
      </c>
      <c r="G7" s="14" t="s">
        <v>103</v>
      </c>
      <c r="H7" s="6" t="str">
        <f>IFERROR(__xludf.DUMMYFUNCTION("""COMPUTED_VALUE"""),"156")</f>
        <v>156</v>
      </c>
      <c r="I7" s="6" t="str">
        <f>IFERROR(__xludf.DUMMYFUNCTION("""COMPUTED_VALUE"""),"-41050000000")</f>
        <v>-41050000000</v>
      </c>
      <c r="J7" s="6" t="str">
        <f>IFERROR(__xludf.DUMMYFUNCTION("""COMPUTED_VALUE"""),"9")</f>
        <v>9</v>
      </c>
      <c r="K7" s="6" t="str">
        <f>IFERROR(__xludf.DUMMYFUNCTION("""COMPUTED_VALUE"""),"€")</f>
        <v>€</v>
      </c>
      <c r="L7" s="6" t="str">
        <f>IFERROR(__xludf.DUMMYFUNCTION("""COMPUTED_VALUE"""),"1671399795")</f>
        <v>1671399795</v>
      </c>
    </row>
    <row r="8">
      <c r="A8" s="39">
        <f>IF(AND($L8*1&gt;=$G$3,$L8*1&lt;=$G$4,$I8*$J8&gt;0,OR($I8&lt;&gt;$I9,$L8-$L9&gt;25),IF(ABS($I8)&gt;10,$I8/POW(10,$J8),$J8/POW(10,$I8))*MAXIFS(Token!$C:$C,Token!$A:$A,$K8)&gt;0.01),$L8/86400+DATE(1970,1,1)+$G$6,)</f>
        <v>44913.5315</v>
      </c>
      <c r="B8" s="27">
        <f t="shared" si="1"/>
        <v>1.3</v>
      </c>
      <c r="C8" s="14">
        <f>IF($A8&lt;&gt;"",MINIFS(Merchant!$A:$A,Merchant!$B:$B,$G$2),)</f>
        <v>2</v>
      </c>
      <c r="D8" s="14" t="str">
        <f t="shared" si="2"/>
        <v>€</v>
      </c>
      <c r="E8" s="14">
        <f t="shared" si="3"/>
        <v>1.3</v>
      </c>
      <c r="F8" s="7">
        <f>IF($A8&lt;&gt;"",MAXIFS(Token!$C:$C,Token!$A:$A,$D8),)</f>
        <v>1</v>
      </c>
      <c r="G8" s="6" t="b">
        <f>COUNTIF(OFFSET($A:$A,1,0),"&lt;&gt;")&lt;&gt;COUNTIF(Transactions!$C:$C,$G$1)</f>
        <v>1</v>
      </c>
      <c r="H8" s="6" t="str">
        <f>IFERROR(__xludf.DUMMYFUNCTION("""COMPUTED_VALUE"""),"156")</f>
        <v>156</v>
      </c>
      <c r="I8" s="6" t="str">
        <f>IFERROR(__xludf.DUMMYFUNCTION("""COMPUTED_VALUE"""),"1300000000")</f>
        <v>1300000000</v>
      </c>
      <c r="J8" s="6" t="str">
        <f>IFERROR(__xludf.DUMMYFUNCTION("""COMPUTED_VALUE"""),"9")</f>
        <v>9</v>
      </c>
      <c r="K8" s="6" t="str">
        <f>IFERROR(__xludf.DUMMYFUNCTION("""COMPUTED_VALUE"""),"€")</f>
        <v>€</v>
      </c>
      <c r="L8" s="6" t="str">
        <f>IFERROR(__xludf.DUMMYFUNCTION("""COMPUTED_VALUE"""),"1671360322")</f>
        <v>1671360322</v>
      </c>
    </row>
    <row r="9">
      <c r="A9" s="39">
        <f>IF(AND($L9*1&gt;=$G$3,$L9*1&lt;=$G$4,$I9*$J9&gt;0,OR($I9&lt;&gt;$I10,$L9-$L10&gt;25),IF(ABS($I9)&gt;10,$I9/POW(10,$J9),$J9/POW(10,$I9))*MAXIFS(Token!$C:$C,Token!$A:$A,$K9)&gt;0.01),$L9/86400+DATE(1970,1,1)+$G$6,)</f>
        <v>44912.55907</v>
      </c>
      <c r="B9" s="27">
        <f t="shared" si="1"/>
        <v>6.1</v>
      </c>
      <c r="C9" s="14">
        <f>IF($A9&lt;&gt;"",MINIFS(Merchant!$A:$A,Merchant!$B:$B,$G$2),)</f>
        <v>2</v>
      </c>
      <c r="D9" s="14" t="str">
        <f t="shared" si="2"/>
        <v>€</v>
      </c>
      <c r="E9" s="14">
        <f t="shared" si="3"/>
        <v>6.1</v>
      </c>
      <c r="F9" s="7">
        <f>IF($A9&lt;&gt;"",MAXIFS(Token!$C:$C,Token!$A:$A,$D9),)</f>
        <v>1</v>
      </c>
      <c r="G9" s="42">
        <f>TODAY()+TIME(7,0,0)</f>
        <v>44933.29167</v>
      </c>
      <c r="H9" s="6" t="str">
        <f>IFERROR(__xludf.DUMMYFUNCTION("""COMPUTED_VALUE"""),"156")</f>
        <v>156</v>
      </c>
      <c r="I9" s="6" t="str">
        <f>IFERROR(__xludf.DUMMYFUNCTION("""COMPUTED_VALUE"""),"6100000000")</f>
        <v>6100000000</v>
      </c>
      <c r="J9" s="6" t="str">
        <f>IFERROR(__xludf.DUMMYFUNCTION("""COMPUTED_VALUE"""),"9")</f>
        <v>9</v>
      </c>
      <c r="K9" s="6" t="str">
        <f>IFERROR(__xludf.DUMMYFUNCTION("""COMPUTED_VALUE"""),"€")</f>
        <v>€</v>
      </c>
      <c r="L9" s="6" t="str">
        <f>IFERROR(__xludf.DUMMYFUNCTION("""COMPUTED_VALUE"""),"1671276304")</f>
        <v>1671276304</v>
      </c>
    </row>
    <row r="10">
      <c r="A10" s="39">
        <f>IF(AND($L10*1&gt;=$G$3,$L10*1&lt;=$G$4,$I10*$J10&gt;0,OR($I10&lt;&gt;$I11,$L10-$L11&gt;25),IF(ABS($I10)&gt;10,$I10/POW(10,$J10),$J10/POW(10,$I10))*MAXIFS(Token!$C:$C,Token!$A:$A,$K10)&gt;0.01),$L10/86400+DATE(1970,1,1)+$G$6,)</f>
        <v>44912.52657</v>
      </c>
      <c r="B10" s="27">
        <f t="shared" si="1"/>
        <v>0.1</v>
      </c>
      <c r="C10" s="14">
        <f>IF($A10&lt;&gt;"",MINIFS(Merchant!$A:$A,Merchant!$B:$B,$G$2),)</f>
        <v>2</v>
      </c>
      <c r="D10" s="14" t="str">
        <f t="shared" si="2"/>
        <v>€</v>
      </c>
      <c r="E10" s="14">
        <f t="shared" si="3"/>
        <v>0.1</v>
      </c>
      <c r="F10" s="7">
        <f>IF($A10&lt;&gt;"",MAXIFS(Token!$C:$C,Token!$A:$A,$D10),)</f>
        <v>1</v>
      </c>
      <c r="G10" s="42">
        <f>TODAY()+TIME(22,0,0)</f>
        <v>44933.91667</v>
      </c>
      <c r="H10" s="6" t="str">
        <f>IFERROR(__xludf.DUMMYFUNCTION("""COMPUTED_VALUE"""),"156")</f>
        <v>156</v>
      </c>
      <c r="I10" s="6" t="str">
        <f>IFERROR(__xludf.DUMMYFUNCTION("""COMPUTED_VALUE"""),"100000000")</f>
        <v>100000000</v>
      </c>
      <c r="J10" s="6" t="str">
        <f>IFERROR(__xludf.DUMMYFUNCTION("""COMPUTED_VALUE"""),"9")</f>
        <v>9</v>
      </c>
      <c r="K10" s="6" t="str">
        <f>IFERROR(__xludf.DUMMYFUNCTION("""COMPUTED_VALUE"""),"€")</f>
        <v>€</v>
      </c>
      <c r="L10" s="6" t="str">
        <f>IFERROR(__xludf.DUMMYFUNCTION("""COMPUTED_VALUE"""),"1671273496")</f>
        <v>1671273496</v>
      </c>
    </row>
    <row r="11">
      <c r="A11" s="39">
        <f>IF(AND($L11*1&gt;=$G$3,$L11*1&lt;=$G$4,$I11*$J11&gt;0,OR($I11&lt;&gt;$I12,$L11-$L12&gt;25),IF(ABS($I11)&gt;10,$I11/POW(10,$J11),$J11/POW(10,$I11))*MAXIFS(Token!$C:$C,Token!$A:$A,$K11)&gt;0.01),$L11/86400+DATE(1970,1,1)+$G$6,)</f>
        <v>44912.52595</v>
      </c>
      <c r="B11" s="27">
        <f t="shared" si="1"/>
        <v>12.6</v>
      </c>
      <c r="C11" s="14">
        <f>IF($A11&lt;&gt;"",MINIFS(Merchant!$A:$A,Merchant!$B:$B,$G$2),)</f>
        <v>2</v>
      </c>
      <c r="D11" s="14" t="str">
        <f t="shared" si="2"/>
        <v>€</v>
      </c>
      <c r="E11" s="14">
        <f t="shared" si="3"/>
        <v>12.6</v>
      </c>
      <c r="F11" s="7">
        <f>IF($A11&lt;&gt;"",MAXIFS(Token!$C:$C,Token!$A:$A,$D11),)</f>
        <v>1</v>
      </c>
      <c r="G11" s="6" t="b">
        <f>OR(TRUE,AND(NOW()&gt;$G$9,NOW()&lt;=$G$10))</f>
        <v>1</v>
      </c>
      <c r="H11" s="6" t="str">
        <f>IFERROR(__xludf.DUMMYFUNCTION("""COMPUTED_VALUE"""),"156")</f>
        <v>156</v>
      </c>
      <c r="I11" s="6" t="str">
        <f>IFERROR(__xludf.DUMMYFUNCTION("""COMPUTED_VALUE"""),"12600000000")</f>
        <v>12600000000</v>
      </c>
      <c r="J11" s="6" t="str">
        <f>IFERROR(__xludf.DUMMYFUNCTION("""COMPUTED_VALUE"""),"9")</f>
        <v>9</v>
      </c>
      <c r="K11" s="6" t="str">
        <f>IFERROR(__xludf.DUMMYFUNCTION("""COMPUTED_VALUE"""),"€")</f>
        <v>€</v>
      </c>
      <c r="L11" s="6" t="str">
        <f>IFERROR(__xludf.DUMMYFUNCTION("""COMPUTED_VALUE"""),"1671273442")</f>
        <v>1671273442</v>
      </c>
    </row>
    <row r="12">
      <c r="A12" s="39">
        <f>IF(AND($L12*1&gt;=$G$3,$L12*1&lt;=$G$4,$I12*$J12&gt;0,OR($I12&lt;&gt;$I13,$L12-$L13&gt;25),IF(ABS($I12)&gt;10,$I12/POW(10,$J12),$J12/POW(10,$I12))*MAXIFS(Token!$C:$C,Token!$A:$A,$K12)&gt;0.01),$L12/86400+DATE(1970,1,1)+$G$6,)</f>
        <v>44911.60056</v>
      </c>
      <c r="B12" s="27">
        <f t="shared" si="1"/>
        <v>8.4</v>
      </c>
      <c r="C12" s="14">
        <f>IF($A12&lt;&gt;"",MINIFS(Merchant!$A:$A,Merchant!$B:$B,$G$2),)</f>
        <v>2</v>
      </c>
      <c r="D12" s="14" t="str">
        <f t="shared" si="2"/>
        <v>€</v>
      </c>
      <c r="E12" s="14">
        <f t="shared" si="3"/>
        <v>8.4</v>
      </c>
      <c r="F12" s="7">
        <f>IF($A12&lt;&gt;"",MAXIFS(Token!$C:$C,Token!$A:$A,$D12),)</f>
        <v>1</v>
      </c>
      <c r="H12" s="6" t="str">
        <f>IFERROR(__xludf.DUMMYFUNCTION("""COMPUTED_VALUE"""),"156")</f>
        <v>156</v>
      </c>
      <c r="I12" s="6" t="str">
        <f>IFERROR(__xludf.DUMMYFUNCTION("""COMPUTED_VALUE"""),"8400000000")</f>
        <v>8400000000</v>
      </c>
      <c r="J12" s="6" t="str">
        <f>IFERROR(__xludf.DUMMYFUNCTION("""COMPUTED_VALUE"""),"9")</f>
        <v>9</v>
      </c>
      <c r="K12" s="6" t="str">
        <f>IFERROR(__xludf.DUMMYFUNCTION("""COMPUTED_VALUE"""),"€")</f>
        <v>€</v>
      </c>
      <c r="L12" s="6" t="str">
        <f>IFERROR(__xludf.DUMMYFUNCTION("""COMPUTED_VALUE"""),"1671193488")</f>
        <v>1671193488</v>
      </c>
    </row>
    <row r="13">
      <c r="A13" s="39">
        <f>IF(AND($L13*1&gt;=$G$3,$L13*1&lt;=$G$4,$I13*$J13&gt;0,OR($I13&lt;&gt;$I14,$L13-$L14&gt;25),IF(ABS($I13)&gt;10,$I13/POW(10,$J13),$J13/POW(10,$I13))*MAXIFS(Token!$C:$C,Token!$A:$A,$K13)&gt;0.01),$L13/86400+DATE(1970,1,1)+$G$6,)</f>
        <v>44910.56534</v>
      </c>
      <c r="B13" s="27">
        <f t="shared" si="1"/>
        <v>6.75</v>
      </c>
      <c r="C13" s="14">
        <f>IF($A13&lt;&gt;"",MINIFS(Merchant!$A:$A,Merchant!$B:$B,$G$2),)</f>
        <v>2</v>
      </c>
      <c r="D13" s="14" t="str">
        <f t="shared" si="2"/>
        <v>€</v>
      </c>
      <c r="E13" s="14">
        <f t="shared" si="3"/>
        <v>6.75</v>
      </c>
      <c r="F13" s="7">
        <f>IF($A13&lt;&gt;"",MAXIFS(Token!$C:$C,Token!$A:$A,$D13),)</f>
        <v>1</v>
      </c>
      <c r="H13" s="6" t="str">
        <f>IFERROR(__xludf.DUMMYFUNCTION("""COMPUTED_VALUE"""),"156")</f>
        <v>156</v>
      </c>
      <c r="I13" s="6" t="str">
        <f>IFERROR(__xludf.DUMMYFUNCTION("""COMPUTED_VALUE"""),"6750000000")</f>
        <v>6750000000</v>
      </c>
      <c r="J13" s="6" t="str">
        <f>IFERROR(__xludf.DUMMYFUNCTION("""COMPUTED_VALUE"""),"9")</f>
        <v>9</v>
      </c>
      <c r="K13" s="6" t="str">
        <f>IFERROR(__xludf.DUMMYFUNCTION("""COMPUTED_VALUE"""),"€")</f>
        <v>€</v>
      </c>
      <c r="L13" s="6" t="str">
        <f>IFERROR(__xludf.DUMMYFUNCTION("""COMPUTED_VALUE"""),"1671104045")</f>
        <v>1671104045</v>
      </c>
    </row>
    <row r="14">
      <c r="A14" s="39">
        <f>IF(AND($L14*1&gt;=$G$3,$L14*1&lt;=$G$4,$I14*$J14&gt;0,OR($I14&lt;&gt;$I15,$L14-$L15&gt;25),IF(ABS($I14)&gt;10,$I14/POW(10,$J14),$J14/POW(10,$I14))*MAXIFS(Token!$C:$C,Token!$A:$A,$K14)&gt;0.01),$L14/86400+DATE(1970,1,1)+$G$6,)</f>
        <v>44910.56426</v>
      </c>
      <c r="B14" s="27">
        <f t="shared" si="1"/>
        <v>5.8</v>
      </c>
      <c r="C14" s="14">
        <f>IF($A14&lt;&gt;"",MINIFS(Merchant!$A:$A,Merchant!$B:$B,$G$2),)</f>
        <v>2</v>
      </c>
      <c r="D14" s="14" t="str">
        <f t="shared" si="2"/>
        <v>€</v>
      </c>
      <c r="E14" s="14">
        <f t="shared" si="3"/>
        <v>5.8</v>
      </c>
      <c r="F14" s="7">
        <f>IF($A14&lt;&gt;"",MAXIFS(Token!$C:$C,Token!$A:$A,$D14),)</f>
        <v>1</v>
      </c>
      <c r="H14" s="6" t="str">
        <f>IFERROR(__xludf.DUMMYFUNCTION("""COMPUTED_VALUE"""),"156")</f>
        <v>156</v>
      </c>
      <c r="I14" s="6" t="str">
        <f>IFERROR(__xludf.DUMMYFUNCTION("""COMPUTED_VALUE"""),"5800000000")</f>
        <v>5800000000</v>
      </c>
      <c r="J14" s="6" t="str">
        <f>IFERROR(__xludf.DUMMYFUNCTION("""COMPUTED_VALUE"""),"9")</f>
        <v>9</v>
      </c>
      <c r="K14" s="6" t="str">
        <f>IFERROR(__xludf.DUMMYFUNCTION("""COMPUTED_VALUE"""),"€")</f>
        <v>€</v>
      </c>
      <c r="L14" s="6" t="str">
        <f>IFERROR(__xludf.DUMMYFUNCTION("""COMPUTED_VALUE"""),"1671103952")</f>
        <v>1671103952</v>
      </c>
    </row>
    <row r="15">
      <c r="A15" s="39" t="str">
        <f>IF(AND($L15*1&gt;=$G$3,$L15*1&lt;=$G$4,$I15*$J15&gt;0,OR($I15&lt;&gt;$I16,$L15-$L16&gt;25),IF(ABS($I15)&gt;10,$I15/POW(10,$J15),$J15/POW(10,$I15))*MAXIFS(Token!$C:$C,Token!$A:$A,$K15)&gt;0.01),$L15/86400+DATE(1970,1,1)+$G$6,)</f>
        <v/>
      </c>
      <c r="B15" s="27" t="str">
        <f t="shared" si="1"/>
        <v/>
      </c>
      <c r="C15" s="14" t="str">
        <f>IF($A15&lt;&gt;"",MINIFS(Merchant!$A:$A,Merchant!$B:$B,$G$2),)</f>
        <v/>
      </c>
      <c r="D15" s="14" t="str">
        <f t="shared" si="2"/>
        <v/>
      </c>
      <c r="E15" s="14" t="str">
        <f t="shared" si="3"/>
        <v/>
      </c>
      <c r="F15" s="7" t="str">
        <f>IF($A15&lt;&gt;"",MAXIFS(Token!$C:$C,Token!$A:$A,$D15),)</f>
        <v/>
      </c>
      <c r="G15" s="39"/>
      <c r="H15" s="6" t="str">
        <f>IFERROR(__xludf.DUMMYFUNCTION("""COMPUTED_VALUE"""),"156")</f>
        <v>156</v>
      </c>
      <c r="I15" s="6" t="str">
        <f>IFERROR(__xludf.DUMMYFUNCTION("""COMPUTED_VALUE"""),"-44200000000")</f>
        <v>-44200000000</v>
      </c>
      <c r="J15" s="6" t="str">
        <f>IFERROR(__xludf.DUMMYFUNCTION("""COMPUTED_VALUE"""),"9")</f>
        <v>9</v>
      </c>
      <c r="K15" s="6" t="str">
        <f>IFERROR(__xludf.DUMMYFUNCTION("""COMPUTED_VALUE"""),"€")</f>
        <v>€</v>
      </c>
      <c r="L15" s="6" t="str">
        <f>IFERROR(__xludf.DUMMYFUNCTION("""COMPUTED_VALUE"""),"1670792472")</f>
        <v>1670792472</v>
      </c>
    </row>
    <row r="16">
      <c r="A16" s="39">
        <f>IF(AND($L16*1&gt;=$G$3,$L16*1&lt;=$G$4,$I16*$J16&gt;0,OR($I16&lt;&gt;$I17,$L16-$L17&gt;25),IF(ABS($I16)&gt;10,$I16/POW(10,$J16),$J16/POW(10,$I16))*MAXIFS(Token!$C:$C,Token!$A:$A,$K16)&gt;0.01),$L16/86400+DATE(1970,1,1)+$G$6,)</f>
        <v>44906.54765</v>
      </c>
      <c r="B16" s="27">
        <f t="shared" si="1"/>
        <v>9.5</v>
      </c>
      <c r="C16" s="14">
        <f>IF($A16&lt;&gt;"",MINIFS(Merchant!$A:$A,Merchant!$B:$B,$G$2),)</f>
        <v>2</v>
      </c>
      <c r="D16" s="14" t="str">
        <f t="shared" si="2"/>
        <v>€</v>
      </c>
      <c r="E16" s="14">
        <f t="shared" si="3"/>
        <v>9.5</v>
      </c>
      <c r="F16" s="7">
        <f>IF($A16&lt;&gt;"",MAXIFS(Token!$C:$C,Token!$A:$A,$D16),)</f>
        <v>1</v>
      </c>
      <c r="H16" s="6" t="str">
        <f>IFERROR(__xludf.DUMMYFUNCTION("""COMPUTED_VALUE"""),"156")</f>
        <v>156</v>
      </c>
      <c r="I16" s="6" t="str">
        <f>IFERROR(__xludf.DUMMYFUNCTION("""COMPUTED_VALUE"""),"9500000000")</f>
        <v>9500000000</v>
      </c>
      <c r="J16" s="6" t="str">
        <f>IFERROR(__xludf.DUMMYFUNCTION("""COMPUTED_VALUE"""),"9")</f>
        <v>9</v>
      </c>
      <c r="K16" s="6" t="str">
        <f>IFERROR(__xludf.DUMMYFUNCTION("""COMPUTED_VALUE"""),"€")</f>
        <v>€</v>
      </c>
      <c r="L16" s="6" t="str">
        <f>IFERROR(__xludf.DUMMYFUNCTION("""COMPUTED_VALUE"""),"1670756917")</f>
        <v>1670756917</v>
      </c>
    </row>
    <row r="17">
      <c r="A17" s="39">
        <f>IF(AND($L17*1&gt;=$G$3,$L17*1&lt;=$G$4,$I17*$J17&gt;0,OR($I17&lt;&gt;$I18,$L17-$L18&gt;25),IF(ABS($I17)&gt;10,$I17/POW(10,$J17),$J17/POW(10,$I17))*MAXIFS(Token!$C:$C,Token!$A:$A,$K17)&gt;0.01),$L17/86400+DATE(1970,1,1)+$G$6,)</f>
        <v>44906.533</v>
      </c>
      <c r="B17" s="27">
        <f t="shared" si="1"/>
        <v>4.1</v>
      </c>
      <c r="C17" s="14">
        <f>IF($A17&lt;&gt;"",MINIFS(Merchant!$A:$A,Merchant!$B:$B,$G$2),)</f>
        <v>2</v>
      </c>
      <c r="D17" s="14" t="str">
        <f t="shared" si="2"/>
        <v>€</v>
      </c>
      <c r="E17" s="14">
        <f t="shared" si="3"/>
        <v>4.1</v>
      </c>
      <c r="F17" s="7">
        <f>IF($A17&lt;&gt;"",MAXIFS(Token!$C:$C,Token!$A:$A,$D17),)</f>
        <v>1</v>
      </c>
      <c r="H17" s="6" t="str">
        <f>IFERROR(__xludf.DUMMYFUNCTION("""COMPUTED_VALUE"""),"156")</f>
        <v>156</v>
      </c>
      <c r="I17" s="6" t="str">
        <f>IFERROR(__xludf.DUMMYFUNCTION("""COMPUTED_VALUE"""),"4100000000")</f>
        <v>4100000000</v>
      </c>
      <c r="J17" s="6" t="str">
        <f>IFERROR(__xludf.DUMMYFUNCTION("""COMPUTED_VALUE"""),"9")</f>
        <v>9</v>
      </c>
      <c r="K17" s="6" t="str">
        <f>IFERROR(__xludf.DUMMYFUNCTION("""COMPUTED_VALUE"""),"€")</f>
        <v>€</v>
      </c>
      <c r="L17" s="6" t="str">
        <f>IFERROR(__xludf.DUMMYFUNCTION("""COMPUTED_VALUE"""),"1670755651")</f>
        <v>1670755651</v>
      </c>
    </row>
    <row r="18">
      <c r="A18" s="39">
        <f>IF(AND($L18*1&gt;=$G$3,$L18*1&lt;=$G$4,$I18*$J18&gt;0,OR($I18&lt;&gt;$I19,$L18-$L19&gt;25),IF(ABS($I18)&gt;10,$I18/POW(10,$J18),$J18/POW(10,$I18))*MAXIFS(Token!$C:$C,Token!$A:$A,$K18)&gt;0.01),$L18/86400+DATE(1970,1,1)+$G$6,)</f>
        <v>44905.58118</v>
      </c>
      <c r="B18" s="27">
        <f t="shared" si="1"/>
        <v>4.3</v>
      </c>
      <c r="C18" s="14">
        <f>IF($A18&lt;&gt;"",MINIFS(Merchant!$A:$A,Merchant!$B:$B,$G$2),)</f>
        <v>2</v>
      </c>
      <c r="D18" s="14" t="str">
        <f t="shared" si="2"/>
        <v>€</v>
      </c>
      <c r="E18" s="14">
        <f t="shared" si="3"/>
        <v>4.3</v>
      </c>
      <c r="F18" s="7">
        <f>IF($A18&lt;&gt;"",MAXIFS(Token!$C:$C,Token!$A:$A,$D18),)</f>
        <v>1</v>
      </c>
      <c r="H18" s="6" t="str">
        <f>IFERROR(__xludf.DUMMYFUNCTION("""COMPUTED_VALUE"""),"156")</f>
        <v>156</v>
      </c>
      <c r="I18" s="6" t="str">
        <f>IFERROR(__xludf.DUMMYFUNCTION("""COMPUTED_VALUE"""),"4300000000")</f>
        <v>4300000000</v>
      </c>
      <c r="J18" s="6" t="str">
        <f>IFERROR(__xludf.DUMMYFUNCTION("""COMPUTED_VALUE"""),"9")</f>
        <v>9</v>
      </c>
      <c r="K18" s="6" t="str">
        <f>IFERROR(__xludf.DUMMYFUNCTION("""COMPUTED_VALUE"""),"€")</f>
        <v>€</v>
      </c>
      <c r="L18" s="6" t="str">
        <f>IFERROR(__xludf.DUMMYFUNCTION("""COMPUTED_VALUE"""),"1670673414")</f>
        <v>1670673414</v>
      </c>
    </row>
    <row r="19">
      <c r="A19" s="39">
        <f>IF(AND($L19*1&gt;=$G$3,$L19*1&lt;=$G$4,$I19*$J19&gt;0,OR($I19&lt;&gt;$I20,$L19-$L20&gt;25),IF(ABS($I19)&gt;10,$I19/POW(10,$J19),$J19/POW(10,$I19))*MAXIFS(Token!$C:$C,Token!$A:$A,$K19)&gt;0.01),$L19/86400+DATE(1970,1,1)+$G$6,)</f>
        <v>44905.56113</v>
      </c>
      <c r="B19" s="27">
        <f t="shared" si="1"/>
        <v>1.3</v>
      </c>
      <c r="C19" s="14">
        <f>IF($A19&lt;&gt;"",MINIFS(Merchant!$A:$A,Merchant!$B:$B,$G$2),)</f>
        <v>2</v>
      </c>
      <c r="D19" s="14" t="str">
        <f t="shared" si="2"/>
        <v>€</v>
      </c>
      <c r="E19" s="14">
        <f t="shared" si="3"/>
        <v>1.3</v>
      </c>
      <c r="F19" s="7">
        <f>IF($A19&lt;&gt;"",MAXIFS(Token!$C:$C,Token!$A:$A,$D19),)</f>
        <v>1</v>
      </c>
      <c r="H19" s="6" t="str">
        <f>IFERROR(__xludf.DUMMYFUNCTION("""COMPUTED_VALUE"""),"156")</f>
        <v>156</v>
      </c>
      <c r="I19" s="6" t="str">
        <f>IFERROR(__xludf.DUMMYFUNCTION("""COMPUTED_VALUE"""),"1300000000")</f>
        <v>1300000000</v>
      </c>
      <c r="J19" s="6" t="str">
        <f>IFERROR(__xludf.DUMMYFUNCTION("""COMPUTED_VALUE"""),"9")</f>
        <v>9</v>
      </c>
      <c r="K19" s="6" t="str">
        <f>IFERROR(__xludf.DUMMYFUNCTION("""COMPUTED_VALUE"""),"€")</f>
        <v>€</v>
      </c>
      <c r="L19" s="6" t="str">
        <f>IFERROR(__xludf.DUMMYFUNCTION("""COMPUTED_VALUE"""),"1670671682")</f>
        <v>1670671682</v>
      </c>
    </row>
    <row r="20">
      <c r="A20" s="39">
        <f>IF(AND($L20*1&gt;=$G$3,$L20*1&lt;=$G$4,$I20*$J20&gt;0,OR($I20&lt;&gt;$I21,$L20-$L21&gt;25),IF(ABS($I20)&gt;10,$I20/POW(10,$J20),$J20/POW(10,$I20))*MAXIFS(Token!$C:$C,Token!$A:$A,$K20)&gt;0.01),$L20/86400+DATE(1970,1,1)+$G$6,)</f>
        <v>44905.46895</v>
      </c>
      <c r="B20" s="27">
        <f t="shared" si="1"/>
        <v>12.3</v>
      </c>
      <c r="C20" s="14">
        <f>IF($A20&lt;&gt;"",MINIFS(Merchant!$A:$A,Merchant!$B:$B,$G$2),)</f>
        <v>2</v>
      </c>
      <c r="D20" s="14" t="str">
        <f t="shared" si="2"/>
        <v>€</v>
      </c>
      <c r="E20" s="14">
        <f t="shared" si="3"/>
        <v>12.3</v>
      </c>
      <c r="F20" s="7">
        <f>IF($A20&lt;&gt;"",MAXIFS(Token!$C:$C,Token!$A:$A,$D20),)</f>
        <v>1</v>
      </c>
      <c r="H20" s="6" t="str">
        <f>IFERROR(__xludf.DUMMYFUNCTION("""COMPUTED_VALUE"""),"156")</f>
        <v>156</v>
      </c>
      <c r="I20" s="6" t="str">
        <f>IFERROR(__xludf.DUMMYFUNCTION("""COMPUTED_VALUE"""),"12300000000")</f>
        <v>12300000000</v>
      </c>
      <c r="J20" s="6" t="str">
        <f>IFERROR(__xludf.DUMMYFUNCTION("""COMPUTED_VALUE"""),"9")</f>
        <v>9</v>
      </c>
      <c r="K20" s="6" t="str">
        <f>IFERROR(__xludf.DUMMYFUNCTION("""COMPUTED_VALUE"""),"€")</f>
        <v>€</v>
      </c>
      <c r="L20" s="6" t="str">
        <f>IFERROR(__xludf.DUMMYFUNCTION("""COMPUTED_VALUE"""),"1670663717")</f>
        <v>1670663717</v>
      </c>
    </row>
    <row r="21">
      <c r="A21" s="39">
        <f>IF(AND($L21*1&gt;=$G$3,$L21*1&lt;=$G$4,$I21*$J21&gt;0,OR($I21&lt;&gt;$I22,$L21-$L22&gt;25),IF(ABS($I21)&gt;10,$I21/POW(10,$J21),$J21/POW(10,$I21))*MAXIFS(Token!$C:$C,Token!$A:$A,$K21)&gt;0.01),$L21/86400+DATE(1970,1,1)+$G$6,)</f>
        <v>44903.58361</v>
      </c>
      <c r="B21" s="27">
        <f t="shared" si="1"/>
        <v>5</v>
      </c>
      <c r="C21" s="14">
        <f>IF($A21&lt;&gt;"",MINIFS(Merchant!$A:$A,Merchant!$B:$B,$G$2),)</f>
        <v>2</v>
      </c>
      <c r="D21" s="14" t="str">
        <f t="shared" si="2"/>
        <v>€</v>
      </c>
      <c r="E21" s="14">
        <f t="shared" si="3"/>
        <v>5</v>
      </c>
      <c r="F21" s="7">
        <f>IF($A21&lt;&gt;"",MAXIFS(Token!$C:$C,Token!$A:$A,$D21),)</f>
        <v>1</v>
      </c>
      <c r="H21" s="6" t="str">
        <f>IFERROR(__xludf.DUMMYFUNCTION("""COMPUTED_VALUE"""),"156")</f>
        <v>156</v>
      </c>
      <c r="I21" s="6" t="str">
        <f>IFERROR(__xludf.DUMMYFUNCTION("""COMPUTED_VALUE"""),"5000000000")</f>
        <v>5000000000</v>
      </c>
      <c r="J21" s="6" t="str">
        <f>IFERROR(__xludf.DUMMYFUNCTION("""COMPUTED_VALUE"""),"9")</f>
        <v>9</v>
      </c>
      <c r="K21" s="6" t="str">
        <f>IFERROR(__xludf.DUMMYFUNCTION("""COMPUTED_VALUE"""),"€")</f>
        <v>€</v>
      </c>
      <c r="L21" s="6" t="str">
        <f>IFERROR(__xludf.DUMMYFUNCTION("""COMPUTED_VALUE"""),"1670500824")</f>
        <v>1670500824</v>
      </c>
    </row>
    <row r="22">
      <c r="A22" s="39">
        <f>IF(AND($L22*1&gt;=$G$3,$L22*1&lt;=$G$4,$I22*$J22&gt;0,OR($I22&lt;&gt;$I23,$L22-$L23&gt;25),IF(ABS($I22)&gt;10,$I22/POW(10,$J22),$J22/POW(10,$I22))*MAXIFS(Token!$C:$C,Token!$A:$A,$K22)&gt;0.01),$L22/86400+DATE(1970,1,1)+$G$6,)</f>
        <v>44903.58169</v>
      </c>
      <c r="B22" s="27">
        <f t="shared" si="1"/>
        <v>7.7</v>
      </c>
      <c r="C22" s="14">
        <f>IF($A22&lt;&gt;"",MINIFS(Merchant!$A:$A,Merchant!$B:$B,$G$2),)</f>
        <v>2</v>
      </c>
      <c r="D22" s="14" t="str">
        <f t="shared" si="2"/>
        <v>€</v>
      </c>
      <c r="E22" s="14">
        <f t="shared" si="3"/>
        <v>7.7</v>
      </c>
      <c r="F22" s="7">
        <f>IF($A22&lt;&gt;"",MAXIFS(Token!$C:$C,Token!$A:$A,$D22),)</f>
        <v>1</v>
      </c>
      <c r="H22" s="6" t="str">
        <f>IFERROR(__xludf.DUMMYFUNCTION("""COMPUTED_VALUE"""),"156")</f>
        <v>156</v>
      </c>
      <c r="I22" s="6" t="str">
        <f>IFERROR(__xludf.DUMMYFUNCTION("""COMPUTED_VALUE"""),"7700000000")</f>
        <v>7700000000</v>
      </c>
      <c r="J22" s="6" t="str">
        <f>IFERROR(__xludf.DUMMYFUNCTION("""COMPUTED_VALUE"""),"9")</f>
        <v>9</v>
      </c>
      <c r="K22" s="6" t="str">
        <f>IFERROR(__xludf.DUMMYFUNCTION("""COMPUTED_VALUE"""),"€")</f>
        <v>€</v>
      </c>
      <c r="L22" s="6" t="str">
        <f>IFERROR(__xludf.DUMMYFUNCTION("""COMPUTED_VALUE"""),"1670500658")</f>
        <v>1670500658</v>
      </c>
    </row>
    <row r="23">
      <c r="A23" s="39" t="str">
        <f>IF(AND($L23*1&gt;=$G$3,$L23*1&lt;=$G$4,$I23*$J23&gt;0,OR($I23&lt;&gt;$I24,$L23-$L24&gt;25),IF(ABS($I23)&gt;10,$I23/POW(10,$J23),$J23/POW(10,$I23))*MAXIFS(Token!$C:$C,Token!$A:$A,$K23)&gt;0.01),$L23/86400+DATE(1970,1,1)+$G$6,)</f>
        <v/>
      </c>
      <c r="B23" s="27" t="str">
        <f t="shared" si="1"/>
        <v/>
      </c>
      <c r="C23" s="14" t="str">
        <f>IF($A23&lt;&gt;"",MINIFS(Merchant!$A:$A,Merchant!$B:$B,$G$2),)</f>
        <v/>
      </c>
      <c r="D23" s="14" t="str">
        <f t="shared" si="2"/>
        <v/>
      </c>
      <c r="E23" s="14" t="str">
        <f t="shared" si="3"/>
        <v/>
      </c>
      <c r="F23" s="7" t="str">
        <f>IF($A23&lt;&gt;"",MAXIFS(Token!$C:$C,Token!$A:$A,$D23),)</f>
        <v/>
      </c>
      <c r="H23" s="6" t="str">
        <f>IFERROR(__xludf.DUMMYFUNCTION("""COMPUTED_VALUE"""),"156")</f>
        <v>156</v>
      </c>
      <c r="I23" s="6" t="str">
        <f>IFERROR(__xludf.DUMMYFUNCTION("""COMPUTED_VALUE"""),"-39050000000")</f>
        <v>-39050000000</v>
      </c>
      <c r="J23" s="6" t="str">
        <f>IFERROR(__xludf.DUMMYFUNCTION("""COMPUTED_VALUE"""),"9")</f>
        <v>9</v>
      </c>
      <c r="K23" s="6" t="str">
        <f>IFERROR(__xludf.DUMMYFUNCTION("""COMPUTED_VALUE"""),"€")</f>
        <v>€</v>
      </c>
      <c r="L23" s="6" t="str">
        <f>IFERROR(__xludf.DUMMYFUNCTION("""COMPUTED_VALUE"""),"1670262029")</f>
        <v>1670262029</v>
      </c>
    </row>
    <row r="24">
      <c r="A24" s="39">
        <f>IF(AND($L24*1&gt;=$G$3,$L24*1&lt;=$G$4,$I24*$J24&gt;0,OR($I24&lt;&gt;$I25,$L24-$L25&gt;25),IF(ABS($I24)&gt;10,$I24/POW(10,$J24),$J24/POW(10,$I24))*MAXIFS(Token!$C:$C,Token!$A:$A,$K24)&gt;0.01),$L24/86400+DATE(1970,1,1)+$G$6,)</f>
        <v>44899.55612</v>
      </c>
      <c r="B24" s="27">
        <f t="shared" si="1"/>
        <v>17.4</v>
      </c>
      <c r="C24" s="14">
        <f>IF($A24&lt;&gt;"",MINIFS(Merchant!$A:$A,Merchant!$B:$B,$G$2),)</f>
        <v>2</v>
      </c>
      <c r="D24" s="14" t="str">
        <f t="shared" si="2"/>
        <v>€</v>
      </c>
      <c r="E24" s="14">
        <f t="shared" si="3"/>
        <v>17.4</v>
      </c>
      <c r="F24" s="7">
        <f>IF($A24&lt;&gt;"",MAXIFS(Token!$C:$C,Token!$A:$A,$D24),)</f>
        <v>1</v>
      </c>
      <c r="H24" s="6" t="str">
        <f>IFERROR(__xludf.DUMMYFUNCTION("""COMPUTED_VALUE"""),"156")</f>
        <v>156</v>
      </c>
      <c r="I24" s="6" t="str">
        <f>IFERROR(__xludf.DUMMYFUNCTION("""COMPUTED_VALUE"""),"17400000000")</f>
        <v>17400000000</v>
      </c>
      <c r="J24" s="6" t="str">
        <f>IFERROR(__xludf.DUMMYFUNCTION("""COMPUTED_VALUE"""),"9")</f>
        <v>9</v>
      </c>
      <c r="K24" s="6" t="str">
        <f>IFERROR(__xludf.DUMMYFUNCTION("""COMPUTED_VALUE"""),"€")</f>
        <v>€</v>
      </c>
      <c r="L24" s="6" t="str">
        <f>IFERROR(__xludf.DUMMYFUNCTION("""COMPUTED_VALUE"""),"1670152849")</f>
        <v>1670152849</v>
      </c>
    </row>
    <row r="25">
      <c r="A25" s="39">
        <f>IF(AND($L25*1&gt;=$G$3,$L25*1&lt;=$G$4,$I25*$J25&gt;0,OR($I25&lt;&gt;$I26,$L25-$L26&gt;25),IF(ABS($I25)&gt;10,$I25/POW(10,$J25),$J25/POW(10,$I25))*MAXIFS(Token!$C:$C,Token!$A:$A,$K25)&gt;0.01),$L25/86400+DATE(1970,1,1)+$G$6,)</f>
        <v>44897.58234</v>
      </c>
      <c r="B25" s="27">
        <f t="shared" si="1"/>
        <v>7.3</v>
      </c>
      <c r="C25" s="14">
        <f>IF($A25&lt;&gt;"",MINIFS(Merchant!$A:$A,Merchant!$B:$B,$G$2),)</f>
        <v>2</v>
      </c>
      <c r="D25" s="14" t="str">
        <f t="shared" si="2"/>
        <v>€</v>
      </c>
      <c r="E25" s="14">
        <f t="shared" si="3"/>
        <v>7.3</v>
      </c>
      <c r="F25" s="7">
        <f>IF($A25&lt;&gt;"",MAXIFS(Token!$C:$C,Token!$A:$A,$D25),)</f>
        <v>1</v>
      </c>
      <c r="H25" s="6" t="str">
        <f>IFERROR(__xludf.DUMMYFUNCTION("""COMPUTED_VALUE"""),"156")</f>
        <v>156</v>
      </c>
      <c r="I25" s="6" t="str">
        <f>IFERROR(__xludf.DUMMYFUNCTION("""COMPUTED_VALUE"""),"7300000000")</f>
        <v>7300000000</v>
      </c>
      <c r="J25" s="6" t="str">
        <f>IFERROR(__xludf.DUMMYFUNCTION("""COMPUTED_VALUE"""),"9")</f>
        <v>9</v>
      </c>
      <c r="K25" s="6" t="str">
        <f>IFERROR(__xludf.DUMMYFUNCTION("""COMPUTED_VALUE"""),"€")</f>
        <v>€</v>
      </c>
      <c r="L25" s="6" t="str">
        <f>IFERROR(__xludf.DUMMYFUNCTION("""COMPUTED_VALUE"""),"1669982314")</f>
        <v>1669982314</v>
      </c>
    </row>
    <row r="26">
      <c r="A26" s="39">
        <f>IF(AND($L26*1&gt;=$G$3,$L26*1&lt;=$G$4,$I26*$J26&gt;0,OR($I26&lt;&gt;$I27,$L26-$L27&gt;25),IF(ABS($I26)&gt;10,$I26/POW(10,$J26),$J26/POW(10,$I26))*MAXIFS(Token!$C:$C,Token!$A:$A,$K26)&gt;0.01),$L26/86400+DATE(1970,1,1)+$G$6,)</f>
        <v>44897.56538</v>
      </c>
      <c r="B26" s="27">
        <f t="shared" si="1"/>
        <v>7.95</v>
      </c>
      <c r="C26" s="14">
        <f>IF($A26&lt;&gt;"",MINIFS(Merchant!$A:$A,Merchant!$B:$B,$G$2),)</f>
        <v>2</v>
      </c>
      <c r="D26" s="14" t="str">
        <f t="shared" si="2"/>
        <v>€</v>
      </c>
      <c r="E26" s="14">
        <f t="shared" si="3"/>
        <v>7.95</v>
      </c>
      <c r="F26" s="7">
        <f>IF($A26&lt;&gt;"",MAXIFS(Token!$C:$C,Token!$A:$A,$D26),)</f>
        <v>1</v>
      </c>
      <c r="H26" s="6" t="str">
        <f>IFERROR(__xludf.DUMMYFUNCTION("""COMPUTED_VALUE"""),"156")</f>
        <v>156</v>
      </c>
      <c r="I26" s="6" t="str">
        <f>IFERROR(__xludf.DUMMYFUNCTION("""COMPUTED_VALUE"""),"7950000000")</f>
        <v>7950000000</v>
      </c>
      <c r="J26" s="6" t="str">
        <f>IFERROR(__xludf.DUMMYFUNCTION("""COMPUTED_VALUE"""),"9")</f>
        <v>9</v>
      </c>
      <c r="K26" s="6" t="str">
        <f>IFERROR(__xludf.DUMMYFUNCTION("""COMPUTED_VALUE"""),"€")</f>
        <v>€</v>
      </c>
      <c r="L26" s="6" t="str">
        <f>IFERROR(__xludf.DUMMYFUNCTION("""COMPUTED_VALUE"""),"1669980849")</f>
        <v>1669980849</v>
      </c>
    </row>
    <row r="27">
      <c r="A27" s="39">
        <f>IF(AND($L27*1&gt;=$G$3,$L27*1&lt;=$G$4,$I27*$J27&gt;0,OR($I27&lt;&gt;$I28,$L27-$L28&gt;25),IF(ABS($I27)&gt;10,$I27/POW(10,$J27),$J27/POW(10,$I27))*MAXIFS(Token!$C:$C,Token!$A:$A,$K27)&gt;0.01),$L27/86400+DATE(1970,1,1)+$G$6,)</f>
        <v>44896.56606</v>
      </c>
      <c r="B27" s="27">
        <f t="shared" si="1"/>
        <v>6.4</v>
      </c>
      <c r="C27" s="14">
        <f>IF($A27&lt;&gt;"",MINIFS(Merchant!$A:$A,Merchant!$B:$B,$G$2),)</f>
        <v>2</v>
      </c>
      <c r="D27" s="14" t="str">
        <f t="shared" si="2"/>
        <v>€</v>
      </c>
      <c r="E27" s="14">
        <f t="shared" si="3"/>
        <v>6.4</v>
      </c>
      <c r="F27" s="7">
        <f>IF($A27&lt;&gt;"",MAXIFS(Token!$C:$C,Token!$A:$A,$D27),)</f>
        <v>1</v>
      </c>
      <c r="H27" s="6" t="str">
        <f>IFERROR(__xludf.DUMMYFUNCTION("""COMPUTED_VALUE"""),"156")</f>
        <v>156</v>
      </c>
      <c r="I27" s="6" t="str">
        <f>IFERROR(__xludf.DUMMYFUNCTION("""COMPUTED_VALUE"""),"6400000000")</f>
        <v>6400000000</v>
      </c>
      <c r="J27" s="6" t="str">
        <f>IFERROR(__xludf.DUMMYFUNCTION("""COMPUTED_VALUE"""),"9")</f>
        <v>9</v>
      </c>
      <c r="K27" s="6" t="str">
        <f>IFERROR(__xludf.DUMMYFUNCTION("""COMPUTED_VALUE"""),"€")</f>
        <v>€</v>
      </c>
      <c r="L27" s="6" t="str">
        <f>IFERROR(__xludf.DUMMYFUNCTION("""COMPUTED_VALUE"""),"1669894508")</f>
        <v>1669894508</v>
      </c>
    </row>
    <row r="28">
      <c r="A28" s="39" t="str">
        <f>IF(AND($L28*1&gt;=$G$3,$L28*1&lt;=$G$4,$I28*$J28&gt;0,OR($I28&lt;&gt;$I29,$L28-$L29&gt;25),IF(ABS($I28)&gt;10,$I28/POW(10,$J28),$J28/POW(10,$I28))*MAXIFS(Token!$C:$C,Token!$A:$A,$K28)&gt;0.01),$L28/86400+DATE(1970,1,1)+$G$6,)</f>
        <v/>
      </c>
      <c r="B28" s="27" t="str">
        <f t="shared" si="1"/>
        <v/>
      </c>
      <c r="C28" s="14" t="str">
        <f>IF($A28&lt;&gt;"",MINIFS(Merchant!$A:$A,Merchant!$B:$B,$G$2),)</f>
        <v/>
      </c>
      <c r="D28" s="14" t="str">
        <f t="shared" si="2"/>
        <v/>
      </c>
      <c r="E28" s="14" t="str">
        <f t="shared" si="3"/>
        <v/>
      </c>
      <c r="F28" s="7" t="str">
        <f>IF($A28&lt;&gt;"",MAXIFS(Token!$C:$C,Token!$A:$A,$D28),)</f>
        <v/>
      </c>
      <c r="H28" s="6" t="str">
        <f>IFERROR(__xludf.DUMMYFUNCTION("""COMPUTED_VALUE"""),"156")</f>
        <v>156</v>
      </c>
      <c r="I28" s="6" t="str">
        <f>IFERROR(__xludf.DUMMYFUNCTION("""COMPUTED_VALUE"""),"-51200000000")</f>
        <v>-51200000000</v>
      </c>
      <c r="J28" s="6" t="str">
        <f>IFERROR(__xludf.DUMMYFUNCTION("""COMPUTED_VALUE"""),"9")</f>
        <v>9</v>
      </c>
      <c r="K28" s="6" t="str">
        <f>IFERROR(__xludf.DUMMYFUNCTION("""COMPUTED_VALUE"""),"€")</f>
        <v>€</v>
      </c>
      <c r="L28" s="6" t="str">
        <f>IFERROR(__xludf.DUMMYFUNCTION("""COMPUTED_VALUE"""),"1669580270")</f>
        <v>1669580270</v>
      </c>
    </row>
    <row r="29">
      <c r="A29" s="39">
        <f>IF(AND($L29*1&gt;=$G$3,$L29*1&lt;=$G$4,$I29*$J29&gt;0,OR($I29&lt;&gt;$I30,$L29-$L30&gt;25),IF(ABS($I29)&gt;10,$I29/POW(10,$J29),$J29/POW(10,$I29))*MAXIFS(Token!$C:$C,Token!$A:$A,$K29)&gt;0.01),$L29/86400+DATE(1970,1,1)+$G$6,)</f>
        <v>44892.59352</v>
      </c>
      <c r="B29" s="27">
        <f t="shared" si="1"/>
        <v>5</v>
      </c>
      <c r="C29" s="14">
        <f>IF($A29&lt;&gt;"",MINIFS(Merchant!$A:$A,Merchant!$B:$B,$G$2),)</f>
        <v>2</v>
      </c>
      <c r="D29" s="14" t="str">
        <f t="shared" si="2"/>
        <v>€</v>
      </c>
      <c r="E29" s="14">
        <f t="shared" si="3"/>
        <v>5</v>
      </c>
      <c r="F29" s="7">
        <f>IF($A29&lt;&gt;"",MAXIFS(Token!$C:$C,Token!$A:$A,$D29),)</f>
        <v>1</v>
      </c>
      <c r="H29" s="6" t="str">
        <f>IFERROR(__xludf.DUMMYFUNCTION("""COMPUTED_VALUE"""),"156")</f>
        <v>156</v>
      </c>
      <c r="I29" s="6" t="str">
        <f>IFERROR(__xludf.DUMMYFUNCTION("""COMPUTED_VALUE"""),"5000000000")</f>
        <v>5000000000</v>
      </c>
      <c r="J29" s="6" t="str">
        <f>IFERROR(__xludf.DUMMYFUNCTION("""COMPUTED_VALUE"""),"9")</f>
        <v>9</v>
      </c>
      <c r="K29" s="6" t="str">
        <f>IFERROR(__xludf.DUMMYFUNCTION("""COMPUTED_VALUE"""),"€")</f>
        <v>€</v>
      </c>
      <c r="L29" s="6" t="str">
        <f>IFERROR(__xludf.DUMMYFUNCTION("""COMPUTED_VALUE"""),"1669551280")</f>
        <v>1669551280</v>
      </c>
    </row>
    <row r="30">
      <c r="A30" s="39">
        <f>IF(AND($L30*1&gt;=$G$3,$L30*1&lt;=$G$4,$I30*$J30&gt;0,OR($I30&lt;&gt;$I31,$L30-$L31&gt;25),IF(ABS($I30)&gt;10,$I30/POW(10,$J30),$J30/POW(10,$I30))*MAXIFS(Token!$C:$C,Token!$A:$A,$K30)&gt;0.01),$L30/86400+DATE(1970,1,1)+$G$6,)</f>
        <v>44892.59209</v>
      </c>
      <c r="B30" s="27">
        <f t="shared" si="1"/>
        <v>3.1</v>
      </c>
      <c r="C30" s="14">
        <f>IF($A30&lt;&gt;"",MINIFS(Merchant!$A:$A,Merchant!$B:$B,$G$2),)</f>
        <v>2</v>
      </c>
      <c r="D30" s="14" t="str">
        <f t="shared" si="2"/>
        <v>€</v>
      </c>
      <c r="E30" s="14">
        <f t="shared" si="3"/>
        <v>3.1</v>
      </c>
      <c r="F30" s="7">
        <f>IF($A30&lt;&gt;"",MAXIFS(Token!$C:$C,Token!$A:$A,$D30),)</f>
        <v>1</v>
      </c>
      <c r="H30" s="6" t="str">
        <f>IFERROR(__xludf.DUMMYFUNCTION("""COMPUTED_VALUE"""),"156")</f>
        <v>156</v>
      </c>
      <c r="I30" s="6" t="str">
        <f>IFERROR(__xludf.DUMMYFUNCTION("""COMPUTED_VALUE"""),"3100000000")</f>
        <v>3100000000</v>
      </c>
      <c r="J30" s="6" t="str">
        <f>IFERROR(__xludf.DUMMYFUNCTION("""COMPUTED_VALUE"""),"9")</f>
        <v>9</v>
      </c>
      <c r="K30" s="6" t="str">
        <f>IFERROR(__xludf.DUMMYFUNCTION("""COMPUTED_VALUE"""),"€")</f>
        <v>€</v>
      </c>
      <c r="L30" s="6" t="str">
        <f>IFERROR(__xludf.DUMMYFUNCTION("""COMPUTED_VALUE"""),"1669551157")</f>
        <v>1669551157</v>
      </c>
    </row>
    <row r="31">
      <c r="A31" s="39">
        <f>IF(AND($L31*1&gt;=$G$3,$L31*1&lt;=$G$4,$I31*$J31&gt;0,OR($I31&lt;&gt;$I32,$L31-$L32&gt;25),IF(ABS($I31)&gt;10,$I31/POW(10,$J31),$J31/POW(10,$I31))*MAXIFS(Token!$C:$C,Token!$A:$A,$K31)&gt;0.01),$L31/86400+DATE(1970,1,1)+$G$6,)</f>
        <v>44892.59209</v>
      </c>
      <c r="B31" s="27">
        <f t="shared" si="1"/>
        <v>1.3</v>
      </c>
      <c r="C31" s="14">
        <f>IF($A31&lt;&gt;"",MINIFS(Merchant!$A:$A,Merchant!$B:$B,$G$2),)</f>
        <v>2</v>
      </c>
      <c r="D31" s="14" t="str">
        <f t="shared" si="2"/>
        <v>€</v>
      </c>
      <c r="E31" s="14">
        <f t="shared" si="3"/>
        <v>1.3</v>
      </c>
      <c r="F31" s="7">
        <f>IF($A31&lt;&gt;"",MAXIFS(Token!$C:$C,Token!$A:$A,$D31),)</f>
        <v>1</v>
      </c>
      <c r="H31" s="6" t="str">
        <f>IFERROR(__xludf.DUMMYFUNCTION("""COMPUTED_VALUE"""),"156")</f>
        <v>156</v>
      </c>
      <c r="I31" s="6" t="str">
        <f>IFERROR(__xludf.DUMMYFUNCTION("""COMPUTED_VALUE"""),"1300000000")</f>
        <v>1300000000</v>
      </c>
      <c r="J31" s="6" t="str">
        <f>IFERROR(__xludf.DUMMYFUNCTION("""COMPUTED_VALUE"""),"9")</f>
        <v>9</v>
      </c>
      <c r="K31" s="6" t="str">
        <f>IFERROR(__xludf.DUMMYFUNCTION("""COMPUTED_VALUE"""),"€")</f>
        <v>€</v>
      </c>
      <c r="L31" s="6" t="str">
        <f>IFERROR(__xludf.DUMMYFUNCTION("""COMPUTED_VALUE"""),"1669551157")</f>
        <v>1669551157</v>
      </c>
    </row>
    <row r="32">
      <c r="A32" s="39">
        <f>IF(AND($L32*1&gt;=$G$3,$L32*1&lt;=$G$4,$I32*$J32&gt;0,OR($I32&lt;&gt;$I33,$L32-$L33&gt;25),IF(ABS($I32)&gt;10,$I32/POW(10,$J32),$J32/POW(10,$I32))*MAXIFS(Token!$C:$C,Token!$A:$A,$K32)&gt;0.01),$L32/86400+DATE(1970,1,1)+$G$6,)</f>
        <v>44892.5909</v>
      </c>
      <c r="B32" s="27">
        <f t="shared" si="1"/>
        <v>10</v>
      </c>
      <c r="C32" s="14">
        <f>IF($A32&lt;&gt;"",MINIFS(Merchant!$A:$A,Merchant!$B:$B,$G$2),)</f>
        <v>2</v>
      </c>
      <c r="D32" s="14" t="str">
        <f t="shared" si="2"/>
        <v>€</v>
      </c>
      <c r="E32" s="14">
        <f t="shared" si="3"/>
        <v>10</v>
      </c>
      <c r="F32" s="7">
        <f>IF($A32&lt;&gt;"",MAXIFS(Token!$C:$C,Token!$A:$A,$D32),)</f>
        <v>1</v>
      </c>
      <c r="H32" s="6" t="str">
        <f>IFERROR(__xludf.DUMMYFUNCTION("""COMPUTED_VALUE"""),"156")</f>
        <v>156</v>
      </c>
      <c r="I32" s="6" t="str">
        <f>IFERROR(__xludf.DUMMYFUNCTION("""COMPUTED_VALUE"""),"10000000000")</f>
        <v>10000000000</v>
      </c>
      <c r="J32" s="6" t="str">
        <f>IFERROR(__xludf.DUMMYFUNCTION("""COMPUTED_VALUE"""),"9")</f>
        <v>9</v>
      </c>
      <c r="K32" s="6" t="str">
        <f>IFERROR(__xludf.DUMMYFUNCTION("""COMPUTED_VALUE"""),"€")</f>
        <v>€</v>
      </c>
      <c r="L32" s="6" t="str">
        <f>IFERROR(__xludf.DUMMYFUNCTION("""COMPUTED_VALUE"""),"1669551054")</f>
        <v>1669551054</v>
      </c>
    </row>
    <row r="33">
      <c r="A33" s="39">
        <f>IF(AND($L33*1&gt;=$G$3,$L33*1&lt;=$G$4,$I33*$J33&gt;0,OR($I33&lt;&gt;$I34,$L33-$L34&gt;25),IF(ABS($I33)&gt;10,$I33/POW(10,$J33),$J33/POW(10,$I33))*MAXIFS(Token!$C:$C,Token!$A:$A,$K33)&gt;0.01),$L33/86400+DATE(1970,1,1)+$G$6,)</f>
        <v>44891.43652</v>
      </c>
      <c r="B33" s="27">
        <f t="shared" si="1"/>
        <v>17.9</v>
      </c>
      <c r="C33" s="14">
        <f>IF($A33&lt;&gt;"",MINIFS(Merchant!$A:$A,Merchant!$B:$B,$G$2),)</f>
        <v>2</v>
      </c>
      <c r="D33" s="14" t="str">
        <f t="shared" si="2"/>
        <v>€</v>
      </c>
      <c r="E33" s="14">
        <f t="shared" si="3"/>
        <v>17.9</v>
      </c>
      <c r="F33" s="7">
        <f>IF($A33&lt;&gt;"",MAXIFS(Token!$C:$C,Token!$A:$A,$D33),)</f>
        <v>1</v>
      </c>
      <c r="H33" s="6" t="str">
        <f>IFERROR(__xludf.DUMMYFUNCTION("""COMPUTED_VALUE"""),"156")</f>
        <v>156</v>
      </c>
      <c r="I33" s="6" t="str">
        <f>IFERROR(__xludf.DUMMYFUNCTION("""COMPUTED_VALUE"""),"17900000000")</f>
        <v>17900000000</v>
      </c>
      <c r="J33" s="6" t="str">
        <f>IFERROR(__xludf.DUMMYFUNCTION("""COMPUTED_VALUE"""),"9")</f>
        <v>9</v>
      </c>
      <c r="K33" s="6" t="str">
        <f>IFERROR(__xludf.DUMMYFUNCTION("""COMPUTED_VALUE"""),"€")</f>
        <v>€</v>
      </c>
      <c r="L33" s="6" t="str">
        <f>IFERROR(__xludf.DUMMYFUNCTION("""COMPUTED_VALUE"""),"1669451315")</f>
        <v>1669451315</v>
      </c>
    </row>
    <row r="34">
      <c r="A34" s="39">
        <f>IF(AND($L34*1&gt;=$G$3,$L34*1&lt;=$G$4,$I34*$J34&gt;0,OR($I34&lt;&gt;$I35,$L34-$L35&gt;25),IF(ABS($I34)&gt;10,$I34/POW(10,$J34),$J34/POW(10,$I34))*MAXIFS(Token!$C:$C,Token!$A:$A,$K34)&gt;0.01),$L34/86400+DATE(1970,1,1)+$G$6,)</f>
        <v>44890.57131</v>
      </c>
      <c r="B34" s="27">
        <f t="shared" si="1"/>
        <v>5.5</v>
      </c>
      <c r="C34" s="14">
        <f>IF($A34&lt;&gt;"",MINIFS(Merchant!$A:$A,Merchant!$B:$B,$G$2),)</f>
        <v>2</v>
      </c>
      <c r="D34" s="14" t="str">
        <f t="shared" si="2"/>
        <v>€</v>
      </c>
      <c r="E34" s="14">
        <f t="shared" si="3"/>
        <v>5.5</v>
      </c>
      <c r="F34" s="7">
        <f>IF($A34&lt;&gt;"",MAXIFS(Token!$C:$C,Token!$A:$A,$D34),)</f>
        <v>1</v>
      </c>
      <c r="H34" s="6" t="str">
        <f>IFERROR(__xludf.DUMMYFUNCTION("""COMPUTED_VALUE"""),"156")</f>
        <v>156</v>
      </c>
      <c r="I34" s="6" t="str">
        <f>IFERROR(__xludf.DUMMYFUNCTION("""COMPUTED_VALUE"""),"5500000000")</f>
        <v>5500000000</v>
      </c>
      <c r="J34" s="6" t="str">
        <f>IFERROR(__xludf.DUMMYFUNCTION("""COMPUTED_VALUE"""),"9")</f>
        <v>9</v>
      </c>
      <c r="K34" s="6" t="str">
        <f>IFERROR(__xludf.DUMMYFUNCTION("""COMPUTED_VALUE"""),"€")</f>
        <v>€</v>
      </c>
      <c r="L34" s="6" t="str">
        <f>IFERROR(__xludf.DUMMYFUNCTION("""COMPUTED_VALUE"""),"1669376561")</f>
        <v>1669376561</v>
      </c>
    </row>
    <row r="35">
      <c r="A35" s="39">
        <f>IF(AND($L35*1&gt;=$G$3,$L35*1&lt;=$G$4,$I35*$J35&gt;0,OR($I35&lt;&gt;$I36,$L35-$L36&gt;25),IF(ABS($I35)&gt;10,$I35/POW(10,$J35),$J35/POW(10,$I35))*MAXIFS(Token!$C:$C,Token!$A:$A,$K35)&gt;0.01),$L35/86400+DATE(1970,1,1)+$G$6,)</f>
        <v>44890.54723</v>
      </c>
      <c r="B35" s="27">
        <f t="shared" si="1"/>
        <v>4.2</v>
      </c>
      <c r="C35" s="14">
        <f>IF($A35&lt;&gt;"",MINIFS(Merchant!$A:$A,Merchant!$B:$B,$G$2),)</f>
        <v>2</v>
      </c>
      <c r="D35" s="14" t="str">
        <f t="shared" si="2"/>
        <v>€</v>
      </c>
      <c r="E35" s="14">
        <f t="shared" si="3"/>
        <v>4.2</v>
      </c>
      <c r="F35" s="7">
        <f>IF($A35&lt;&gt;"",MAXIFS(Token!$C:$C,Token!$A:$A,$D35),)</f>
        <v>1</v>
      </c>
      <c r="H35" s="6" t="str">
        <f>IFERROR(__xludf.DUMMYFUNCTION("""COMPUTED_VALUE"""),"156")</f>
        <v>156</v>
      </c>
      <c r="I35" s="6" t="str">
        <f>IFERROR(__xludf.DUMMYFUNCTION("""COMPUTED_VALUE"""),"4200000000")</f>
        <v>4200000000</v>
      </c>
      <c r="J35" s="6" t="str">
        <f>IFERROR(__xludf.DUMMYFUNCTION("""COMPUTED_VALUE"""),"9")</f>
        <v>9</v>
      </c>
      <c r="K35" s="6" t="str">
        <f>IFERROR(__xludf.DUMMYFUNCTION("""COMPUTED_VALUE"""),"€")</f>
        <v>€</v>
      </c>
      <c r="L35" s="6" t="str">
        <f>IFERROR(__xludf.DUMMYFUNCTION("""COMPUTED_VALUE"""),"1669374481")</f>
        <v>1669374481</v>
      </c>
    </row>
    <row r="36">
      <c r="A36" s="39">
        <f>IF(AND($L36*1&gt;=$G$3,$L36*1&lt;=$G$4,$I36*$J36&gt;0,OR($I36&lt;&gt;$I37,$L36-$L37&gt;25),IF(ABS($I36)&gt;10,$I36/POW(10,$J36),$J36/POW(10,$I36))*MAXIFS(Token!$C:$C,Token!$A:$A,$K36)&gt;0.01),$L36/86400+DATE(1970,1,1)+$G$6,)</f>
        <v>44889.5864</v>
      </c>
      <c r="B36" s="27">
        <f t="shared" si="1"/>
        <v>4.2</v>
      </c>
      <c r="C36" s="14">
        <f>IF($A36&lt;&gt;"",MINIFS(Merchant!$A:$A,Merchant!$B:$B,$G$2),)</f>
        <v>2</v>
      </c>
      <c r="D36" s="14" t="str">
        <f t="shared" si="2"/>
        <v>€</v>
      </c>
      <c r="E36" s="14">
        <f t="shared" si="3"/>
        <v>4.2</v>
      </c>
      <c r="F36" s="7">
        <f>IF($A36&lt;&gt;"",MAXIFS(Token!$C:$C,Token!$A:$A,$D36),)</f>
        <v>1</v>
      </c>
      <c r="H36" s="6" t="str">
        <f>IFERROR(__xludf.DUMMYFUNCTION("""COMPUTED_VALUE"""),"156")</f>
        <v>156</v>
      </c>
      <c r="I36" s="6" t="str">
        <f>IFERROR(__xludf.DUMMYFUNCTION("""COMPUTED_VALUE"""),"4200000000")</f>
        <v>4200000000</v>
      </c>
      <c r="J36" s="6" t="str">
        <f>IFERROR(__xludf.DUMMYFUNCTION("""COMPUTED_VALUE"""),"9")</f>
        <v>9</v>
      </c>
      <c r="K36" s="6" t="str">
        <f>IFERROR(__xludf.DUMMYFUNCTION("""COMPUTED_VALUE"""),"€")</f>
        <v>€</v>
      </c>
      <c r="L36" s="6" t="str">
        <f>IFERROR(__xludf.DUMMYFUNCTION("""COMPUTED_VALUE"""),"1669291465")</f>
        <v>1669291465</v>
      </c>
    </row>
    <row r="37">
      <c r="A37" s="39" t="str">
        <f>IF(AND($L37*1&gt;=$G$3,$L37*1&lt;=$G$4,$I37*$J37&gt;0,OR($I37&lt;&gt;$I38,$L37-$L38&gt;25),IF(ABS($I37)&gt;10,$I37/POW(10,$J37),$J37/POW(10,$I37))*MAXIFS(Token!$C:$C,Token!$A:$A,$K37)&gt;0.01),$L37/86400+DATE(1970,1,1)+$G$6,)</f>
        <v/>
      </c>
      <c r="B37" s="27" t="str">
        <f t="shared" si="1"/>
        <v/>
      </c>
      <c r="C37" s="14" t="str">
        <f>IF($A37&lt;&gt;"",MINIFS(Merchant!$A:$A,Merchant!$B:$B,$G$2),)</f>
        <v/>
      </c>
      <c r="D37" s="14" t="str">
        <f t="shared" si="2"/>
        <v/>
      </c>
      <c r="E37" s="14" t="str">
        <f t="shared" si="3"/>
        <v/>
      </c>
      <c r="F37" s="7" t="str">
        <f>IF($A37&lt;&gt;"",MAXIFS(Token!$C:$C,Token!$A:$A,$D37),)</f>
        <v/>
      </c>
      <c r="H37" s="6" t="str">
        <f>IFERROR(__xludf.DUMMYFUNCTION("""COMPUTED_VALUE"""),"156")</f>
        <v>156</v>
      </c>
      <c r="I37" s="6" t="str">
        <f>IFERROR(__xludf.DUMMYFUNCTION("""COMPUTED_VALUE"""),"-3000000000")</f>
        <v>-3000000000</v>
      </c>
      <c r="J37" s="6" t="str">
        <f>IFERROR(__xludf.DUMMYFUNCTION("""COMPUTED_VALUE"""),"9")</f>
        <v>9</v>
      </c>
      <c r="K37" s="6" t="str">
        <f>IFERROR(__xludf.DUMMYFUNCTION("""COMPUTED_VALUE"""),"€")</f>
        <v>€</v>
      </c>
      <c r="L37" s="6" t="str">
        <f>IFERROR(__xludf.DUMMYFUNCTION("""COMPUTED_VALUE"""),"1669159329")</f>
        <v>1669159329</v>
      </c>
    </row>
    <row r="38">
      <c r="A38" s="39">
        <f>IF(AND($L38*1&gt;=$G$3,$L38*1&lt;=$G$4,$I38*$J38&gt;0,OR($I38&lt;&gt;$I39,$L38-$L39&gt;25),IF(ABS($I38)&gt;10,$I38/POW(10,$J38),$J38/POW(10,$I38))*MAXIFS(Token!$C:$C,Token!$A:$A,$K38)&gt;0.01),$L38/86400+DATE(1970,1,1)+$G$6,)</f>
        <v>44885.56071</v>
      </c>
      <c r="B38" s="27">
        <f t="shared" si="1"/>
        <v>3</v>
      </c>
      <c r="C38" s="14">
        <f>IF($A38&lt;&gt;"",MINIFS(Merchant!$A:$A,Merchant!$B:$B,$G$2),)</f>
        <v>2</v>
      </c>
      <c r="D38" s="14" t="str">
        <f t="shared" si="2"/>
        <v>€</v>
      </c>
      <c r="E38" s="14">
        <f t="shared" si="3"/>
        <v>3</v>
      </c>
      <c r="F38" s="7">
        <f>IF($A38&lt;&gt;"",MAXIFS(Token!$C:$C,Token!$A:$A,$D38),)</f>
        <v>1</v>
      </c>
      <c r="H38" s="6" t="str">
        <f>IFERROR(__xludf.DUMMYFUNCTION("""COMPUTED_VALUE"""),"156")</f>
        <v>156</v>
      </c>
      <c r="I38" s="6" t="str">
        <f>IFERROR(__xludf.DUMMYFUNCTION("""COMPUTED_VALUE"""),"3000000000")</f>
        <v>3000000000</v>
      </c>
      <c r="J38" s="6" t="str">
        <f>IFERROR(__xludf.DUMMYFUNCTION("""COMPUTED_VALUE"""),"9")</f>
        <v>9</v>
      </c>
      <c r="K38" s="6" t="str">
        <f>IFERROR(__xludf.DUMMYFUNCTION("""COMPUTED_VALUE"""),"€")</f>
        <v>€</v>
      </c>
      <c r="L38" s="6" t="str">
        <f>IFERROR(__xludf.DUMMYFUNCTION("""COMPUTED_VALUE"""),"1668943645")</f>
        <v>1668943645</v>
      </c>
    </row>
    <row r="39">
      <c r="A39" s="39" t="str">
        <f>IF(AND($L39*1&gt;=$G$3,$L39*1&lt;=$G$4,$I39*$J39&gt;0,OR($I39&lt;&gt;$I40,$L39-$L40&gt;25),IF(ABS($I39)&gt;10,$I39/POW(10,$J39),$J39/POW(10,$I39))*MAXIFS(Token!$C:$C,Token!$A:$A,$K39)&gt;0.01),$L39/86400+DATE(1970,1,1)+$G$6,)</f>
        <v/>
      </c>
      <c r="B39" s="27" t="str">
        <f t="shared" si="1"/>
        <v/>
      </c>
      <c r="C39" s="14" t="str">
        <f>IF($A39&lt;&gt;"",MINIFS(Merchant!$A:$A,Merchant!$B:$B,$G$2),)</f>
        <v/>
      </c>
      <c r="D39" s="14" t="str">
        <f t="shared" si="2"/>
        <v/>
      </c>
      <c r="E39" s="14" t="str">
        <f t="shared" si="3"/>
        <v/>
      </c>
      <c r="F39" s="7" t="str">
        <f>IF($A39&lt;&gt;"",MAXIFS(Token!$C:$C,Token!$A:$A,$D39),)</f>
        <v/>
      </c>
      <c r="H39" s="6" t="str">
        <f>IFERROR(__xludf.DUMMYFUNCTION("""COMPUTED_VALUE"""),"156")</f>
        <v>156</v>
      </c>
      <c r="I39" s="6" t="str">
        <f>IFERROR(__xludf.DUMMYFUNCTION("""COMPUTED_VALUE"""),"0")</f>
        <v>0</v>
      </c>
      <c r="J39" s="6" t="str">
        <f>IFERROR(__xludf.DUMMYFUNCTION("""COMPUTED_VALUE"""),"9")</f>
        <v>9</v>
      </c>
      <c r="K39" s="6" t="str">
        <f>IFERROR(__xludf.DUMMYFUNCTION("""COMPUTED_VALUE"""),"€")</f>
        <v>€</v>
      </c>
      <c r="L39" s="6" t="str">
        <f>IFERROR(__xludf.DUMMYFUNCTION("""COMPUTED_VALUE"""),"1668652113")</f>
        <v>1668652113</v>
      </c>
    </row>
    <row r="40">
      <c r="A40" s="39" t="str">
        <f>IF(AND($L40*1&gt;=$G$3,$L40*1&lt;=$G$4,$I40*$J40&gt;0,OR($I40&lt;&gt;$I41,$L40-$L41&gt;25),IF(ABS($I40)&gt;10,$I40/POW(10,$J40),$J40/POW(10,$I40))*MAXIFS(Token!$C:$C,Token!$A:$A,$K40)&gt;0.01),$L40/86400+DATE(1970,1,1)+$G$6,)</f>
        <v/>
      </c>
      <c r="B40" s="27" t="str">
        <f t="shared" si="1"/>
        <v/>
      </c>
      <c r="C40" s="14" t="str">
        <f>IF($A40&lt;&gt;"",MINIFS(Merchant!$A:$A,Merchant!$B:$B,$G$2),)</f>
        <v/>
      </c>
      <c r="D40" s="14" t="str">
        <f t="shared" si="2"/>
        <v/>
      </c>
      <c r="E40" s="14" t="str">
        <f t="shared" si="3"/>
        <v/>
      </c>
      <c r="F40" s="7" t="str">
        <f>IF($A40&lt;&gt;"",MAXIFS(Token!$C:$C,Token!$A:$A,$D40),)</f>
        <v/>
      </c>
      <c r="H40" s="6" t="str">
        <f>IFERROR(__xludf.DUMMYFUNCTION("""COMPUTED_VALUE"""),"156")</f>
        <v>156</v>
      </c>
      <c r="I40" s="6" t="str">
        <f>IFERROR(__xludf.DUMMYFUNCTION("""COMPUTED_VALUE"""),"-3450000000")</f>
        <v>-3450000000</v>
      </c>
      <c r="J40" s="6" t="str">
        <f>IFERROR(__xludf.DUMMYFUNCTION("""COMPUTED_VALUE"""),"8")</f>
        <v>8</v>
      </c>
      <c r="K40" s="6" t="str">
        <f>IFERROR(__xludf.DUMMYFUNCTION("""COMPUTED_VALUE"""),"agEUR")</f>
        <v>agEUR</v>
      </c>
      <c r="L40" s="6" t="str">
        <f>IFERROR(__xludf.DUMMYFUNCTION("""COMPUTED_VALUE"""),"1667832417")</f>
        <v>1667832417</v>
      </c>
    </row>
    <row r="41">
      <c r="A41" s="39" t="str">
        <f>IF(AND($L41*1&gt;=$G$3,$L41*1&lt;=$G$4,$I41*$J41&gt;0,OR($I41&lt;&gt;$I42,$L41-$L42&gt;25),IF(ABS($I41)&gt;10,$I41/POW(10,$J41),$J41/POW(10,$I41))*MAXIFS(Token!$C:$C,Token!$A:$A,$K41)&gt;0.01),$L41/86400+DATE(1970,1,1)+$G$6,)</f>
        <v/>
      </c>
      <c r="B41" s="27" t="str">
        <f t="shared" si="1"/>
        <v/>
      </c>
      <c r="C41" s="14" t="str">
        <f>IF($A41&lt;&gt;"",MINIFS(Merchant!$A:$A,Merchant!$B:$B,$G$2),)</f>
        <v/>
      </c>
      <c r="D41" s="14" t="str">
        <f t="shared" si="2"/>
        <v/>
      </c>
      <c r="E41" s="14" t="str">
        <f t="shared" si="3"/>
        <v/>
      </c>
      <c r="F41" s="7" t="str">
        <f>IF($A41&lt;&gt;"",MAXIFS(Token!$C:$C,Token!$A:$A,$D41),)</f>
        <v/>
      </c>
      <c r="H41" s="6" t="str">
        <f>IFERROR(__xludf.DUMMYFUNCTION("""COMPUTED_VALUE"""),"156")</f>
        <v>156</v>
      </c>
      <c r="I41" s="6" t="str">
        <f>IFERROR(__xludf.DUMMYFUNCTION("""COMPUTED_VALUE"""),"300000000")</f>
        <v>300000000</v>
      </c>
      <c r="J41" s="6" t="str">
        <f>IFERROR(__xludf.DUMMYFUNCTION("""COMPUTED_VALUE"""),"8")</f>
        <v>8</v>
      </c>
      <c r="K41" s="6" t="str">
        <f>IFERROR(__xludf.DUMMYFUNCTION("""COMPUTED_VALUE"""),"agEUR")</f>
        <v>agEUR</v>
      </c>
      <c r="L41" s="6" t="str">
        <f>IFERROR(__xludf.DUMMYFUNCTION("""COMPUTED_VALUE"""),"1667735871")</f>
        <v>1667735871</v>
      </c>
    </row>
    <row r="42">
      <c r="A42" s="39" t="str">
        <f>IF(AND($L42*1&gt;=$G$3,$L42*1&lt;=$G$4,$I42*$J42&gt;0,OR($I42&lt;&gt;$I43,$L42-$L43&gt;25),IF(ABS($I42)&gt;10,$I42/POW(10,$J42),$J42/POW(10,$I42))*MAXIFS(Token!$C:$C,Token!$A:$A,$K42)&gt;0.01),$L42/86400+DATE(1970,1,1)+$G$6,)</f>
        <v/>
      </c>
      <c r="B42" s="27" t="str">
        <f t="shared" si="1"/>
        <v/>
      </c>
      <c r="C42" s="14" t="str">
        <f>IF($A42&lt;&gt;"",MINIFS(Merchant!$A:$A,Merchant!$B:$B,$G$2),)</f>
        <v/>
      </c>
      <c r="D42" s="14" t="str">
        <f t="shared" si="2"/>
        <v/>
      </c>
      <c r="E42" s="14" t="str">
        <f t="shared" si="3"/>
        <v/>
      </c>
      <c r="F42" s="7" t="str">
        <f>IF($A42&lt;&gt;"",MAXIFS(Token!$C:$C,Token!$A:$A,$D42),)</f>
        <v/>
      </c>
      <c r="H42" s="6" t="str">
        <f>IFERROR(__xludf.DUMMYFUNCTION("""COMPUTED_VALUE"""),"156")</f>
        <v>156</v>
      </c>
      <c r="I42" s="6" t="str">
        <f>IFERROR(__xludf.DUMMYFUNCTION("""COMPUTED_VALUE"""),"1530000000")</f>
        <v>1530000000</v>
      </c>
      <c r="J42" s="6" t="str">
        <f>IFERROR(__xludf.DUMMYFUNCTION("""COMPUTED_VALUE"""),"8")</f>
        <v>8</v>
      </c>
      <c r="K42" s="6" t="str">
        <f>IFERROR(__xludf.DUMMYFUNCTION("""COMPUTED_VALUE"""),"agEUR")</f>
        <v>agEUR</v>
      </c>
      <c r="L42" s="6" t="str">
        <f>IFERROR(__xludf.DUMMYFUNCTION("""COMPUTED_VALUE"""),"1667648608")</f>
        <v>1667648608</v>
      </c>
    </row>
    <row r="43">
      <c r="A43" s="39" t="str">
        <f>IF(AND($L43*1&gt;=$G$3,$L43*1&lt;=$G$4,$I43*$J43&gt;0,OR($I43&lt;&gt;$I44,$L43-$L44&gt;25),IF(ABS($I43)&gt;10,$I43/POW(10,$J43),$J43/POW(10,$I43))*MAXIFS(Token!$C:$C,Token!$A:$A,$K43)&gt;0.01),$L43/86400+DATE(1970,1,1)+$G$6,)</f>
        <v/>
      </c>
      <c r="B43" s="27" t="str">
        <f t="shared" si="1"/>
        <v/>
      </c>
      <c r="C43" s="14" t="str">
        <f>IF($A43&lt;&gt;"",MINIFS(Merchant!$A:$A,Merchant!$B:$B,$G$2),)</f>
        <v/>
      </c>
      <c r="D43" s="14" t="str">
        <f t="shared" si="2"/>
        <v/>
      </c>
      <c r="E43" s="14" t="str">
        <f t="shared" si="3"/>
        <v/>
      </c>
      <c r="F43" s="7" t="str">
        <f>IF($A43&lt;&gt;"",MAXIFS(Token!$C:$C,Token!$A:$A,$D43),)</f>
        <v/>
      </c>
      <c r="H43" s="6" t="str">
        <f>IFERROR(__xludf.DUMMYFUNCTION("""COMPUTED_VALUE"""),"156")</f>
        <v>156</v>
      </c>
      <c r="I43" s="6" t="str">
        <f>IFERROR(__xludf.DUMMYFUNCTION("""COMPUTED_VALUE"""),"620000000")</f>
        <v>620000000</v>
      </c>
      <c r="J43" s="6" t="str">
        <f>IFERROR(__xludf.DUMMYFUNCTION("""COMPUTED_VALUE"""),"8")</f>
        <v>8</v>
      </c>
      <c r="K43" s="6" t="str">
        <f>IFERROR(__xludf.DUMMYFUNCTION("""COMPUTED_VALUE"""),"agEUR")</f>
        <v>agEUR</v>
      </c>
      <c r="L43" s="6" t="str">
        <f>IFERROR(__xludf.DUMMYFUNCTION("""COMPUTED_VALUE"""),"1667564521")</f>
        <v>1667564521</v>
      </c>
    </row>
    <row r="44">
      <c r="A44" s="39" t="str">
        <f>IF(AND($L44*1&gt;=$G$3,$L44*1&lt;=$G$4,$I44*$J44&gt;0,OR($I44&lt;&gt;$I45,$L44-$L45&gt;25),IF(ABS($I44)&gt;10,$I44/POW(10,$J44),$J44/POW(10,$I44))*MAXIFS(Token!$C:$C,Token!$A:$A,$K44)&gt;0.01),$L44/86400+DATE(1970,1,1)+$G$6,)</f>
        <v/>
      </c>
      <c r="B44" s="27" t="str">
        <f t="shared" si="1"/>
        <v/>
      </c>
      <c r="C44" s="14" t="str">
        <f>IF($A44&lt;&gt;"",MINIFS(Merchant!$A:$A,Merchant!$B:$B,$G$2),)</f>
        <v/>
      </c>
      <c r="D44" s="14" t="str">
        <f t="shared" si="2"/>
        <v/>
      </c>
      <c r="E44" s="14" t="str">
        <f t="shared" si="3"/>
        <v/>
      </c>
      <c r="F44" s="7" t="str">
        <f>IF($A44&lt;&gt;"",MAXIFS(Token!$C:$C,Token!$A:$A,$D44),)</f>
        <v/>
      </c>
      <c r="H44" s="6" t="str">
        <f>IFERROR(__xludf.DUMMYFUNCTION("""COMPUTED_VALUE"""),"156")</f>
        <v>156</v>
      </c>
      <c r="I44" s="6" t="str">
        <f>IFERROR(__xludf.DUMMYFUNCTION("""COMPUTED_VALUE"""),"1000000000")</f>
        <v>1000000000</v>
      </c>
      <c r="J44" s="6" t="str">
        <f>IFERROR(__xludf.DUMMYFUNCTION("""COMPUTED_VALUE"""),"8")</f>
        <v>8</v>
      </c>
      <c r="K44" s="6" t="str">
        <f>IFERROR(__xludf.DUMMYFUNCTION("""COMPUTED_VALUE"""),"agEUR")</f>
        <v>agEUR</v>
      </c>
      <c r="L44" s="6" t="str">
        <f>IFERROR(__xludf.DUMMYFUNCTION("""COMPUTED_VALUE"""),"1667468293")</f>
        <v>1667468293</v>
      </c>
    </row>
    <row r="45">
      <c r="A45" s="39" t="str">
        <f>IF(AND($L45*1&gt;=$G$3,$L45*1&lt;=$G$4,$I45*$J45&gt;0,OR($I45&lt;&gt;$I46,$L45-$L46&gt;25),IF(ABS($I45)&gt;10,$I45/POW(10,$J45),$J45/POW(10,$I45))*MAXIFS(Token!$C:$C,Token!$A:$A,$K45)&gt;0.01),$L45/86400+DATE(1970,1,1)+$G$6,)</f>
        <v/>
      </c>
      <c r="B45" s="27" t="str">
        <f t="shared" si="1"/>
        <v/>
      </c>
      <c r="C45" s="14" t="str">
        <f>IF($A45&lt;&gt;"",MINIFS(Merchant!$A:$A,Merchant!$B:$B,$G$2),)</f>
        <v/>
      </c>
      <c r="D45" s="14" t="str">
        <f t="shared" si="2"/>
        <v/>
      </c>
      <c r="E45" s="14" t="str">
        <f t="shared" si="3"/>
        <v/>
      </c>
      <c r="F45" s="7" t="str">
        <f>IF($A45&lt;&gt;"",MAXIFS(Token!$C:$C,Token!$A:$A,$D45),)</f>
        <v/>
      </c>
      <c r="H45" s="6" t="str">
        <f>IFERROR(__xludf.DUMMYFUNCTION("""COMPUTED_VALUE"""),"156")</f>
        <v>156</v>
      </c>
      <c r="I45" s="6" t="str">
        <f>IFERROR(__xludf.DUMMYFUNCTION("""COMPUTED_VALUE"""),"-3910000000")</f>
        <v>-3910000000</v>
      </c>
      <c r="J45" s="6" t="str">
        <f>IFERROR(__xludf.DUMMYFUNCTION("""COMPUTED_VALUE"""),"8")</f>
        <v>8</v>
      </c>
      <c r="K45" s="6" t="str">
        <f>IFERROR(__xludf.DUMMYFUNCTION("""COMPUTED_VALUE"""),"agEUR")</f>
        <v>agEUR</v>
      </c>
      <c r="L45" s="6" t="str">
        <f>IFERROR(__xludf.DUMMYFUNCTION("""COMPUTED_VALUE"""),"1667173605")</f>
        <v>1667173605</v>
      </c>
    </row>
    <row r="46">
      <c r="A46" s="39" t="str">
        <f>IF(AND($L46*1&gt;=$G$3,$L46*1&lt;=$G$4,$I46*$J46&gt;0,OR($I46&lt;&gt;$I47,$L46-$L47&gt;25),IF(ABS($I46)&gt;10,$I46/POW(10,$J46),$J46/POW(10,$I46))*MAXIFS(Token!$C:$C,Token!$A:$A,$K46)&gt;0.01),$L46/86400+DATE(1970,1,1)+$G$6,)</f>
        <v/>
      </c>
      <c r="B46" s="27" t="str">
        <f t="shared" si="1"/>
        <v/>
      </c>
      <c r="C46" s="14" t="str">
        <f>IF($A46&lt;&gt;"",MINIFS(Merchant!$A:$A,Merchant!$B:$B,$G$2),)</f>
        <v/>
      </c>
      <c r="D46" s="14" t="str">
        <f t="shared" si="2"/>
        <v/>
      </c>
      <c r="E46" s="14" t="str">
        <f t="shared" si="3"/>
        <v/>
      </c>
      <c r="F46" s="7" t="str">
        <f>IF($A46&lt;&gt;"",MAXIFS(Token!$C:$C,Token!$A:$A,$D46),)</f>
        <v/>
      </c>
      <c r="H46" s="6" t="str">
        <f>IFERROR(__xludf.DUMMYFUNCTION("""COMPUTED_VALUE"""),"156")</f>
        <v>156</v>
      </c>
      <c r="I46" s="6" t="str">
        <f>IFERROR(__xludf.DUMMYFUNCTION("""COMPUTED_VALUE"""),"1280000000")</f>
        <v>1280000000</v>
      </c>
      <c r="J46" s="6" t="str">
        <f>IFERROR(__xludf.DUMMYFUNCTION("""COMPUTED_VALUE"""),"8")</f>
        <v>8</v>
      </c>
      <c r="K46" s="6" t="str">
        <f>IFERROR(__xludf.DUMMYFUNCTION("""COMPUTED_VALUE"""),"agEUR")</f>
        <v>agEUR</v>
      </c>
      <c r="L46" s="6" t="str">
        <f>IFERROR(__xludf.DUMMYFUNCTION("""COMPUTED_VALUE"""),"1667118597")</f>
        <v>1667118597</v>
      </c>
    </row>
    <row r="47">
      <c r="A47" s="39" t="str">
        <f>IF(AND($L47*1&gt;=$G$3,$L47*1&lt;=$G$4,$I47*$J47&gt;0,OR($I47&lt;&gt;$I48,$L47-$L48&gt;25),IF(ABS($I47)&gt;10,$I47/POW(10,$J47),$J47/POW(10,$I47))*MAXIFS(Token!$C:$C,Token!$A:$A,$K47)&gt;0.01),$L47/86400+DATE(1970,1,1)+$G$6,)</f>
        <v/>
      </c>
      <c r="B47" s="27" t="str">
        <f t="shared" si="1"/>
        <v/>
      </c>
      <c r="C47" s="14" t="str">
        <f>IF($A47&lt;&gt;"",MINIFS(Merchant!$A:$A,Merchant!$B:$B,$G$2),)</f>
        <v/>
      </c>
      <c r="D47" s="14" t="str">
        <f t="shared" si="2"/>
        <v/>
      </c>
      <c r="E47" s="14" t="str">
        <f t="shared" si="3"/>
        <v/>
      </c>
      <c r="F47" s="7" t="str">
        <f>IF($A47&lt;&gt;"",MAXIFS(Token!$C:$C,Token!$A:$A,$D47),)</f>
        <v/>
      </c>
      <c r="H47" s="6" t="str">
        <f>IFERROR(__xludf.DUMMYFUNCTION("""COMPUTED_VALUE"""),"156")</f>
        <v>156</v>
      </c>
      <c r="I47" s="6" t="str">
        <f>IFERROR(__xludf.DUMMYFUNCTION("""COMPUTED_VALUE"""),"1610000000")</f>
        <v>1610000000</v>
      </c>
      <c r="J47" s="6" t="str">
        <f>IFERROR(__xludf.DUMMYFUNCTION("""COMPUTED_VALUE"""),"8")</f>
        <v>8</v>
      </c>
      <c r="K47" s="6" t="str">
        <f>IFERROR(__xludf.DUMMYFUNCTION("""COMPUTED_VALUE"""),"agEUR")</f>
        <v>agEUR</v>
      </c>
      <c r="L47" s="6" t="str">
        <f>IFERROR(__xludf.DUMMYFUNCTION("""COMPUTED_VALUE"""),"1667035805")</f>
        <v>1667035805</v>
      </c>
    </row>
    <row r="48">
      <c r="A48" s="39" t="str">
        <f>IF(AND($L48*1&gt;=$G$3,$L48*1&lt;=$G$4,$I48*$J48&gt;0,OR($I48&lt;&gt;$I49,$L48-$L49&gt;25),IF(ABS($I48)&gt;10,$I48/POW(10,$J48),$J48/POW(10,$I48))*MAXIFS(Token!$C:$C,Token!$A:$A,$K48)&gt;0.01),$L48/86400+DATE(1970,1,1)+$G$6,)</f>
        <v/>
      </c>
      <c r="B48" s="27" t="str">
        <f t="shared" si="1"/>
        <v/>
      </c>
      <c r="C48" s="14" t="str">
        <f>IF($A48&lt;&gt;"",MINIFS(Merchant!$A:$A,Merchant!$B:$B,$G$2),)</f>
        <v/>
      </c>
      <c r="D48" s="14" t="str">
        <f t="shared" si="2"/>
        <v/>
      </c>
      <c r="E48" s="14" t="str">
        <f t="shared" si="3"/>
        <v/>
      </c>
      <c r="F48" s="7" t="str">
        <f>IF($A48&lt;&gt;"",MAXIFS(Token!$C:$C,Token!$A:$A,$D48),)</f>
        <v/>
      </c>
      <c r="H48" s="6" t="str">
        <f>IFERROR(__xludf.DUMMYFUNCTION("""COMPUTED_VALUE"""),"156")</f>
        <v>156</v>
      </c>
      <c r="I48" s="6" t="str">
        <f>IFERROR(__xludf.DUMMYFUNCTION("""COMPUTED_VALUE"""),"720000000")</f>
        <v>720000000</v>
      </c>
      <c r="J48" s="6" t="str">
        <f>IFERROR(__xludf.DUMMYFUNCTION("""COMPUTED_VALUE"""),"8")</f>
        <v>8</v>
      </c>
      <c r="K48" s="6" t="str">
        <f>IFERROR(__xludf.DUMMYFUNCTION("""COMPUTED_VALUE"""),"agEUR")</f>
        <v>agEUR</v>
      </c>
      <c r="L48" s="6" t="str">
        <f>IFERROR(__xludf.DUMMYFUNCTION("""COMPUTED_VALUE"""),"1666952077")</f>
        <v>1666952077</v>
      </c>
    </row>
    <row r="49">
      <c r="A49" s="39" t="str">
        <f>IF(AND($L49*1&gt;=$G$3,$L49*1&lt;=$G$4,$I49*$J49&gt;0,OR($I49&lt;&gt;$I50,$L49-$L50&gt;25),IF(ABS($I49)&gt;10,$I49/POW(10,$J49),$J49/POW(10,$I49))*MAXIFS(Token!$C:$C,Token!$A:$A,$K49)&gt;0.01),$L49/86400+DATE(1970,1,1)+$G$6,)</f>
        <v/>
      </c>
      <c r="B49" s="27" t="str">
        <f t="shared" si="1"/>
        <v/>
      </c>
      <c r="C49" s="14" t="str">
        <f>IF($A49&lt;&gt;"",MINIFS(Merchant!$A:$A,Merchant!$B:$B,$G$2),)</f>
        <v/>
      </c>
      <c r="D49" s="14" t="str">
        <f t="shared" si="2"/>
        <v/>
      </c>
      <c r="E49" s="14" t="str">
        <f t="shared" si="3"/>
        <v/>
      </c>
      <c r="F49" s="7" t="str">
        <f>IF($A49&lt;&gt;"",MAXIFS(Token!$C:$C,Token!$A:$A,$D49),)</f>
        <v/>
      </c>
      <c r="H49" s="6" t="str">
        <f>IFERROR(__xludf.DUMMYFUNCTION("""COMPUTED_VALUE"""),"156")</f>
        <v>156</v>
      </c>
      <c r="I49" s="6" t="str">
        <f>IFERROR(__xludf.DUMMYFUNCTION("""COMPUTED_VALUE"""),"300000000")</f>
        <v>300000000</v>
      </c>
      <c r="J49" s="6" t="str">
        <f>IFERROR(__xludf.DUMMYFUNCTION("""COMPUTED_VALUE"""),"8")</f>
        <v>8</v>
      </c>
      <c r="K49" s="6" t="str">
        <f>IFERROR(__xludf.DUMMYFUNCTION("""COMPUTED_VALUE"""),"agEUR")</f>
        <v>agEUR</v>
      </c>
      <c r="L49" s="6" t="str">
        <f>IFERROR(__xludf.DUMMYFUNCTION("""COMPUTED_VALUE"""),"1666866322")</f>
        <v>1666866322</v>
      </c>
    </row>
    <row r="50">
      <c r="A50" s="39" t="str">
        <f>IF(AND($L50*1&gt;=$G$3,$L50*1&lt;=$G$4,$I50*$J50&gt;0,OR($I50&lt;&gt;$I51,$L50-$L51&gt;25),IF(ABS($I50)&gt;10,$I50/POW(10,$J50),$J50/POW(10,$I50))*MAXIFS(Token!$C:$C,Token!$A:$A,$K50)&gt;0.01),$L50/86400+DATE(1970,1,1)+$G$6,)</f>
        <v/>
      </c>
      <c r="B50" s="27" t="str">
        <f t="shared" si="1"/>
        <v/>
      </c>
      <c r="C50" s="14" t="str">
        <f>IF($A50&lt;&gt;"",MINIFS(Merchant!$A:$A,Merchant!$B:$B,$G$2),)</f>
        <v/>
      </c>
      <c r="D50" s="14" t="str">
        <f t="shared" si="2"/>
        <v/>
      </c>
      <c r="E50" s="14" t="str">
        <f t="shared" si="3"/>
        <v/>
      </c>
      <c r="F50" s="7" t="str">
        <f>IF($A50&lt;&gt;"",MAXIFS(Token!$C:$C,Token!$A:$A,$D50),)</f>
        <v/>
      </c>
      <c r="H50" s="6" t="str">
        <f>IFERROR(__xludf.DUMMYFUNCTION("""COMPUTED_VALUE"""),"156")</f>
        <v>156</v>
      </c>
      <c r="I50" s="6" t="str">
        <f>IFERROR(__xludf.DUMMYFUNCTION("""COMPUTED_VALUE"""),"-3676000000")</f>
        <v>-3676000000</v>
      </c>
      <c r="J50" s="6" t="str">
        <f>IFERROR(__xludf.DUMMYFUNCTION("""COMPUTED_VALUE"""),"8")</f>
        <v>8</v>
      </c>
      <c r="K50" s="6" t="str">
        <f>IFERROR(__xludf.DUMMYFUNCTION("""COMPUTED_VALUE"""),"agEUR")</f>
        <v>agEUR</v>
      </c>
      <c r="L50" s="6" t="str">
        <f>IFERROR(__xludf.DUMMYFUNCTION("""COMPUTED_VALUE"""),"1666553658")</f>
        <v>1666553658</v>
      </c>
    </row>
    <row r="51">
      <c r="A51" s="39" t="str">
        <f>IF(AND($L51*1&gt;=$G$3,$L51*1&lt;=$G$4,$I51*$J51&gt;0,OR($I51&lt;&gt;$I52,$L51-$L52&gt;25),IF(ABS($I51)&gt;10,$I51/POW(10,$J51),$J51/POW(10,$I51))*MAXIFS(Token!$C:$C,Token!$A:$A,$K51)&gt;0.01),$L51/86400+DATE(1970,1,1)+$G$6,)</f>
        <v/>
      </c>
      <c r="B51" s="27" t="str">
        <f t="shared" si="1"/>
        <v/>
      </c>
      <c r="C51" s="14" t="str">
        <f>IF($A51&lt;&gt;"",MINIFS(Merchant!$A:$A,Merchant!$B:$B,$G$2),)</f>
        <v/>
      </c>
      <c r="D51" s="14" t="str">
        <f t="shared" si="2"/>
        <v/>
      </c>
      <c r="E51" s="14" t="str">
        <f t="shared" si="3"/>
        <v/>
      </c>
      <c r="F51" s="7" t="str">
        <f>IF($A51&lt;&gt;"",MAXIFS(Token!$C:$C,Token!$A:$A,$D51),)</f>
        <v/>
      </c>
      <c r="H51" s="6" t="str">
        <f>IFERROR(__xludf.DUMMYFUNCTION("""COMPUTED_VALUE"""),"156")</f>
        <v>156</v>
      </c>
      <c r="I51" s="6" t="str">
        <f>IFERROR(__xludf.DUMMYFUNCTION("""COMPUTED_VALUE"""),"1660000000")</f>
        <v>1660000000</v>
      </c>
      <c r="J51" s="6" t="str">
        <f>IFERROR(__xludf.DUMMYFUNCTION("""COMPUTED_VALUE"""),"8")</f>
        <v>8</v>
      </c>
      <c r="K51" s="6" t="str">
        <f>IFERROR(__xludf.DUMMYFUNCTION("""COMPUTED_VALUE"""),"agEUR")</f>
        <v>agEUR</v>
      </c>
      <c r="L51" s="6" t="str">
        <f>IFERROR(__xludf.DUMMYFUNCTION("""COMPUTED_VALUE"""),"1666425295")</f>
        <v>1666425295</v>
      </c>
    </row>
    <row r="52">
      <c r="A52" s="39" t="str">
        <f>IF(AND($L52*1&gt;=$G$3,$L52*1&lt;=$G$4,$I52*$J52&gt;0,OR($I52&lt;&gt;$I53,$L52-$L53&gt;25),IF(ABS($I52)&gt;10,$I52/POW(10,$J52),$J52/POW(10,$I52))*MAXIFS(Token!$C:$C,Token!$A:$A,$K52)&gt;0.01),$L52/86400+DATE(1970,1,1)+$G$6,)</f>
        <v/>
      </c>
      <c r="B52" s="27" t="str">
        <f t="shared" si="1"/>
        <v/>
      </c>
      <c r="C52" s="14" t="str">
        <f>IF($A52&lt;&gt;"",MINIFS(Merchant!$A:$A,Merchant!$B:$B,$G$2),)</f>
        <v/>
      </c>
      <c r="D52" s="14" t="str">
        <f t="shared" si="2"/>
        <v/>
      </c>
      <c r="E52" s="14" t="str">
        <f t="shared" si="3"/>
        <v/>
      </c>
      <c r="F52" s="7" t="str">
        <f>IF($A52&lt;&gt;"",MAXIFS(Token!$C:$C,Token!$A:$A,$D52),)</f>
        <v/>
      </c>
      <c r="H52" s="6" t="str">
        <f>IFERROR(__xludf.DUMMYFUNCTION("IF(AND($G$11,INDEX(L:L,ROW()-1)*1&gt;$G$3),ImportJSON(""https://public-api.solscan.io/account/splTransfers?account=""&amp;$G$2&amp;IF($G$5,""&amp;fromTime=""&amp;TO_TEXT($G$3)&amp;""&amp;toTime=""&amp;TO_TEXT($G$4),)&amp;""&amp;offset=""&amp;ROW()-2&amp;""&amp;limit=50""&amp;$G$7,TEXTJOIN("","",1,$H$1:$L$1),"&amp;"""noHeaders""),)"),"156")</f>
        <v>156</v>
      </c>
      <c r="I52" s="6" t="str">
        <f>IFERROR(__xludf.DUMMYFUNCTION("""COMPUTED_VALUE"""),"625000000")</f>
        <v>625000000</v>
      </c>
      <c r="J52" s="6" t="str">
        <f>IFERROR(__xludf.DUMMYFUNCTION("""COMPUTED_VALUE"""),"8")</f>
        <v>8</v>
      </c>
      <c r="K52" s="6" t="str">
        <f>IFERROR(__xludf.DUMMYFUNCTION("""COMPUTED_VALUE"""),"agEUR")</f>
        <v>agEUR</v>
      </c>
      <c r="L52" s="6" t="str">
        <f>IFERROR(__xludf.DUMMYFUNCTION("""COMPUTED_VALUE"""),"1666344882")</f>
        <v>1666344882</v>
      </c>
    </row>
    <row r="53">
      <c r="A53" s="39" t="str">
        <f>IF(AND($L53*1&gt;=$G$3,$L53*1&lt;=$G$4,$I53*$J53&gt;0,OR($I53&lt;&gt;$I54,$L53-$L54&gt;25),IF(ABS($I53)&gt;10,$I53/POW(10,$J53),$J53/POW(10,$I53))*MAXIFS(Token!$C:$C,Token!$A:$A,$K53)&gt;0.01),$L53/86400+DATE(1970,1,1)+$G$6,)</f>
        <v/>
      </c>
      <c r="B53" s="27" t="str">
        <f t="shared" si="1"/>
        <v/>
      </c>
      <c r="C53" s="14" t="str">
        <f>IF($A53&lt;&gt;"",MINIFS(Merchant!$A:$A,Merchant!$B:$B,$G$2),)</f>
        <v/>
      </c>
      <c r="D53" s="14" t="str">
        <f t="shared" si="2"/>
        <v/>
      </c>
      <c r="E53" s="14" t="str">
        <f t="shared" si="3"/>
        <v/>
      </c>
      <c r="F53" s="7" t="str">
        <f>IF($A53&lt;&gt;"",MAXIFS(Token!$C:$C,Token!$A:$A,$D53),)</f>
        <v/>
      </c>
      <c r="H53" s="6" t="str">
        <f>IFERROR(__xludf.DUMMYFUNCTION("""COMPUTED_VALUE"""),"156")</f>
        <v>156</v>
      </c>
      <c r="I53" s="6" t="str">
        <f>IFERROR(__xludf.DUMMYFUNCTION("""COMPUTED_VALUE"""),"1390000000")</f>
        <v>1390000000</v>
      </c>
      <c r="J53" s="6" t="str">
        <f>IFERROR(__xludf.DUMMYFUNCTION("""COMPUTED_VALUE"""),"8")</f>
        <v>8</v>
      </c>
      <c r="K53" s="6" t="str">
        <f>IFERROR(__xludf.DUMMYFUNCTION("""COMPUTED_VALUE"""),"agEUR")</f>
        <v>agEUR</v>
      </c>
      <c r="L53" s="6" t="str">
        <f>IFERROR(__xludf.DUMMYFUNCTION("""COMPUTED_VALUE"""),"1666262098")</f>
        <v>1666262098</v>
      </c>
    </row>
    <row r="54">
      <c r="A54" s="39" t="str">
        <f>IF(AND($L54*1&gt;=$G$3,$L54*1&lt;=$G$4,$I54*$J54&gt;0,OR($I54&lt;&gt;$I55,$L54-$L55&gt;25),IF(ABS($I54)&gt;10,$I54/POW(10,$J54),$J54/POW(10,$I54))*MAXIFS(Token!$C:$C,Token!$A:$A,$K54)&gt;0.01),$L54/86400+DATE(1970,1,1)+$G$6,)</f>
        <v/>
      </c>
      <c r="B54" s="27" t="str">
        <f t="shared" si="1"/>
        <v/>
      </c>
      <c r="C54" s="14" t="str">
        <f>IF($A54&lt;&gt;"",MINIFS(Merchant!$A:$A,Merchant!$B:$B,$G$2),)</f>
        <v/>
      </c>
      <c r="D54" s="14" t="str">
        <f t="shared" si="2"/>
        <v/>
      </c>
      <c r="E54" s="14" t="str">
        <f t="shared" si="3"/>
        <v/>
      </c>
      <c r="F54" s="7" t="str">
        <f>IF($A54&lt;&gt;"",MAXIFS(Token!$C:$C,Token!$A:$A,$D54),)</f>
        <v/>
      </c>
      <c r="H54" s="6" t="str">
        <f>IFERROR(__xludf.DUMMYFUNCTION("""COMPUTED_VALUE"""),"156")</f>
        <v>156</v>
      </c>
      <c r="I54" s="6" t="str">
        <f>IFERROR(__xludf.DUMMYFUNCTION("""COMPUTED_VALUE"""),"1000000")</f>
        <v>1000000</v>
      </c>
      <c r="J54" s="6" t="str">
        <f>IFERROR(__xludf.DUMMYFUNCTION("""COMPUTED_VALUE"""),"8")</f>
        <v>8</v>
      </c>
      <c r="K54" s="6" t="str">
        <f>IFERROR(__xludf.DUMMYFUNCTION("""COMPUTED_VALUE"""),"agEUR")</f>
        <v>agEUR</v>
      </c>
      <c r="L54" s="6" t="str">
        <f>IFERROR(__xludf.DUMMYFUNCTION("""COMPUTED_VALUE"""),"1666168206")</f>
        <v>1666168206</v>
      </c>
    </row>
    <row r="55">
      <c r="A55" s="39" t="str">
        <f>IF(AND($L55*1&gt;=$G$3,$L55*1&lt;=$G$4,$I55*$J55&gt;0,OR($I55&lt;&gt;$I56,$L55-$L56&gt;25),IF(ABS($I55)&gt;10,$I55/POW(10,$J55),$J55/POW(10,$I55))*MAXIFS(Token!$C:$C,Token!$A:$A,$K55)&gt;0.01),$L55/86400+DATE(1970,1,1)+$G$6,)</f>
        <v/>
      </c>
      <c r="B55" s="27" t="str">
        <f t="shared" si="1"/>
        <v/>
      </c>
      <c r="C55" s="14" t="str">
        <f>IF($A55&lt;&gt;"",MINIFS(Merchant!$A:$A,Merchant!$B:$B,$G$2),)</f>
        <v/>
      </c>
      <c r="D55" s="14" t="str">
        <f t="shared" si="2"/>
        <v/>
      </c>
      <c r="E55" s="14" t="str">
        <f t="shared" si="3"/>
        <v/>
      </c>
      <c r="F55" s="7" t="str">
        <f>IF($A55&lt;&gt;"",MAXIFS(Token!$C:$C,Token!$A:$A,$D55),)</f>
        <v/>
      </c>
      <c r="H55" s="6" t="str">
        <f>IFERROR(__xludf.DUMMYFUNCTION("""COMPUTED_VALUE"""),"156")</f>
        <v>156</v>
      </c>
      <c r="I55" s="6" t="str">
        <f>IFERROR(__xludf.DUMMYFUNCTION("""COMPUTED_VALUE"""),"-3347000000")</f>
        <v>-3347000000</v>
      </c>
      <c r="J55" s="6" t="str">
        <f>IFERROR(__xludf.DUMMYFUNCTION("""COMPUTED_VALUE"""),"8")</f>
        <v>8</v>
      </c>
      <c r="K55" s="6" t="str">
        <f>IFERROR(__xludf.DUMMYFUNCTION("""COMPUTED_VALUE"""),"agEUR")</f>
        <v>agEUR</v>
      </c>
      <c r="L55" s="6" t="str">
        <f>IFERROR(__xludf.DUMMYFUNCTION("""COMPUTED_VALUE"""),"1664741409")</f>
        <v>1664741409</v>
      </c>
    </row>
    <row r="56">
      <c r="A56" s="39" t="str">
        <f>IF(AND($L56*1&gt;=$G$3,$L56*1&lt;=$G$4,$I56*$J56&gt;0,OR($I56&lt;&gt;$I57,$L56-$L57&gt;25),IF(ABS($I56)&gt;10,$I56/POW(10,$J56),$J56/POW(10,$I56))*MAXIFS(Token!$C:$C,Token!$A:$A,$K56)&gt;0.01),$L56/86400+DATE(1970,1,1)+$G$6,)</f>
        <v/>
      </c>
      <c r="B56" s="27" t="str">
        <f t="shared" si="1"/>
        <v/>
      </c>
      <c r="C56" s="14" t="str">
        <f>IF($A56&lt;&gt;"",MINIFS(Merchant!$A:$A,Merchant!$B:$B,$G$2),)</f>
        <v/>
      </c>
      <c r="D56" s="14" t="str">
        <f t="shared" si="2"/>
        <v/>
      </c>
      <c r="E56" s="14" t="str">
        <f t="shared" si="3"/>
        <v/>
      </c>
      <c r="F56" s="7" t="str">
        <f>IF($A56&lt;&gt;"",MAXIFS(Token!$C:$C,Token!$A:$A,$D56),)</f>
        <v/>
      </c>
      <c r="H56" s="6" t="str">
        <f>IFERROR(__xludf.DUMMYFUNCTION("""COMPUTED_VALUE"""),"156")</f>
        <v>156</v>
      </c>
      <c r="I56" s="6" t="str">
        <f>IFERROR(__xludf.DUMMYFUNCTION("""COMPUTED_VALUE"""),"1000000000")</f>
        <v>1000000000</v>
      </c>
      <c r="J56" s="6" t="str">
        <f>IFERROR(__xludf.DUMMYFUNCTION("""COMPUTED_VALUE"""),"8")</f>
        <v>8</v>
      </c>
      <c r="K56" s="6" t="str">
        <f>IFERROR(__xludf.DUMMYFUNCTION("""COMPUTED_VALUE"""),"agEUR")</f>
        <v>agEUR</v>
      </c>
      <c r="L56" s="6" t="str">
        <f>IFERROR(__xludf.DUMMYFUNCTION("""COMPUTED_VALUE"""),"1664710908")</f>
        <v>1664710908</v>
      </c>
    </row>
    <row r="57">
      <c r="A57" s="39" t="str">
        <f>IF(AND($L57*1&gt;=$G$3,$L57*1&lt;=$G$4,$I57*$J57&gt;0,OR($I57&lt;&gt;$I58,$L57-$L58&gt;25),IF(ABS($I57)&gt;10,$I57/POW(10,$J57),$J57/POW(10,$I57))*MAXIFS(Token!$C:$C,Token!$A:$A,$K57)&gt;0.01),$L57/86400+DATE(1970,1,1)+$G$6,)</f>
        <v/>
      </c>
      <c r="B57" s="27" t="str">
        <f t="shared" si="1"/>
        <v/>
      </c>
      <c r="C57" s="14" t="str">
        <f>IF($A57&lt;&gt;"",MINIFS(Merchant!$A:$A,Merchant!$B:$B,$G$2),)</f>
        <v/>
      </c>
      <c r="D57" s="14" t="str">
        <f t="shared" si="2"/>
        <v/>
      </c>
      <c r="E57" s="14" t="str">
        <f t="shared" si="3"/>
        <v/>
      </c>
      <c r="F57" s="7" t="str">
        <f>IF($A57&lt;&gt;"",MAXIFS(Token!$C:$C,Token!$A:$A,$D57),)</f>
        <v/>
      </c>
      <c r="H57" s="6" t="str">
        <f>IFERROR(__xludf.DUMMYFUNCTION("""COMPUTED_VALUE"""),"156")</f>
        <v>156</v>
      </c>
      <c r="I57" s="6" t="str">
        <f>IFERROR(__xludf.DUMMYFUNCTION("""COMPUTED_VALUE"""),"580000000")</f>
        <v>580000000</v>
      </c>
      <c r="J57" s="6" t="str">
        <f>IFERROR(__xludf.DUMMYFUNCTION("""COMPUTED_VALUE"""),"8")</f>
        <v>8</v>
      </c>
      <c r="K57" s="6" t="str">
        <f>IFERROR(__xludf.DUMMYFUNCTION("""COMPUTED_VALUE"""),"agEUR")</f>
        <v>agEUR</v>
      </c>
      <c r="L57" s="6" t="str">
        <f>IFERROR(__xludf.DUMMYFUNCTION("""COMPUTED_VALUE"""),"1664710861")</f>
        <v>1664710861</v>
      </c>
    </row>
    <row r="58">
      <c r="A58" s="39" t="str">
        <f>IF(AND($L58*1&gt;=$G$3,$L58*1&lt;=$G$4,$I58*$J58&gt;0,OR($I58&lt;&gt;$I59,$L58-$L59&gt;25),IF(ABS($I58)&gt;10,$I58/POW(10,$J58),$J58/POW(10,$I58))*MAXIFS(Token!$C:$C,Token!$A:$A,$K58)&gt;0.01),$L58/86400+DATE(1970,1,1)+$G$6,)</f>
        <v/>
      </c>
      <c r="B58" s="27" t="str">
        <f t="shared" si="1"/>
        <v/>
      </c>
      <c r="C58" s="14" t="str">
        <f>IF($A58&lt;&gt;"",MINIFS(Merchant!$A:$A,Merchant!$B:$B,$G$2),)</f>
        <v/>
      </c>
      <c r="D58" s="14" t="str">
        <f t="shared" si="2"/>
        <v/>
      </c>
      <c r="E58" s="14" t="str">
        <f t="shared" si="3"/>
        <v/>
      </c>
      <c r="F58" s="7" t="str">
        <f>IF($A58&lt;&gt;"",MAXIFS(Token!$C:$C,Token!$A:$A,$D58),)</f>
        <v/>
      </c>
      <c r="H58" s="6" t="str">
        <f>IFERROR(__xludf.DUMMYFUNCTION("""COMPUTED_VALUE"""),"156")</f>
        <v>156</v>
      </c>
      <c r="I58" s="6" t="str">
        <f>IFERROR(__xludf.DUMMYFUNCTION("""COMPUTED_VALUE"""),"1000000")</f>
        <v>1000000</v>
      </c>
      <c r="J58" s="6" t="str">
        <f>IFERROR(__xludf.DUMMYFUNCTION("""COMPUTED_VALUE"""),"8")</f>
        <v>8</v>
      </c>
      <c r="K58" s="6" t="str">
        <f>IFERROR(__xludf.DUMMYFUNCTION("""COMPUTED_VALUE"""),"agEUR")</f>
        <v>agEUR</v>
      </c>
      <c r="L58" s="6" t="str">
        <f>IFERROR(__xludf.DUMMYFUNCTION("""COMPUTED_VALUE"""),"1664537445")</f>
        <v>1664537445</v>
      </c>
    </row>
    <row r="59">
      <c r="A59" s="39" t="str">
        <f>IF(AND($L59*1&gt;=$G$3,$L59*1&lt;=$G$4,$I59*$J59&gt;0,OR($I59&lt;&gt;$I60,$L59-$L60&gt;25),IF(ABS($I59)&gt;10,$I59/POW(10,$J59),$J59/POW(10,$I59))*MAXIFS(Token!$C:$C,Token!$A:$A,$K59)&gt;0.01),$L59/86400+DATE(1970,1,1)+$G$6,)</f>
        <v/>
      </c>
      <c r="B59" s="27" t="str">
        <f t="shared" si="1"/>
        <v/>
      </c>
      <c r="C59" s="14" t="str">
        <f>IF($A59&lt;&gt;"",MINIFS(Merchant!$A:$A,Merchant!$B:$B,$G$2),)</f>
        <v/>
      </c>
      <c r="D59" s="14" t="str">
        <f t="shared" si="2"/>
        <v/>
      </c>
      <c r="E59" s="14" t="str">
        <f t="shared" si="3"/>
        <v/>
      </c>
      <c r="F59" s="7" t="str">
        <f>IF($A59&lt;&gt;"",MAXIFS(Token!$C:$C,Token!$A:$A,$D59),)</f>
        <v/>
      </c>
      <c r="H59" s="6" t="str">
        <f>IFERROR(__xludf.DUMMYFUNCTION("""COMPUTED_VALUE"""),"156")</f>
        <v>156</v>
      </c>
      <c r="I59" s="6" t="str">
        <f>IFERROR(__xludf.DUMMYFUNCTION("""COMPUTED_VALUE"""),"300000000")</f>
        <v>300000000</v>
      </c>
      <c r="J59" s="6" t="str">
        <f>IFERROR(__xludf.DUMMYFUNCTION("""COMPUTED_VALUE"""),"8")</f>
        <v>8</v>
      </c>
      <c r="K59" s="6" t="str">
        <f>IFERROR(__xludf.DUMMYFUNCTION("""COMPUTED_VALUE"""),"agEUR")</f>
        <v>agEUR</v>
      </c>
      <c r="L59" s="6" t="str">
        <f>IFERROR(__xludf.DUMMYFUNCTION("""COMPUTED_VALUE"""),"1664534757")</f>
        <v>1664534757</v>
      </c>
    </row>
    <row r="60">
      <c r="A60" s="39" t="str">
        <f>IF(AND($L60*1&gt;=$G$3,$L60*1&lt;=$G$4,$I60*$J60&gt;0,OR($I60&lt;&gt;$I61,$L60-$L61&gt;25),IF(ABS($I60)&gt;10,$I60/POW(10,$J60),$J60/POW(10,$I60))*MAXIFS(Token!$C:$C,Token!$A:$A,$K60)&gt;0.01),$L60/86400+DATE(1970,1,1)+$G$6,)</f>
        <v/>
      </c>
      <c r="B60" s="27" t="str">
        <f t="shared" si="1"/>
        <v/>
      </c>
      <c r="C60" s="14" t="str">
        <f>IF($A60&lt;&gt;"",MINIFS(Merchant!$A:$A,Merchant!$B:$B,$G$2),)</f>
        <v/>
      </c>
      <c r="D60" s="14" t="str">
        <f t="shared" si="2"/>
        <v/>
      </c>
      <c r="E60" s="14" t="str">
        <f t="shared" si="3"/>
        <v/>
      </c>
      <c r="F60" s="7" t="str">
        <f>IF($A60&lt;&gt;"",MAXIFS(Token!$C:$C,Token!$A:$A,$D60),)</f>
        <v/>
      </c>
      <c r="H60" s="6" t="str">
        <f>IFERROR(__xludf.DUMMYFUNCTION("""COMPUTED_VALUE"""),"156")</f>
        <v>156</v>
      </c>
      <c r="I60" s="6" t="str">
        <f>IFERROR(__xludf.DUMMYFUNCTION("""COMPUTED_VALUE"""),"300000000")</f>
        <v>300000000</v>
      </c>
      <c r="J60" s="6" t="str">
        <f>IFERROR(__xludf.DUMMYFUNCTION("""COMPUTED_VALUE"""),"8")</f>
        <v>8</v>
      </c>
      <c r="K60" s="6" t="str">
        <f>IFERROR(__xludf.DUMMYFUNCTION("""COMPUTED_VALUE"""),"agEUR")</f>
        <v>agEUR</v>
      </c>
      <c r="L60" s="6" t="str">
        <f>IFERROR(__xludf.DUMMYFUNCTION("""COMPUTED_VALUE"""),"1664534647")</f>
        <v>1664534647</v>
      </c>
    </row>
    <row r="61">
      <c r="A61" s="39" t="str">
        <f>IF(AND($L61*1&gt;=$G$3,$L61*1&lt;=$G$4,$I61*$J61&gt;0,OR($I61&lt;&gt;$I62,$L61-$L62&gt;25),IF(ABS($I61)&gt;10,$I61/POW(10,$J61),$J61/POW(10,$I61))*MAXIFS(Token!$C:$C,Token!$A:$A,$K61)&gt;0.01),$L61/86400+DATE(1970,1,1)+$G$6,)</f>
        <v/>
      </c>
      <c r="B61" s="27" t="str">
        <f t="shared" si="1"/>
        <v/>
      </c>
      <c r="C61" s="14" t="str">
        <f>IF($A61&lt;&gt;"",MINIFS(Merchant!$A:$A,Merchant!$B:$B,$G$2),)</f>
        <v/>
      </c>
      <c r="D61" s="14" t="str">
        <f t="shared" si="2"/>
        <v/>
      </c>
      <c r="E61" s="14" t="str">
        <f t="shared" si="3"/>
        <v/>
      </c>
      <c r="F61" s="7" t="str">
        <f>IF($A61&lt;&gt;"",MAXIFS(Token!$C:$C,Token!$A:$A,$D61),)</f>
        <v/>
      </c>
      <c r="H61" s="6" t="str">
        <f>IFERROR(__xludf.DUMMYFUNCTION("""COMPUTED_VALUE"""),"156")</f>
        <v>156</v>
      </c>
      <c r="I61" s="6" t="str">
        <f>IFERROR(__xludf.DUMMYFUNCTION("""COMPUTED_VALUE"""),"450000000")</f>
        <v>450000000</v>
      </c>
      <c r="J61" s="6" t="str">
        <f>IFERROR(__xludf.DUMMYFUNCTION("""COMPUTED_VALUE"""),"8")</f>
        <v>8</v>
      </c>
      <c r="K61" s="6" t="str">
        <f>IFERROR(__xludf.DUMMYFUNCTION("""COMPUTED_VALUE"""),"agEUR")</f>
        <v>agEUR</v>
      </c>
      <c r="L61" s="6" t="str">
        <f>IFERROR(__xludf.DUMMYFUNCTION("""COMPUTED_VALUE"""),"1664533495")</f>
        <v>1664533495</v>
      </c>
    </row>
    <row r="62">
      <c r="A62" s="39" t="str">
        <f>IF(AND($L62*1&gt;=$G$3,$L62*1&lt;=$G$4,$I62*$J62&gt;0,OR($I62&lt;&gt;$I63,$L62-$L63&gt;25),IF(ABS($I62)&gt;10,$I62/POW(10,$J62),$J62/POW(10,$I62))*MAXIFS(Token!$C:$C,Token!$A:$A,$K62)&gt;0.01),$L62/86400+DATE(1970,1,1)+$G$6,)</f>
        <v/>
      </c>
      <c r="B62" s="27" t="str">
        <f t="shared" si="1"/>
        <v/>
      </c>
      <c r="C62" s="14" t="str">
        <f>IF($A62&lt;&gt;"",MINIFS(Merchant!$A:$A,Merchant!$B:$B,$G$2),)</f>
        <v/>
      </c>
      <c r="D62" s="14" t="str">
        <f t="shared" si="2"/>
        <v/>
      </c>
      <c r="E62" s="14" t="str">
        <f t="shared" si="3"/>
        <v/>
      </c>
      <c r="F62" s="7" t="str">
        <f>IF($A62&lt;&gt;"",MAXIFS(Token!$C:$C,Token!$A:$A,$D62),)</f>
        <v/>
      </c>
      <c r="H62" s="6" t="str">
        <f>IFERROR(__xludf.DUMMYFUNCTION("""COMPUTED_VALUE"""),"156")</f>
        <v>156</v>
      </c>
      <c r="I62" s="6" t="str">
        <f>IFERROR(__xludf.DUMMYFUNCTION("""COMPUTED_VALUE"""),"716000000")</f>
        <v>716000000</v>
      </c>
      <c r="J62" s="6" t="str">
        <f>IFERROR(__xludf.DUMMYFUNCTION("""COMPUTED_VALUE"""),"8")</f>
        <v>8</v>
      </c>
      <c r="K62" s="6" t="str">
        <f>IFERROR(__xludf.DUMMYFUNCTION("""COMPUTED_VALUE"""),"agEUR")</f>
        <v>agEUR</v>
      </c>
      <c r="L62" s="6" t="str">
        <f>IFERROR(__xludf.DUMMYFUNCTION("""COMPUTED_VALUE"""),"1664450416")</f>
        <v>1664450416</v>
      </c>
    </row>
    <row r="63">
      <c r="A63" s="39" t="str">
        <f>IF(AND($L63*1&gt;=$G$3,$L63*1&lt;=$G$4,$I63*$J63&gt;0,OR($I63&lt;&gt;$I64,$L63-$L64&gt;25),IF(ABS($I63)&gt;10,$I63/POW(10,$J63),$J63/POW(10,$I63))*MAXIFS(Token!$C:$C,Token!$A:$A,$K63)&gt;0.01),$L63/86400+DATE(1970,1,1)+$G$6,)</f>
        <v/>
      </c>
      <c r="B63" s="27" t="str">
        <f t="shared" si="1"/>
        <v/>
      </c>
      <c r="C63" s="14" t="str">
        <f>IF($A63&lt;&gt;"",MINIFS(Merchant!$A:$A,Merchant!$B:$B,$G$2),)</f>
        <v/>
      </c>
      <c r="D63" s="14" t="str">
        <f t="shared" si="2"/>
        <v/>
      </c>
      <c r="E63" s="14" t="str">
        <f t="shared" si="3"/>
        <v/>
      </c>
      <c r="F63" s="7" t="str">
        <f>IF($A63&lt;&gt;"",MAXIFS(Token!$C:$C,Token!$A:$A,$D63),)</f>
        <v/>
      </c>
      <c r="H63" s="6" t="str">
        <f>IFERROR(__xludf.DUMMYFUNCTION("""COMPUTED_VALUE"""),"156")</f>
        <v>156</v>
      </c>
      <c r="I63" s="6" t="str">
        <f>IFERROR(__xludf.DUMMYFUNCTION("""COMPUTED_VALUE"""),"-4331000000")</f>
        <v>-4331000000</v>
      </c>
      <c r="J63" s="6" t="str">
        <f>IFERROR(__xludf.DUMMYFUNCTION("""COMPUTED_VALUE"""),"8")</f>
        <v>8</v>
      </c>
      <c r="K63" s="6" t="str">
        <f>IFERROR(__xludf.DUMMYFUNCTION("""COMPUTED_VALUE"""),"agEUR")</f>
        <v>agEUR</v>
      </c>
      <c r="L63" s="6" t="str">
        <f>IFERROR(__xludf.DUMMYFUNCTION("""COMPUTED_VALUE"""),"1664133374")</f>
        <v>1664133374</v>
      </c>
    </row>
    <row r="64">
      <c r="A64" s="39" t="str">
        <f>IF(AND($L64*1&gt;=$G$3,$L64*1&lt;=$G$4,$I64*$J64&gt;0,OR($I64&lt;&gt;$I65,$L64-$L65&gt;25),IF(ABS($I64)&gt;10,$I64/POW(10,$J64),$J64/POW(10,$I64))*MAXIFS(Token!$C:$C,Token!$A:$A,$K64)&gt;0.01),$L64/86400+DATE(1970,1,1)+$G$6,)</f>
        <v/>
      </c>
      <c r="B64" s="27" t="str">
        <f t="shared" si="1"/>
        <v/>
      </c>
      <c r="C64" s="14" t="str">
        <f>IF($A64&lt;&gt;"",MINIFS(Merchant!$A:$A,Merchant!$B:$B,$G$2),)</f>
        <v/>
      </c>
      <c r="D64" s="14" t="str">
        <f t="shared" si="2"/>
        <v/>
      </c>
      <c r="E64" s="14" t="str">
        <f t="shared" si="3"/>
        <v/>
      </c>
      <c r="F64" s="7" t="str">
        <f>IF($A64&lt;&gt;"",MAXIFS(Token!$C:$C,Token!$A:$A,$D64),)</f>
        <v/>
      </c>
      <c r="H64" s="6" t="str">
        <f>IFERROR(__xludf.DUMMYFUNCTION("""COMPUTED_VALUE"""),"156")</f>
        <v>156</v>
      </c>
      <c r="I64" s="6" t="str">
        <f>IFERROR(__xludf.DUMMYFUNCTION("""COMPUTED_VALUE"""),"1200000000")</f>
        <v>1200000000</v>
      </c>
      <c r="J64" s="6" t="str">
        <f>IFERROR(__xludf.DUMMYFUNCTION("""COMPUTED_VALUE"""),"8")</f>
        <v>8</v>
      </c>
      <c r="K64" s="6" t="str">
        <f>IFERROR(__xludf.DUMMYFUNCTION("""COMPUTED_VALUE"""),"agEUR")</f>
        <v>agEUR</v>
      </c>
      <c r="L64" s="6" t="str">
        <f>IFERROR(__xludf.DUMMYFUNCTION("""COMPUTED_VALUE"""),"1664104171")</f>
        <v>1664104171</v>
      </c>
    </row>
    <row r="65">
      <c r="A65" s="39" t="str">
        <f>IF(AND($L65*1&gt;=$G$3,$L65*1&lt;=$G$4,$I65*$J65&gt;0,OR($I65&lt;&gt;$I66,$L65-$L66&gt;25),IF(ABS($I65)&gt;10,$I65/POW(10,$J65),$J65/POW(10,$I65))*MAXIFS(Token!$C:$C,Token!$A:$A,$K65)&gt;0.01),$L65/86400+DATE(1970,1,1)+$G$6,)</f>
        <v/>
      </c>
      <c r="B65" s="27" t="str">
        <f t="shared" si="1"/>
        <v/>
      </c>
      <c r="C65" s="14" t="str">
        <f>IF($A65&lt;&gt;"",MINIFS(Merchant!$A:$A,Merchant!$B:$B,$G$2),)</f>
        <v/>
      </c>
      <c r="D65" s="14" t="str">
        <f t="shared" si="2"/>
        <v/>
      </c>
      <c r="E65" s="14" t="str">
        <f t="shared" si="3"/>
        <v/>
      </c>
      <c r="F65" s="7" t="str">
        <f>IF($A65&lt;&gt;"",MAXIFS(Token!$C:$C,Token!$A:$A,$D65),)</f>
        <v/>
      </c>
      <c r="H65" s="6" t="str">
        <f>IFERROR(__xludf.DUMMYFUNCTION("""COMPUTED_VALUE"""),"156")</f>
        <v>156</v>
      </c>
      <c r="I65" s="6" t="str">
        <f>IFERROR(__xludf.DUMMYFUNCTION("""COMPUTED_VALUE"""),"530000000")</f>
        <v>530000000</v>
      </c>
      <c r="J65" s="6" t="str">
        <f>IFERROR(__xludf.DUMMYFUNCTION("""COMPUTED_VALUE"""),"8")</f>
        <v>8</v>
      </c>
      <c r="K65" s="6" t="str">
        <f>IFERROR(__xludf.DUMMYFUNCTION("""COMPUTED_VALUE"""),"agEUR")</f>
        <v>agEUR</v>
      </c>
      <c r="L65" s="6" t="str">
        <f>IFERROR(__xludf.DUMMYFUNCTION("""COMPUTED_VALUE"""),"1664103972")</f>
        <v>1664103972</v>
      </c>
    </row>
    <row r="66">
      <c r="A66" s="39" t="str">
        <f>IF(AND($L66*1&gt;=$G$3,$L66*1&lt;=$G$4,$I66*$J66&gt;0,OR($I66&lt;&gt;$I67,$L66-$L67&gt;25),IF(ABS($I66)&gt;10,$I66/POW(10,$J66),$J66/POW(10,$I66))*MAXIFS(Token!$C:$C,Token!$A:$A,$K66)&gt;0.01),$L66/86400+DATE(1970,1,1)+$G$6,)</f>
        <v/>
      </c>
      <c r="B66" s="27" t="str">
        <f t="shared" si="1"/>
        <v/>
      </c>
      <c r="C66" s="14" t="str">
        <f>IF($A66&lt;&gt;"",MINIFS(Merchant!$A:$A,Merchant!$B:$B,$G$2),)</f>
        <v/>
      </c>
      <c r="D66" s="14" t="str">
        <f t="shared" si="2"/>
        <v/>
      </c>
      <c r="E66" s="14" t="str">
        <f t="shared" si="3"/>
        <v/>
      </c>
      <c r="F66" s="7" t="str">
        <f>IF($A66&lt;&gt;"",MAXIFS(Token!$C:$C,Token!$A:$A,$D66),)</f>
        <v/>
      </c>
      <c r="H66" s="6" t="str">
        <f>IFERROR(__xludf.DUMMYFUNCTION("""COMPUTED_VALUE"""),"156")</f>
        <v>156</v>
      </c>
      <c r="I66" s="6" t="str">
        <f>IFERROR(__xludf.DUMMYFUNCTION("""COMPUTED_VALUE"""),"1300000000")</f>
        <v>1300000000</v>
      </c>
      <c r="J66" s="6" t="str">
        <f>IFERROR(__xludf.DUMMYFUNCTION("""COMPUTED_VALUE"""),"8")</f>
        <v>8</v>
      </c>
      <c r="K66" s="6" t="str">
        <f>IFERROR(__xludf.DUMMYFUNCTION("""COMPUTED_VALUE"""),"agEUR")</f>
        <v>agEUR</v>
      </c>
      <c r="L66" s="6" t="str">
        <f>IFERROR(__xludf.DUMMYFUNCTION("""COMPUTED_VALUE"""),"1664017450")</f>
        <v>1664017450</v>
      </c>
    </row>
    <row r="67">
      <c r="A67" s="39" t="str">
        <f>IF(AND($L67*1&gt;=$G$3,$L67*1&lt;=$G$4,$I67*$J67&gt;0,OR($I67&lt;&gt;$I68,$L67-$L68&gt;25),IF(ABS($I67)&gt;10,$I67/POW(10,$J67),$J67/POW(10,$I67))*MAXIFS(Token!$C:$C,Token!$A:$A,$K67)&gt;0.01),$L67/86400+DATE(1970,1,1)+$G$6,)</f>
        <v/>
      </c>
      <c r="B67" s="27" t="str">
        <f t="shared" si="1"/>
        <v/>
      </c>
      <c r="C67" s="14" t="str">
        <f>IF($A67&lt;&gt;"",MINIFS(Merchant!$A:$A,Merchant!$B:$B,$G$2),)</f>
        <v/>
      </c>
      <c r="D67" s="14" t="str">
        <f t="shared" si="2"/>
        <v/>
      </c>
      <c r="E67" s="14" t="str">
        <f t="shared" si="3"/>
        <v/>
      </c>
      <c r="F67" s="7" t="str">
        <f>IF($A67&lt;&gt;"",MAXIFS(Token!$C:$C,Token!$A:$A,$D67),)</f>
        <v/>
      </c>
      <c r="H67" s="6" t="str">
        <f>IFERROR(__xludf.DUMMYFUNCTION("""COMPUTED_VALUE"""),"156")</f>
        <v>156</v>
      </c>
      <c r="I67" s="6" t="str">
        <f>IFERROR(__xludf.DUMMYFUNCTION("""COMPUTED_VALUE"""),"1000000")</f>
        <v>1000000</v>
      </c>
      <c r="J67" s="6" t="str">
        <f>IFERROR(__xludf.DUMMYFUNCTION("""COMPUTED_VALUE"""),"8")</f>
        <v>8</v>
      </c>
      <c r="K67" s="6" t="str">
        <f>IFERROR(__xludf.DUMMYFUNCTION("""COMPUTED_VALUE"""),"agEUR")</f>
        <v>agEUR</v>
      </c>
      <c r="L67" s="6" t="str">
        <f>IFERROR(__xludf.DUMMYFUNCTION("""COMPUTED_VALUE"""),"1663943993")</f>
        <v>1663943993</v>
      </c>
    </row>
    <row r="68">
      <c r="A68" s="39" t="str">
        <f>IF(AND($L68*1&gt;=$G$3,$L68*1&lt;=$G$4,$I68*$J68&gt;0,OR($I68&lt;&gt;$I69,$L68-$L69&gt;25),IF(ABS($I68)&gt;10,$I68/POW(10,$J68),$J68/POW(10,$I68))*MAXIFS(Token!$C:$C,Token!$A:$A,$K68)&gt;0.01),$L68/86400+DATE(1970,1,1)+$G$6,)</f>
        <v/>
      </c>
      <c r="B68" s="27" t="str">
        <f t="shared" si="1"/>
        <v/>
      </c>
      <c r="C68" s="14" t="str">
        <f>IF($A68&lt;&gt;"",MINIFS(Merchant!$A:$A,Merchant!$B:$B,$G$2),)</f>
        <v/>
      </c>
      <c r="D68" s="14" t="str">
        <f t="shared" si="2"/>
        <v/>
      </c>
      <c r="E68" s="14" t="str">
        <f t="shared" si="3"/>
        <v/>
      </c>
      <c r="F68" s="7" t="str">
        <f>IF($A68&lt;&gt;"",MAXIFS(Token!$C:$C,Token!$A:$A,$D68),)</f>
        <v/>
      </c>
      <c r="H68" s="6" t="str">
        <f>IFERROR(__xludf.DUMMYFUNCTION("""COMPUTED_VALUE"""),"156")</f>
        <v>156</v>
      </c>
      <c r="I68" s="6" t="str">
        <f>IFERROR(__xludf.DUMMYFUNCTION("""COMPUTED_VALUE"""),"750000000")</f>
        <v>750000000</v>
      </c>
      <c r="J68" s="6" t="str">
        <f>IFERROR(__xludf.DUMMYFUNCTION("""COMPUTED_VALUE"""),"8")</f>
        <v>8</v>
      </c>
      <c r="K68" s="6" t="str">
        <f>IFERROR(__xludf.DUMMYFUNCTION("""COMPUTED_VALUE"""),"agEUR")</f>
        <v>agEUR</v>
      </c>
      <c r="L68" s="6" t="str">
        <f>IFERROR(__xludf.DUMMYFUNCTION("""COMPUTED_VALUE"""),"1663929915")</f>
        <v>1663929915</v>
      </c>
    </row>
    <row r="69">
      <c r="A69" s="39" t="str">
        <f>IF(AND($L69*1&gt;=$G$3,$L69*1&lt;=$G$4,$I69*$J69&gt;0,OR($I69&lt;&gt;$I70,$L69-$L70&gt;25),IF(ABS($I69)&gt;10,$I69/POW(10,$J69),$J69/POW(10,$I69))*MAXIFS(Token!$C:$C,Token!$A:$A,$K69)&gt;0.01),$L69/86400+DATE(1970,1,1)+$G$6,)</f>
        <v/>
      </c>
      <c r="B69" s="27" t="str">
        <f t="shared" si="1"/>
        <v/>
      </c>
      <c r="C69" s="14" t="str">
        <f>IF($A69&lt;&gt;"",MINIFS(Merchant!$A:$A,Merchant!$B:$B,$G$2),)</f>
        <v/>
      </c>
      <c r="D69" s="14" t="str">
        <f t="shared" si="2"/>
        <v/>
      </c>
      <c r="E69" s="14" t="str">
        <f t="shared" si="3"/>
        <v/>
      </c>
      <c r="F69" s="7" t="str">
        <f>IF($A69&lt;&gt;"",MAXIFS(Token!$C:$C,Token!$A:$A,$D69),)</f>
        <v/>
      </c>
      <c r="H69" s="6" t="str">
        <f>IFERROR(__xludf.DUMMYFUNCTION("""COMPUTED_VALUE"""),"156")</f>
        <v>156</v>
      </c>
      <c r="I69" s="6" t="str">
        <f>IFERROR(__xludf.DUMMYFUNCTION("""COMPUTED_VALUE"""),"550000000")</f>
        <v>550000000</v>
      </c>
      <c r="J69" s="6" t="str">
        <f>IFERROR(__xludf.DUMMYFUNCTION("""COMPUTED_VALUE"""),"8")</f>
        <v>8</v>
      </c>
      <c r="K69" s="6" t="str">
        <f>IFERROR(__xludf.DUMMYFUNCTION("""COMPUTED_VALUE"""),"agEUR")</f>
        <v>agEUR</v>
      </c>
      <c r="L69" s="6" t="str">
        <f>IFERROR(__xludf.DUMMYFUNCTION("""COMPUTED_VALUE"""),"1663845310")</f>
        <v>1663845310</v>
      </c>
    </row>
    <row r="70">
      <c r="A70" s="39" t="str">
        <f>IF(AND($L70*1&gt;=$G$3,$L70*1&lt;=$G$4,$I70*$J70&gt;0,OR($I70&lt;&gt;$I71,$L70-$L71&gt;25),IF(ABS($I70)&gt;10,$I70/POW(10,$J70),$J70/POW(10,$I70))*MAXIFS(Token!$C:$C,Token!$A:$A,$K70)&gt;0.01),$L70/86400+DATE(1970,1,1)+$G$6,)</f>
        <v/>
      </c>
      <c r="B70" s="27" t="str">
        <f t="shared" si="1"/>
        <v/>
      </c>
      <c r="C70" s="14" t="str">
        <f>IF($A70&lt;&gt;"",MINIFS(Merchant!$A:$A,Merchant!$B:$B,$G$2),)</f>
        <v/>
      </c>
      <c r="D70" s="14" t="str">
        <f t="shared" si="2"/>
        <v/>
      </c>
      <c r="E70" s="14" t="str">
        <f t="shared" si="3"/>
        <v/>
      </c>
      <c r="F70" s="7" t="str">
        <f>IF($A70&lt;&gt;"",MAXIFS(Token!$C:$C,Token!$A:$A,$D70),)</f>
        <v/>
      </c>
      <c r="H70" s="6" t="str">
        <f>IFERROR(__xludf.DUMMYFUNCTION("""COMPUTED_VALUE"""),"156")</f>
        <v>156</v>
      </c>
      <c r="I70" s="6" t="str">
        <f>IFERROR(__xludf.DUMMYFUNCTION("""COMPUTED_VALUE"""),"-4170000000")</f>
        <v>-4170000000</v>
      </c>
      <c r="J70" s="6" t="str">
        <f>IFERROR(__xludf.DUMMYFUNCTION("""COMPUTED_VALUE"""),"8")</f>
        <v>8</v>
      </c>
      <c r="K70" s="6" t="str">
        <f>IFERROR(__xludf.DUMMYFUNCTION("""COMPUTED_VALUE"""),"agEUR")</f>
        <v>agEUR</v>
      </c>
      <c r="L70" s="6" t="str">
        <f>IFERROR(__xludf.DUMMYFUNCTION("""COMPUTED_VALUE"""),"1663620688")</f>
        <v>1663620688</v>
      </c>
    </row>
    <row r="71">
      <c r="A71" s="39" t="str">
        <f>IF(AND($L71*1&gt;=$G$3,$L71*1&lt;=$G$4,$I71*$J71&gt;0,OR($I71&lt;&gt;$I72,$L71-$L72&gt;25),IF(ABS($I71)&gt;10,$I71/POW(10,$J71),$J71/POW(10,$I71))*MAXIFS(Token!$C:$C,Token!$A:$A,$K71)&gt;0.01),$L71/86400+DATE(1970,1,1)+$G$6,)</f>
        <v/>
      </c>
      <c r="B71" s="27" t="str">
        <f t="shared" si="1"/>
        <v/>
      </c>
      <c r="C71" s="14" t="str">
        <f>IF($A71&lt;&gt;"",MINIFS(Merchant!$A:$A,Merchant!$B:$B,$G$2),)</f>
        <v/>
      </c>
      <c r="D71" s="14" t="str">
        <f t="shared" si="2"/>
        <v/>
      </c>
      <c r="E71" s="14" t="str">
        <f t="shared" si="3"/>
        <v/>
      </c>
      <c r="F71" s="7" t="str">
        <f>IF($A71&lt;&gt;"",MAXIFS(Token!$C:$C,Token!$A:$A,$D71),)</f>
        <v/>
      </c>
      <c r="H71" s="6" t="str">
        <f>IFERROR(__xludf.DUMMYFUNCTION("""COMPUTED_VALUE"""),"156")</f>
        <v>156</v>
      </c>
      <c r="I71" s="6" t="str">
        <f>IFERROR(__xludf.DUMMYFUNCTION("""COMPUTED_VALUE"""),"-3000000000")</f>
        <v>-3000000000</v>
      </c>
      <c r="J71" s="6" t="str">
        <f>IFERROR(__xludf.DUMMYFUNCTION("""COMPUTED_VALUE"""),"8")</f>
        <v>8</v>
      </c>
      <c r="K71" s="6" t="str">
        <f>IFERROR(__xludf.DUMMYFUNCTION("""COMPUTED_VALUE"""),"agEUR")</f>
        <v>agEUR</v>
      </c>
      <c r="L71" s="6" t="str">
        <f>IFERROR(__xludf.DUMMYFUNCTION("""COMPUTED_VALUE"""),"1663620669")</f>
        <v>1663620669</v>
      </c>
    </row>
    <row r="72">
      <c r="A72" s="39" t="str">
        <f>IF(AND($L72*1&gt;=$G$3,$L72*1&lt;=$G$4,$I72*$J72&gt;0,OR($I72&lt;&gt;$I73,$L72-$L73&gt;25),IF(ABS($I72)&gt;10,$I72/POW(10,$J72),$J72/POW(10,$I72))*MAXIFS(Token!$C:$C,Token!$A:$A,$K72)&gt;0.01),$L72/86400+DATE(1970,1,1)+$G$6,)</f>
        <v/>
      </c>
      <c r="B72" s="27" t="str">
        <f t="shared" si="1"/>
        <v/>
      </c>
      <c r="C72" s="14" t="str">
        <f>IF($A72&lt;&gt;"",MINIFS(Merchant!$A:$A,Merchant!$B:$B,$G$2),)</f>
        <v/>
      </c>
      <c r="D72" s="14" t="str">
        <f t="shared" si="2"/>
        <v/>
      </c>
      <c r="E72" s="14" t="str">
        <f t="shared" si="3"/>
        <v/>
      </c>
      <c r="F72" s="7" t="str">
        <f>IF($A72&lt;&gt;"",MAXIFS(Token!$C:$C,Token!$A:$A,$D72),)</f>
        <v/>
      </c>
      <c r="H72" s="6" t="str">
        <f>IFERROR(__xludf.DUMMYFUNCTION("""COMPUTED_VALUE"""),"156")</f>
        <v>156</v>
      </c>
      <c r="I72" s="6" t="str">
        <f>IFERROR(__xludf.DUMMYFUNCTION("""COMPUTED_VALUE"""),"2390000000")</f>
        <v>2390000000</v>
      </c>
      <c r="J72" s="6" t="str">
        <f>IFERROR(__xludf.DUMMYFUNCTION("""COMPUTED_VALUE"""),"8")</f>
        <v>8</v>
      </c>
      <c r="K72" s="6" t="str">
        <f>IFERROR(__xludf.DUMMYFUNCTION("""COMPUTED_VALUE"""),"agEUR")</f>
        <v>agEUR</v>
      </c>
      <c r="L72" s="6" t="str">
        <f>IFERROR(__xludf.DUMMYFUNCTION("""COMPUTED_VALUE"""),"1663498267")</f>
        <v>1663498267</v>
      </c>
    </row>
    <row r="73">
      <c r="A73" s="39" t="str">
        <f>IF(AND($L73*1&gt;=$G$3,$L73*1&lt;=$G$4,$I73*$J73&gt;0,OR($I73&lt;&gt;$I74,$L73-$L74&gt;25),IF(ABS($I73)&gt;10,$I73/POW(10,$J73),$J73/POW(10,$I73))*MAXIFS(Token!$C:$C,Token!$A:$A,$K73)&gt;0.01),$L73/86400+DATE(1970,1,1)+$G$6,)</f>
        <v/>
      </c>
      <c r="B73" s="27" t="str">
        <f t="shared" si="1"/>
        <v/>
      </c>
      <c r="C73" s="14" t="str">
        <f>IF($A73&lt;&gt;"",MINIFS(Merchant!$A:$A,Merchant!$B:$B,$G$2),)</f>
        <v/>
      </c>
      <c r="D73" s="14" t="str">
        <f t="shared" si="2"/>
        <v/>
      </c>
      <c r="E73" s="14" t="str">
        <f t="shared" si="3"/>
        <v/>
      </c>
      <c r="F73" s="7" t="str">
        <f>IF($A73&lt;&gt;"",MAXIFS(Token!$C:$C,Token!$A:$A,$D73),)</f>
        <v/>
      </c>
      <c r="H73" s="6" t="str">
        <f>IFERROR(__xludf.DUMMYFUNCTION("""COMPUTED_VALUE"""),"156")</f>
        <v>156</v>
      </c>
      <c r="I73" s="6" t="str">
        <f>IFERROR(__xludf.DUMMYFUNCTION("""COMPUTED_VALUE"""),"1800000000")</f>
        <v>1800000000</v>
      </c>
      <c r="J73" s="6" t="str">
        <f>IFERROR(__xludf.DUMMYFUNCTION("""COMPUTED_VALUE"""),"8")</f>
        <v>8</v>
      </c>
      <c r="K73" s="6" t="str">
        <f>IFERROR(__xludf.DUMMYFUNCTION("""COMPUTED_VALUE"""),"agEUR")</f>
        <v>agEUR</v>
      </c>
      <c r="L73" s="6" t="str">
        <f>IFERROR(__xludf.DUMMYFUNCTION("""COMPUTED_VALUE"""),"1663497455")</f>
        <v>1663497455</v>
      </c>
    </row>
    <row r="74">
      <c r="A74" s="39" t="str">
        <f>IF(AND($L74*1&gt;=$G$3,$L74*1&lt;=$G$4,$I74*$J74&gt;0,OR($I74&lt;&gt;$I75,$L74-$L75&gt;25),IF(ABS($I74)&gt;10,$I74/POW(10,$J74),$J74/POW(10,$I74))*MAXIFS(Token!$C:$C,Token!$A:$A,$K74)&gt;0.01),$L74/86400+DATE(1970,1,1)+$G$6,)</f>
        <v/>
      </c>
      <c r="B74" s="27" t="str">
        <f t="shared" si="1"/>
        <v/>
      </c>
      <c r="C74" s="14" t="str">
        <f>IF($A74&lt;&gt;"",MINIFS(Merchant!$A:$A,Merchant!$B:$B,$G$2),)</f>
        <v/>
      </c>
      <c r="D74" s="14" t="str">
        <f t="shared" si="2"/>
        <v/>
      </c>
      <c r="E74" s="14" t="str">
        <f t="shared" si="3"/>
        <v/>
      </c>
      <c r="F74" s="7" t="str">
        <f>IF($A74&lt;&gt;"",MAXIFS(Token!$C:$C,Token!$A:$A,$D74),)</f>
        <v/>
      </c>
      <c r="H74" s="6" t="str">
        <f>IFERROR(__xludf.DUMMYFUNCTION("""COMPUTED_VALUE"""),"156")</f>
        <v>156</v>
      </c>
      <c r="I74" s="6" t="str">
        <f>IFERROR(__xludf.DUMMYFUNCTION("""COMPUTED_VALUE"""),"300000000")</f>
        <v>300000000</v>
      </c>
      <c r="J74" s="6" t="str">
        <f>IFERROR(__xludf.DUMMYFUNCTION("""COMPUTED_VALUE"""),"8")</f>
        <v>8</v>
      </c>
      <c r="K74" s="6" t="str">
        <f>IFERROR(__xludf.DUMMYFUNCTION("""COMPUTED_VALUE"""),"agEUR")</f>
        <v>agEUR</v>
      </c>
      <c r="L74" s="6" t="str">
        <f>IFERROR(__xludf.DUMMYFUNCTION("""COMPUTED_VALUE"""),"1663413580")</f>
        <v>1663413580</v>
      </c>
    </row>
    <row r="75">
      <c r="A75" s="39" t="str">
        <f>IF(AND($L75*1&gt;=$G$3,$L75*1&lt;=$G$4,$I75*$J75&gt;0,OR($I75&lt;&gt;$I76,$L75-$L76&gt;25),IF(ABS($I75)&gt;10,$I75/POW(10,$J75),$J75/POW(10,$I75))*MAXIFS(Token!$C:$C,Token!$A:$A,$K75)&gt;0.01),$L75/86400+DATE(1970,1,1)+$G$6,)</f>
        <v/>
      </c>
      <c r="B75" s="27" t="str">
        <f t="shared" si="1"/>
        <v/>
      </c>
      <c r="C75" s="14" t="str">
        <f>IF($A75&lt;&gt;"",MINIFS(Merchant!$A:$A,Merchant!$B:$B,$G$2),)</f>
        <v/>
      </c>
      <c r="D75" s="14" t="str">
        <f t="shared" si="2"/>
        <v/>
      </c>
      <c r="E75" s="14" t="str">
        <f t="shared" si="3"/>
        <v/>
      </c>
      <c r="F75" s="7" t="str">
        <f>IF($A75&lt;&gt;"",MAXIFS(Token!$C:$C,Token!$A:$A,$D75),)</f>
        <v/>
      </c>
      <c r="H75" s="6" t="str">
        <f>IFERROR(__xludf.DUMMYFUNCTION("""COMPUTED_VALUE"""),"156")</f>
        <v>156</v>
      </c>
      <c r="I75" s="6" t="str">
        <f>IFERROR(__xludf.DUMMYFUNCTION("""COMPUTED_VALUE"""),"1690000000")</f>
        <v>1690000000</v>
      </c>
      <c r="J75" s="6" t="str">
        <f>IFERROR(__xludf.DUMMYFUNCTION("""COMPUTED_VALUE"""),"8")</f>
        <v>8</v>
      </c>
      <c r="K75" s="6" t="str">
        <f>IFERROR(__xludf.DUMMYFUNCTION("""COMPUTED_VALUE"""),"agEUR")</f>
        <v>agEUR</v>
      </c>
      <c r="L75" s="6" t="str">
        <f>IFERROR(__xludf.DUMMYFUNCTION("""COMPUTED_VALUE"""),"1663413512")</f>
        <v>1663413512</v>
      </c>
    </row>
    <row r="76">
      <c r="A76" s="39" t="str">
        <f>IF(AND($L76*1&gt;=$G$3,$L76*1&lt;=$G$4,$I76*$J76&gt;0,OR($I76&lt;&gt;$I77,$L76-$L77&gt;25),IF(ABS($I76)&gt;10,$I76/POW(10,$J76),$J76/POW(10,$I76))*MAXIFS(Token!$C:$C,Token!$A:$A,$K76)&gt;0.01),$L76/86400+DATE(1970,1,1)+$G$6,)</f>
        <v/>
      </c>
      <c r="B76" s="27" t="str">
        <f t="shared" si="1"/>
        <v/>
      </c>
      <c r="C76" s="14" t="str">
        <f>IF($A76&lt;&gt;"",MINIFS(Merchant!$A:$A,Merchant!$B:$B,$G$2),)</f>
        <v/>
      </c>
      <c r="D76" s="14" t="str">
        <f t="shared" si="2"/>
        <v/>
      </c>
      <c r="E76" s="14" t="str">
        <f t="shared" si="3"/>
        <v/>
      </c>
      <c r="F76" s="7" t="str">
        <f>IF($A76&lt;&gt;"",MAXIFS(Token!$C:$C,Token!$A:$A,$D76),)</f>
        <v/>
      </c>
      <c r="H76" s="6" t="str">
        <f>IFERROR(__xludf.DUMMYFUNCTION("""COMPUTED_VALUE"""),"156")</f>
        <v>156</v>
      </c>
      <c r="I76" s="6" t="str">
        <f>IFERROR(__xludf.DUMMYFUNCTION("""COMPUTED_VALUE"""),"430000000")</f>
        <v>430000000</v>
      </c>
      <c r="J76" s="6" t="str">
        <f>IFERROR(__xludf.DUMMYFUNCTION("""COMPUTED_VALUE"""),"8")</f>
        <v>8</v>
      </c>
      <c r="K76" s="6" t="str">
        <f>IFERROR(__xludf.DUMMYFUNCTION("""COMPUTED_VALUE"""),"agEUR")</f>
        <v>agEUR</v>
      </c>
      <c r="L76" s="6" t="str">
        <f>IFERROR(__xludf.DUMMYFUNCTION("""COMPUTED_VALUE"""),"1663326361")</f>
        <v>1663326361</v>
      </c>
    </row>
    <row r="77">
      <c r="A77" s="39" t="str">
        <f>IF(AND($L77*1&gt;=$G$3,$L77*1&lt;=$G$4,$I77*$J77&gt;0,OR($I77&lt;&gt;$I78,$L77-$L78&gt;25),IF(ABS($I77)&gt;10,$I77/POW(10,$J77),$J77/POW(10,$I77))*MAXIFS(Token!$C:$C,Token!$A:$A,$K77)&gt;0.01),$L77/86400+DATE(1970,1,1)+$G$6,)</f>
        <v/>
      </c>
      <c r="B77" s="27" t="str">
        <f t="shared" si="1"/>
        <v/>
      </c>
      <c r="C77" s="14" t="str">
        <f>IF($A77&lt;&gt;"",MINIFS(Merchant!$A:$A,Merchant!$B:$B,$G$2),)</f>
        <v/>
      </c>
      <c r="D77" s="14" t="str">
        <f t="shared" si="2"/>
        <v/>
      </c>
      <c r="E77" s="14" t="str">
        <f t="shared" si="3"/>
        <v/>
      </c>
      <c r="F77" s="7" t="str">
        <f>IF($A77&lt;&gt;"",MAXIFS(Token!$C:$C,Token!$A:$A,$D77),)</f>
        <v/>
      </c>
      <c r="H77" s="6" t="str">
        <f>IFERROR(__xludf.DUMMYFUNCTION("""COMPUTED_VALUE"""),"156")</f>
        <v>156</v>
      </c>
      <c r="I77" s="6" t="str">
        <f>IFERROR(__xludf.DUMMYFUNCTION("""COMPUTED_VALUE"""),"560000000")</f>
        <v>560000000</v>
      </c>
      <c r="J77" s="6" t="str">
        <f>IFERROR(__xludf.DUMMYFUNCTION("""COMPUTED_VALUE"""),"8")</f>
        <v>8</v>
      </c>
      <c r="K77" s="6" t="str">
        <f>IFERROR(__xludf.DUMMYFUNCTION("""COMPUTED_VALUE"""),"agEUR")</f>
        <v>agEUR</v>
      </c>
      <c r="L77" s="6" t="str">
        <f>IFERROR(__xludf.DUMMYFUNCTION("""COMPUTED_VALUE"""),"1663229728")</f>
        <v>1663229728</v>
      </c>
    </row>
    <row r="78">
      <c r="A78" s="39" t="str">
        <f>IF(AND($L78*1&gt;=$G$3,$L78*1&lt;=$G$4,$I78*$J78&gt;0,OR($I78&lt;&gt;$I79,$L78-$L79&gt;25),IF(ABS($I78)&gt;10,$I78/POW(10,$J78),$J78/POW(10,$I78))*MAXIFS(Token!$C:$C,Token!$A:$A,$K78)&gt;0.01),$L78/86400+DATE(1970,1,1)+$G$6,)</f>
        <v/>
      </c>
      <c r="B78" s="27" t="str">
        <f t="shared" si="1"/>
        <v/>
      </c>
      <c r="C78" s="14" t="str">
        <f>IF($A78&lt;&gt;"",MINIFS(Merchant!$A:$A,Merchant!$B:$B,$G$2),)</f>
        <v/>
      </c>
      <c r="D78" s="14" t="str">
        <f t="shared" si="2"/>
        <v/>
      </c>
      <c r="E78" s="14" t="str">
        <f t="shared" si="3"/>
        <v/>
      </c>
      <c r="F78" s="7" t="str">
        <f>IF($A78&lt;&gt;"",MAXIFS(Token!$C:$C,Token!$A:$A,$D78),)</f>
        <v/>
      </c>
      <c r="H78" s="6" t="str">
        <f>IFERROR(__xludf.DUMMYFUNCTION("""COMPUTED_VALUE"""),"156")</f>
        <v>156</v>
      </c>
      <c r="I78" s="6" t="str">
        <f>IFERROR(__xludf.DUMMYFUNCTION("""COMPUTED_VALUE"""),"-4174000000")</f>
        <v>-4174000000</v>
      </c>
      <c r="J78" s="6" t="str">
        <f>IFERROR(__xludf.DUMMYFUNCTION("""COMPUTED_VALUE"""),"8")</f>
        <v>8</v>
      </c>
      <c r="K78" s="6" t="str">
        <f>IFERROR(__xludf.DUMMYFUNCTION("""COMPUTED_VALUE"""),"agEUR")</f>
        <v>agEUR</v>
      </c>
      <c r="L78" s="6" t="str">
        <f>IFERROR(__xludf.DUMMYFUNCTION("""COMPUTED_VALUE"""),"1663003663")</f>
        <v>1663003663</v>
      </c>
    </row>
    <row r="79">
      <c r="A79" s="39" t="str">
        <f>IF(AND($L79*1&gt;=$G$3,$L79*1&lt;=$G$4,$I79*$J79&gt;0,OR($I79&lt;&gt;$I80,$L79-$L80&gt;25),IF(ABS($I79)&gt;10,$I79/POW(10,$J79),$J79/POW(10,$I79))*MAXIFS(Token!$C:$C,Token!$A:$A,$K79)&gt;0.01),$L79/86400+DATE(1970,1,1)+$G$6,)</f>
        <v/>
      </c>
      <c r="B79" s="27" t="str">
        <f t="shared" si="1"/>
        <v/>
      </c>
      <c r="C79" s="14" t="str">
        <f>IF($A79&lt;&gt;"",MINIFS(Merchant!$A:$A,Merchant!$B:$B,$G$2),)</f>
        <v/>
      </c>
      <c r="D79" s="14" t="str">
        <f t="shared" si="2"/>
        <v/>
      </c>
      <c r="E79" s="14" t="str">
        <f t="shared" si="3"/>
        <v/>
      </c>
      <c r="F79" s="7" t="str">
        <f>IF($A79&lt;&gt;"",MAXIFS(Token!$C:$C,Token!$A:$A,$D79),)</f>
        <v/>
      </c>
      <c r="H79" s="6" t="str">
        <f>IFERROR(__xludf.DUMMYFUNCTION("""COMPUTED_VALUE"""),"156")</f>
        <v>156</v>
      </c>
      <c r="I79" s="6" t="str">
        <f>IFERROR(__xludf.DUMMYFUNCTION("""COMPUTED_VALUE"""),"1850000000")</f>
        <v>1850000000</v>
      </c>
      <c r="J79" s="6" t="str">
        <f>IFERROR(__xludf.DUMMYFUNCTION("""COMPUTED_VALUE"""),"8")</f>
        <v>8</v>
      </c>
      <c r="K79" s="6" t="str">
        <f>IFERROR(__xludf.DUMMYFUNCTION("""COMPUTED_VALUE"""),"agEUR")</f>
        <v>agEUR</v>
      </c>
      <c r="L79" s="6" t="str">
        <f>IFERROR(__xludf.DUMMYFUNCTION("""COMPUTED_VALUE"""),"1662883863")</f>
        <v>1662883863</v>
      </c>
    </row>
    <row r="80">
      <c r="A80" s="39" t="str">
        <f>IF(AND($L80*1&gt;=$G$3,$L80*1&lt;=$G$4,$I80*$J80&gt;0,OR($I80&lt;&gt;$I81,$L80-$L81&gt;25),IF(ABS($I80)&gt;10,$I80/POW(10,$J80),$J80/POW(10,$I80))*MAXIFS(Token!$C:$C,Token!$A:$A,$K80)&gt;0.01),$L80/86400+DATE(1970,1,1)+$G$6,)</f>
        <v/>
      </c>
      <c r="B80" s="27" t="str">
        <f t="shared" si="1"/>
        <v/>
      </c>
      <c r="C80" s="14" t="str">
        <f>IF($A80&lt;&gt;"",MINIFS(Merchant!$A:$A,Merchant!$B:$B,$G$2),)</f>
        <v/>
      </c>
      <c r="D80" s="14" t="str">
        <f t="shared" si="2"/>
        <v/>
      </c>
      <c r="E80" s="14" t="str">
        <f t="shared" si="3"/>
        <v/>
      </c>
      <c r="F80" s="7" t="str">
        <f>IF($A80&lt;&gt;"",MAXIFS(Token!$C:$C,Token!$A:$A,$D80),)</f>
        <v/>
      </c>
      <c r="H80" s="6" t="str">
        <f>IFERROR(__xludf.DUMMYFUNCTION("""COMPUTED_VALUE"""),"156")</f>
        <v>156</v>
      </c>
      <c r="I80" s="6" t="str">
        <f>IFERROR(__xludf.DUMMYFUNCTION("""COMPUTED_VALUE"""),"1010000000")</f>
        <v>1010000000</v>
      </c>
      <c r="J80" s="6" t="str">
        <f>IFERROR(__xludf.DUMMYFUNCTION("""COMPUTED_VALUE"""),"8")</f>
        <v>8</v>
      </c>
      <c r="K80" s="6" t="str">
        <f>IFERROR(__xludf.DUMMYFUNCTION("""COMPUTED_VALUE"""),"agEUR")</f>
        <v>agEUR</v>
      </c>
      <c r="L80" s="6" t="str">
        <f>IFERROR(__xludf.DUMMYFUNCTION("""COMPUTED_VALUE"""),"1662805656")</f>
        <v>1662805656</v>
      </c>
    </row>
    <row r="81">
      <c r="A81" s="39" t="str">
        <f>IF(AND($L81*1&gt;=$G$3,$L81*1&lt;=$G$4,$I81*$J81&gt;0,OR($I81&lt;&gt;$I82,$L81-$L82&gt;25),IF(ABS($I81)&gt;10,$I81/POW(10,$J81),$J81/POW(10,$I81))*MAXIFS(Token!$C:$C,Token!$A:$A,$K81)&gt;0.01),$L81/86400+DATE(1970,1,1)+$G$6,)</f>
        <v/>
      </c>
      <c r="B81" s="27" t="str">
        <f t="shared" si="1"/>
        <v/>
      </c>
      <c r="C81" s="14" t="str">
        <f>IF($A81&lt;&gt;"",MINIFS(Merchant!$A:$A,Merchant!$B:$B,$G$2),)</f>
        <v/>
      </c>
      <c r="D81" s="14" t="str">
        <f t="shared" si="2"/>
        <v/>
      </c>
      <c r="E81" s="14" t="str">
        <f t="shared" si="3"/>
        <v/>
      </c>
      <c r="F81" s="7" t="str">
        <f>IF($A81&lt;&gt;"",MAXIFS(Token!$C:$C,Token!$A:$A,$D81),)</f>
        <v/>
      </c>
      <c r="H81" s="6" t="str">
        <f>IFERROR(__xludf.DUMMYFUNCTION("""COMPUTED_VALUE"""),"156")</f>
        <v>156</v>
      </c>
      <c r="I81" s="6" t="str">
        <f>IFERROR(__xludf.DUMMYFUNCTION("""COMPUTED_VALUE"""),"1000000")</f>
        <v>1000000</v>
      </c>
      <c r="J81" s="6" t="str">
        <f>IFERROR(__xludf.DUMMYFUNCTION("""COMPUTED_VALUE"""),"8")</f>
        <v>8</v>
      </c>
      <c r="K81" s="6" t="str">
        <f>IFERROR(__xludf.DUMMYFUNCTION("""COMPUTED_VALUE"""),"agEUR")</f>
        <v>agEUR</v>
      </c>
      <c r="L81" s="6" t="str">
        <f>IFERROR(__xludf.DUMMYFUNCTION("""COMPUTED_VALUE"""),"1662721353")</f>
        <v>1662721353</v>
      </c>
    </row>
    <row r="82">
      <c r="A82" s="39" t="str">
        <f>IF(AND($L82*1&gt;=$G$3,$L82*1&lt;=$G$4,$I82*$J82&gt;0,OR($I82&lt;&gt;$I83,$L82-$L83&gt;25),IF(ABS($I82)&gt;10,$I82/POW(10,$J82),$J82/POW(10,$I82))*MAXIFS(Token!$C:$C,Token!$A:$A,$K82)&gt;0.01),$L82/86400+DATE(1970,1,1)+$G$6,)</f>
        <v/>
      </c>
      <c r="B82" s="27" t="str">
        <f t="shared" si="1"/>
        <v/>
      </c>
      <c r="C82" s="14" t="str">
        <f>IF($A82&lt;&gt;"",MINIFS(Merchant!$A:$A,Merchant!$B:$B,$G$2),)</f>
        <v/>
      </c>
      <c r="D82" s="14" t="str">
        <f t="shared" si="2"/>
        <v/>
      </c>
      <c r="E82" s="14" t="str">
        <f t="shared" si="3"/>
        <v/>
      </c>
      <c r="F82" s="7" t="str">
        <f>IF($A82&lt;&gt;"",MAXIFS(Token!$C:$C,Token!$A:$A,$D82),)</f>
        <v/>
      </c>
      <c r="H82" s="6" t="str">
        <f>IFERROR(__xludf.DUMMYFUNCTION("""COMPUTED_VALUE"""),"156")</f>
        <v>156</v>
      </c>
      <c r="I82" s="6" t="str">
        <f>IFERROR(__xludf.DUMMYFUNCTION("""COMPUTED_VALUE"""),"1000000")</f>
        <v>1000000</v>
      </c>
      <c r="J82" s="6" t="str">
        <f>IFERROR(__xludf.DUMMYFUNCTION("""COMPUTED_VALUE"""),"8")</f>
        <v>8</v>
      </c>
      <c r="K82" s="6" t="str">
        <f>IFERROR(__xludf.DUMMYFUNCTION("""COMPUTED_VALUE"""),"agEUR")</f>
        <v>agEUR</v>
      </c>
      <c r="L82" s="6" t="str">
        <f>IFERROR(__xludf.DUMMYFUNCTION("""COMPUTED_VALUE"""),"1662721294")</f>
        <v>1662721294</v>
      </c>
    </row>
    <row r="83">
      <c r="A83" s="39" t="str">
        <f>IF(AND($L83*1&gt;=$G$3,$L83*1&lt;=$G$4,$I83*$J83&gt;0,OR($I83&lt;&gt;$I84,$L83-$L84&gt;25),IF(ABS($I83)&gt;10,$I83/POW(10,$J83),$J83/POW(10,$I83))*MAXIFS(Token!$C:$C,Token!$A:$A,$K83)&gt;0.01),$L83/86400+DATE(1970,1,1)+$G$6,)</f>
        <v/>
      </c>
      <c r="B83" s="27" t="str">
        <f t="shared" si="1"/>
        <v/>
      </c>
      <c r="C83" s="14" t="str">
        <f>IF($A83&lt;&gt;"",MINIFS(Merchant!$A:$A,Merchant!$B:$B,$G$2),)</f>
        <v/>
      </c>
      <c r="D83" s="14" t="str">
        <f t="shared" si="2"/>
        <v/>
      </c>
      <c r="E83" s="14" t="str">
        <f t="shared" si="3"/>
        <v/>
      </c>
      <c r="F83" s="7" t="str">
        <f>IF($A83&lt;&gt;"",MAXIFS(Token!$C:$C,Token!$A:$A,$D83),)</f>
        <v/>
      </c>
      <c r="H83" s="6" t="str">
        <f>IFERROR(__xludf.DUMMYFUNCTION("""COMPUTED_VALUE"""),"156")</f>
        <v>156</v>
      </c>
      <c r="I83" s="6" t="str">
        <f>IFERROR(__xludf.DUMMYFUNCTION("""COMPUTED_VALUE"""),"450000000")</f>
        <v>450000000</v>
      </c>
      <c r="J83" s="6" t="str">
        <f>IFERROR(__xludf.DUMMYFUNCTION("""COMPUTED_VALUE"""),"8")</f>
        <v>8</v>
      </c>
      <c r="K83" s="6" t="str">
        <f>IFERROR(__xludf.DUMMYFUNCTION("""COMPUTED_VALUE"""),"agEUR")</f>
        <v>agEUR</v>
      </c>
      <c r="L83" s="6" t="str">
        <f>IFERROR(__xludf.DUMMYFUNCTION("""COMPUTED_VALUE"""),"1662721176")</f>
        <v>1662721176</v>
      </c>
    </row>
    <row r="84">
      <c r="A84" s="39" t="str">
        <f>IF(AND($L84*1&gt;=$G$3,$L84*1&lt;=$G$4,$I84*$J84&gt;0,OR($I84&lt;&gt;$I85,$L84-$L85&gt;25),IF(ABS($I84)&gt;10,$I84/POW(10,$J84),$J84/POW(10,$I84))*MAXIFS(Token!$C:$C,Token!$A:$A,$K84)&gt;0.01),$L84/86400+DATE(1970,1,1)+$G$6,)</f>
        <v/>
      </c>
      <c r="B84" s="27" t="str">
        <f t="shared" si="1"/>
        <v/>
      </c>
      <c r="C84" s="14" t="str">
        <f>IF($A84&lt;&gt;"",MINIFS(Merchant!$A:$A,Merchant!$B:$B,$G$2),)</f>
        <v/>
      </c>
      <c r="D84" s="14" t="str">
        <f t="shared" si="2"/>
        <v/>
      </c>
      <c r="E84" s="14" t="str">
        <f t="shared" si="3"/>
        <v/>
      </c>
      <c r="F84" s="7" t="str">
        <f>IF($A84&lt;&gt;"",MAXIFS(Token!$C:$C,Token!$A:$A,$D84),)</f>
        <v/>
      </c>
      <c r="H84" s="6" t="str">
        <f>IFERROR(__xludf.DUMMYFUNCTION("""COMPUTED_VALUE"""),"156")</f>
        <v>156</v>
      </c>
      <c r="I84" s="6" t="str">
        <f>IFERROR(__xludf.DUMMYFUNCTION("""COMPUTED_VALUE"""),"1000000")</f>
        <v>1000000</v>
      </c>
      <c r="J84" s="6" t="str">
        <f>IFERROR(__xludf.DUMMYFUNCTION("""COMPUTED_VALUE"""),"8")</f>
        <v>8</v>
      </c>
      <c r="K84" s="6" t="str">
        <f>IFERROR(__xludf.DUMMYFUNCTION("""COMPUTED_VALUE"""),"agEUR")</f>
        <v>agEUR</v>
      </c>
      <c r="L84" s="6" t="str">
        <f>IFERROR(__xludf.DUMMYFUNCTION("""COMPUTED_VALUE"""),"1662646410")</f>
        <v>1662646410</v>
      </c>
    </row>
    <row r="85">
      <c r="A85" s="39" t="str">
        <f>IF(AND($L85*1&gt;=$G$3,$L85*1&lt;=$G$4,$I85*$J85&gt;0,OR($I85&lt;&gt;$I86,$L85-$L86&gt;25),IF(ABS($I85)&gt;10,$I85/POW(10,$J85),$J85/POW(10,$I85))*MAXIFS(Token!$C:$C,Token!$A:$A,$K85)&gt;0.01),$L85/86400+DATE(1970,1,1)+$G$6,)</f>
        <v/>
      </c>
      <c r="B85" s="27" t="str">
        <f t="shared" si="1"/>
        <v/>
      </c>
      <c r="C85" s="14" t="str">
        <f>IF($A85&lt;&gt;"",MINIFS(Merchant!$A:$A,Merchant!$B:$B,$G$2),)</f>
        <v/>
      </c>
      <c r="D85" s="14" t="str">
        <f t="shared" si="2"/>
        <v/>
      </c>
      <c r="E85" s="14" t="str">
        <f t="shared" si="3"/>
        <v/>
      </c>
      <c r="F85" s="7" t="str">
        <f>IF($A85&lt;&gt;"",MAXIFS(Token!$C:$C,Token!$A:$A,$D85),)</f>
        <v/>
      </c>
      <c r="H85" s="6" t="str">
        <f>IFERROR(__xludf.DUMMYFUNCTION("""COMPUTED_VALUE"""),"156")</f>
        <v>156</v>
      </c>
      <c r="I85" s="6" t="str">
        <f>IFERROR(__xludf.DUMMYFUNCTION("""COMPUTED_VALUE"""),"260000000")</f>
        <v>260000000</v>
      </c>
      <c r="J85" s="6" t="str">
        <f>IFERROR(__xludf.DUMMYFUNCTION("""COMPUTED_VALUE"""),"8")</f>
        <v>8</v>
      </c>
      <c r="K85" s="6" t="str">
        <f>IFERROR(__xludf.DUMMYFUNCTION("""COMPUTED_VALUE"""),"agEUR")</f>
        <v>agEUR</v>
      </c>
      <c r="L85" s="6" t="str">
        <f>IFERROR(__xludf.DUMMYFUNCTION("""COMPUTED_VALUE"""),"1662622540")</f>
        <v>1662622540</v>
      </c>
    </row>
    <row r="86">
      <c r="A86" s="39" t="str">
        <f>IF(AND($L86*1&gt;=$G$3,$L86*1&lt;=$G$4,$I86*$J86&gt;0,OR($I86&lt;&gt;$I87,$L86-$L87&gt;25),IF(ABS($I86)&gt;10,$I86/POW(10,$J86),$J86/POW(10,$I86))*MAXIFS(Token!$C:$C,Token!$A:$A,$K86)&gt;0.01),$L86/86400+DATE(1970,1,1)+$G$6,)</f>
        <v/>
      </c>
      <c r="B86" s="27" t="str">
        <f t="shared" si="1"/>
        <v/>
      </c>
      <c r="C86" s="14" t="str">
        <f>IF($A86&lt;&gt;"",MINIFS(Merchant!$A:$A,Merchant!$B:$B,$G$2),)</f>
        <v/>
      </c>
      <c r="D86" s="14" t="str">
        <f t="shared" si="2"/>
        <v/>
      </c>
      <c r="E86" s="14" t="str">
        <f t="shared" si="3"/>
        <v/>
      </c>
      <c r="F86" s="7" t="str">
        <f>IF($A86&lt;&gt;"",MAXIFS(Token!$C:$C,Token!$A:$A,$D86),)</f>
        <v/>
      </c>
      <c r="H86" s="6" t="str">
        <f>IFERROR(__xludf.DUMMYFUNCTION("""COMPUTED_VALUE"""),"156")</f>
        <v>156</v>
      </c>
      <c r="I86" s="6" t="str">
        <f>IFERROR(__xludf.DUMMYFUNCTION("""COMPUTED_VALUE"""),"300000000")</f>
        <v>300000000</v>
      </c>
      <c r="J86" s="6" t="str">
        <f>IFERROR(__xludf.DUMMYFUNCTION("""COMPUTED_VALUE"""),"8")</f>
        <v>8</v>
      </c>
      <c r="K86" s="6" t="str">
        <f>IFERROR(__xludf.DUMMYFUNCTION("""COMPUTED_VALUE"""),"agEUR")</f>
        <v>agEUR</v>
      </c>
      <c r="L86" s="6" t="str">
        <f>IFERROR(__xludf.DUMMYFUNCTION("""COMPUTED_VALUE"""),"1662622471")</f>
        <v>1662622471</v>
      </c>
    </row>
    <row r="87">
      <c r="A87" s="39" t="str">
        <f>IF(AND($L87*1&gt;=$G$3,$L87*1&lt;=$G$4,$I87*$J87&gt;0,OR($I87&lt;&gt;$I88,$L87-$L88&gt;25),IF(ABS($I87)&gt;10,$I87/POW(10,$J87),$J87/POW(10,$I87))*MAXIFS(Token!$C:$C,Token!$A:$A,$K87)&gt;0.01),$L87/86400+DATE(1970,1,1)+$G$6,)</f>
        <v/>
      </c>
      <c r="B87" s="27" t="str">
        <f t="shared" si="1"/>
        <v/>
      </c>
      <c r="C87" s="14" t="str">
        <f>IF($A87&lt;&gt;"",MINIFS(Merchant!$A:$A,Merchant!$B:$B,$G$2),)</f>
        <v/>
      </c>
      <c r="D87" s="14" t="str">
        <f t="shared" si="2"/>
        <v/>
      </c>
      <c r="E87" s="14" t="str">
        <f t="shared" si="3"/>
        <v/>
      </c>
      <c r="F87" s="7" t="str">
        <f>IF($A87&lt;&gt;"",MAXIFS(Token!$C:$C,Token!$A:$A,$D87),)</f>
        <v/>
      </c>
      <c r="H87" s="6" t="str">
        <f>IFERROR(__xludf.DUMMYFUNCTION("""COMPUTED_VALUE"""),"156")</f>
        <v>156</v>
      </c>
      <c r="I87" s="6" t="str">
        <f>IFERROR(__xludf.DUMMYFUNCTION("""COMPUTED_VALUE"""),"300000000")</f>
        <v>300000000</v>
      </c>
      <c r="J87" s="6" t="str">
        <f>IFERROR(__xludf.DUMMYFUNCTION("""COMPUTED_VALUE"""),"8")</f>
        <v>8</v>
      </c>
      <c r="K87" s="6" t="str">
        <f>IFERROR(__xludf.DUMMYFUNCTION("""COMPUTED_VALUE"""),"agEUR")</f>
        <v>agEUR</v>
      </c>
      <c r="L87" s="6" t="str">
        <f>IFERROR(__xludf.DUMMYFUNCTION("""COMPUTED_VALUE"""),"1662622452")</f>
        <v>1662622452</v>
      </c>
    </row>
    <row r="88">
      <c r="A88" s="39" t="str">
        <f>IF(AND($L88*1&gt;=$G$3,$L88*1&lt;=$G$4,$I88*$J88&gt;0,OR($I88&lt;&gt;$I89,$L88-$L89&gt;25),IF(ABS($I88)&gt;10,$I88/POW(10,$J88),$J88/POW(10,$I88))*MAXIFS(Token!$C:$C,Token!$A:$A,$K88)&gt;0.01),$L88/86400+DATE(1970,1,1)+$G$6,)</f>
        <v/>
      </c>
      <c r="B88" s="27" t="str">
        <f t="shared" si="1"/>
        <v/>
      </c>
      <c r="C88" s="14" t="str">
        <f>IF($A88&lt;&gt;"",MINIFS(Merchant!$A:$A,Merchant!$B:$B,$G$2),)</f>
        <v/>
      </c>
      <c r="D88" s="14" t="str">
        <f t="shared" si="2"/>
        <v/>
      </c>
      <c r="E88" s="14" t="str">
        <f t="shared" si="3"/>
        <v/>
      </c>
      <c r="F88" s="7" t="str">
        <f>IF($A88&lt;&gt;"",MAXIFS(Token!$C:$C,Token!$A:$A,$D88),)</f>
        <v/>
      </c>
      <c r="H88" s="6" t="str">
        <f>IFERROR(__xludf.DUMMYFUNCTION("""COMPUTED_VALUE"""),"156")</f>
        <v>156</v>
      </c>
      <c r="I88" s="6" t="str">
        <f>IFERROR(__xludf.DUMMYFUNCTION("""COMPUTED_VALUE"""),"1000000")</f>
        <v>1000000</v>
      </c>
      <c r="J88" s="6" t="str">
        <f>IFERROR(__xludf.DUMMYFUNCTION("""COMPUTED_VALUE"""),"8")</f>
        <v>8</v>
      </c>
      <c r="K88" s="6" t="str">
        <f>IFERROR(__xludf.DUMMYFUNCTION("""COMPUTED_VALUE"""),"agEUR")</f>
        <v>agEUR</v>
      </c>
      <c r="L88" s="6" t="str">
        <f>IFERROR(__xludf.DUMMYFUNCTION("""COMPUTED_VALUE"""),"1662294258")</f>
        <v>1662294258</v>
      </c>
    </row>
    <row r="89">
      <c r="A89" s="39" t="str">
        <f>IF(AND($L89*1&gt;=$G$3,$L89*1&lt;=$G$4,$I89*$J89&gt;0,OR($I89&lt;&gt;$I90,$L89-$L90&gt;25),IF(ABS($I89)&gt;10,$I89/POW(10,$J89),$J89/POW(10,$I89))*MAXIFS(Token!$C:$C,Token!$A:$A,$K89)&gt;0.01),$L89/86400+DATE(1970,1,1)+$G$6,)</f>
        <v/>
      </c>
      <c r="B89" s="27" t="str">
        <f t="shared" si="1"/>
        <v/>
      </c>
      <c r="C89" s="14" t="str">
        <f>IF($A89&lt;&gt;"",MINIFS(Merchant!$A:$A,Merchant!$B:$B,$G$2),)</f>
        <v/>
      </c>
      <c r="D89" s="14" t="str">
        <f t="shared" si="2"/>
        <v/>
      </c>
      <c r="E89" s="14" t="str">
        <f t="shared" si="3"/>
        <v/>
      </c>
      <c r="F89" s="7" t="str">
        <f>IF($A89&lt;&gt;"",MAXIFS(Token!$C:$C,Token!$A:$A,$D89),)</f>
        <v/>
      </c>
      <c r="H89" s="6" t="str">
        <f>IFERROR(__xludf.DUMMYFUNCTION("""COMPUTED_VALUE"""),"156")</f>
        <v>156</v>
      </c>
      <c r="I89" s="6" t="str">
        <f>IFERROR(__xludf.DUMMYFUNCTION("""COMPUTED_VALUE"""),"-11240000000")</f>
        <v>-11240000000</v>
      </c>
      <c r="J89" s="6" t="str">
        <f>IFERROR(__xludf.DUMMYFUNCTION("""COMPUTED_VALUE"""),"8")</f>
        <v>8</v>
      </c>
      <c r="K89" s="6" t="str">
        <f>IFERROR(__xludf.DUMMYFUNCTION("""COMPUTED_VALUE"""),"agEUR")</f>
        <v>agEUR</v>
      </c>
      <c r="L89" s="6" t="str">
        <f>IFERROR(__xludf.DUMMYFUNCTION("""COMPUTED_VALUE"""),"1662290080")</f>
        <v>1662290080</v>
      </c>
    </row>
    <row r="90">
      <c r="A90" s="39" t="str">
        <f>IF(AND($L90*1&gt;=$G$3,$L90*1&lt;=$G$4,$I90*$J90&gt;0,OR($I90&lt;&gt;$I91,$L90-$L91&gt;25),IF(ABS($I90)&gt;10,$I90/POW(10,$J90),$J90/POW(10,$I90))*MAXIFS(Token!$C:$C,Token!$A:$A,$K90)&gt;0.01),$L90/86400+DATE(1970,1,1)+$G$6,)</f>
        <v/>
      </c>
      <c r="B90" s="27" t="str">
        <f t="shared" si="1"/>
        <v/>
      </c>
      <c r="C90" s="14" t="str">
        <f>IF($A90&lt;&gt;"",MINIFS(Merchant!$A:$A,Merchant!$B:$B,$G$2),)</f>
        <v/>
      </c>
      <c r="D90" s="14" t="str">
        <f t="shared" si="2"/>
        <v/>
      </c>
      <c r="E90" s="14" t="str">
        <f t="shared" si="3"/>
        <v/>
      </c>
      <c r="F90" s="7" t="str">
        <f>IF($A90&lt;&gt;"",MAXIFS(Token!$C:$C,Token!$A:$A,$D90),)</f>
        <v/>
      </c>
      <c r="H90" s="6" t="str">
        <f>IFERROR(__xludf.DUMMYFUNCTION("""COMPUTED_VALUE"""),"156")</f>
        <v>156</v>
      </c>
      <c r="I90" s="6" t="str">
        <f>IFERROR(__xludf.DUMMYFUNCTION("""COMPUTED_VALUE"""),"970000000")</f>
        <v>970000000</v>
      </c>
      <c r="J90" s="6" t="str">
        <f>IFERROR(__xludf.DUMMYFUNCTION("""COMPUTED_VALUE"""),"8")</f>
        <v>8</v>
      </c>
      <c r="K90" s="6" t="str">
        <f>IFERROR(__xludf.DUMMYFUNCTION("""COMPUTED_VALUE"""),"agEUR")</f>
        <v>agEUR</v>
      </c>
      <c r="L90" s="6" t="str">
        <f>IFERROR(__xludf.DUMMYFUNCTION("""COMPUTED_VALUE"""),"1662283949")</f>
        <v>1662283949</v>
      </c>
    </row>
    <row r="91">
      <c r="A91" s="39" t="str">
        <f>IF(AND($L91*1&gt;=$G$3,$L91*1&lt;=$G$4,$I91*$J91&gt;0,OR($I91&lt;&gt;$I92,$L91-$L92&gt;25),IF(ABS($I91)&gt;10,$I91/POW(10,$J91),$J91/POW(10,$I91))*MAXIFS(Token!$C:$C,Token!$A:$A,$K91)&gt;0.01),$L91/86400+DATE(1970,1,1)+$G$6,)</f>
        <v/>
      </c>
      <c r="B91" s="27" t="str">
        <f t="shared" si="1"/>
        <v/>
      </c>
      <c r="C91" s="14" t="str">
        <f>IF($A91&lt;&gt;"",MINIFS(Merchant!$A:$A,Merchant!$B:$B,$G$2),)</f>
        <v/>
      </c>
      <c r="D91" s="14" t="str">
        <f t="shared" si="2"/>
        <v/>
      </c>
      <c r="E91" s="14" t="str">
        <f t="shared" si="3"/>
        <v/>
      </c>
      <c r="F91" s="7" t="str">
        <f>IF($A91&lt;&gt;"",MAXIFS(Token!$C:$C,Token!$A:$A,$D91),)</f>
        <v/>
      </c>
      <c r="H91" s="6" t="str">
        <f>IFERROR(__xludf.DUMMYFUNCTION("""COMPUTED_VALUE"""),"156")</f>
        <v>156</v>
      </c>
      <c r="I91" s="6" t="str">
        <f>IFERROR(__xludf.DUMMYFUNCTION("""COMPUTED_VALUE"""),"970000000")</f>
        <v>970000000</v>
      </c>
      <c r="J91" s="6" t="str">
        <f>IFERROR(__xludf.DUMMYFUNCTION("""COMPUTED_VALUE"""),"8")</f>
        <v>8</v>
      </c>
      <c r="K91" s="6" t="str">
        <f>IFERROR(__xludf.DUMMYFUNCTION("""COMPUTED_VALUE"""),"agEUR")</f>
        <v>agEUR</v>
      </c>
      <c r="L91" s="6" t="str">
        <f>IFERROR(__xludf.DUMMYFUNCTION("""COMPUTED_VALUE"""),"1662283943")</f>
        <v>1662283943</v>
      </c>
    </row>
    <row r="92">
      <c r="A92" s="39" t="str">
        <f>IF(AND($L92*1&gt;=$G$3,$L92*1&lt;=$G$4,$I92*$J92&gt;0,OR($I92&lt;&gt;$I93,$L92-$L93&gt;25),IF(ABS($I92)&gt;10,$I92/POW(10,$J92),$J92/POW(10,$I92))*MAXIFS(Token!$C:$C,Token!$A:$A,$K92)&gt;0.01),$L92/86400+DATE(1970,1,1)+$G$6,)</f>
        <v/>
      </c>
      <c r="B92" s="27" t="str">
        <f t="shared" si="1"/>
        <v/>
      </c>
      <c r="C92" s="14" t="str">
        <f>IF($A92&lt;&gt;"",MINIFS(Merchant!$A:$A,Merchant!$B:$B,$G$2),)</f>
        <v/>
      </c>
      <c r="D92" s="14" t="str">
        <f t="shared" si="2"/>
        <v/>
      </c>
      <c r="E92" s="14" t="str">
        <f t="shared" si="3"/>
        <v/>
      </c>
      <c r="F92" s="7" t="str">
        <f>IF($A92&lt;&gt;"",MAXIFS(Token!$C:$C,Token!$A:$A,$D92),)</f>
        <v/>
      </c>
      <c r="H92" s="6" t="str">
        <f>IFERROR(__xludf.DUMMYFUNCTION("""COMPUTED_VALUE"""),"156")</f>
        <v>156</v>
      </c>
      <c r="I92" s="6" t="str">
        <f>IFERROR(__xludf.DUMMYFUNCTION("""COMPUTED_VALUE"""),"2700000000")</f>
        <v>2700000000</v>
      </c>
      <c r="J92" s="6" t="str">
        <f>IFERROR(__xludf.DUMMYFUNCTION("""COMPUTED_VALUE"""),"8")</f>
        <v>8</v>
      </c>
      <c r="K92" s="6" t="str">
        <f>IFERROR(__xludf.DUMMYFUNCTION("""COMPUTED_VALUE"""),"agEUR")</f>
        <v>agEUR</v>
      </c>
      <c r="L92" s="6" t="str">
        <f>IFERROR(__xludf.DUMMYFUNCTION("""COMPUTED_VALUE"""),"1662195503")</f>
        <v>1662195503</v>
      </c>
    </row>
    <row r="93">
      <c r="A93" s="39" t="str">
        <f>IF(AND($L93*1&gt;=$G$3,$L93*1&lt;=$G$4,$I93*$J93&gt;0,OR($I93&lt;&gt;$I94,$L93-$L94&gt;25),IF(ABS($I93)&gt;10,$I93/POW(10,$J93),$J93/POW(10,$I93))*MAXIFS(Token!$C:$C,Token!$A:$A,$K93)&gt;0.01),$L93/86400+DATE(1970,1,1)+$G$6,)</f>
        <v/>
      </c>
      <c r="B93" s="27" t="str">
        <f t="shared" si="1"/>
        <v/>
      </c>
      <c r="C93" s="14" t="str">
        <f>IF($A93&lt;&gt;"",MINIFS(Merchant!$A:$A,Merchant!$B:$B,$G$2),)</f>
        <v/>
      </c>
      <c r="D93" s="14" t="str">
        <f t="shared" si="2"/>
        <v/>
      </c>
      <c r="E93" s="14" t="str">
        <f t="shared" si="3"/>
        <v/>
      </c>
      <c r="F93" s="7" t="str">
        <f>IF($A93&lt;&gt;"",MAXIFS(Token!$C:$C,Token!$A:$A,$D93),)</f>
        <v/>
      </c>
      <c r="H93" s="6" t="str">
        <f>IFERROR(__xludf.DUMMYFUNCTION("""COMPUTED_VALUE"""),"156")</f>
        <v>156</v>
      </c>
      <c r="I93" s="6" t="str">
        <f>IFERROR(__xludf.DUMMYFUNCTION("""COMPUTED_VALUE"""),"2700000000")</f>
        <v>2700000000</v>
      </c>
      <c r="J93" s="6" t="str">
        <f>IFERROR(__xludf.DUMMYFUNCTION("""COMPUTED_VALUE"""),"8")</f>
        <v>8</v>
      </c>
      <c r="K93" s="6" t="str">
        <f>IFERROR(__xludf.DUMMYFUNCTION("""COMPUTED_VALUE"""),"agEUR")</f>
        <v>agEUR</v>
      </c>
      <c r="L93" s="6" t="str">
        <f>IFERROR(__xludf.DUMMYFUNCTION("""COMPUTED_VALUE"""),"1662195499")</f>
        <v>1662195499</v>
      </c>
    </row>
    <row r="94">
      <c r="A94" s="39" t="str">
        <f>IF(AND($L94*1&gt;=$G$3,$L94*1&lt;=$G$4,$I94*$J94&gt;0,OR($I94&lt;&gt;$I95,$L94-$L95&gt;25),IF(ABS($I94)&gt;10,$I94/POW(10,$J94),$J94/POW(10,$I94))*MAXIFS(Token!$C:$C,Token!$A:$A,$K94)&gt;0.01),$L94/86400+DATE(1970,1,1)+$G$6,)</f>
        <v/>
      </c>
      <c r="B94" s="27" t="str">
        <f t="shared" si="1"/>
        <v/>
      </c>
      <c r="C94" s="14" t="str">
        <f>IF($A94&lt;&gt;"",MINIFS(Merchant!$A:$A,Merchant!$B:$B,$G$2),)</f>
        <v/>
      </c>
      <c r="D94" s="14" t="str">
        <f t="shared" si="2"/>
        <v/>
      </c>
      <c r="E94" s="14" t="str">
        <f t="shared" si="3"/>
        <v/>
      </c>
      <c r="F94" s="7" t="str">
        <f>IF($A94&lt;&gt;"",MAXIFS(Token!$C:$C,Token!$A:$A,$D94),)</f>
        <v/>
      </c>
      <c r="H94" s="6" t="str">
        <f>IFERROR(__xludf.DUMMYFUNCTION("""COMPUTED_VALUE"""),"156")</f>
        <v>156</v>
      </c>
      <c r="I94" s="6" t="str">
        <f>IFERROR(__xludf.DUMMYFUNCTION("""COMPUTED_VALUE"""),"900000000")</f>
        <v>900000000</v>
      </c>
      <c r="J94" s="6" t="str">
        <f>IFERROR(__xludf.DUMMYFUNCTION("""COMPUTED_VALUE"""),"8")</f>
        <v>8</v>
      </c>
      <c r="K94" s="6" t="str">
        <f>IFERROR(__xludf.DUMMYFUNCTION("""COMPUTED_VALUE"""),"agEUR")</f>
        <v>agEUR</v>
      </c>
      <c r="L94" s="6" t="str">
        <f>IFERROR(__xludf.DUMMYFUNCTION("""COMPUTED_VALUE"""),"1662026953")</f>
        <v>1662026953</v>
      </c>
    </row>
    <row r="95">
      <c r="A95" s="39" t="str">
        <f>IF(AND($L95*1&gt;=$G$3,$L95*1&lt;=$G$4,$I95*$J95&gt;0,OR($I95&lt;&gt;$I96,$L95-$L96&gt;25),IF(ABS($I95)&gt;10,$I95/POW(10,$J95),$J95/POW(10,$I95))*MAXIFS(Token!$C:$C,Token!$A:$A,$K95)&gt;0.01),$L95/86400+DATE(1970,1,1)+$G$6,)</f>
        <v/>
      </c>
      <c r="B95" s="27" t="str">
        <f t="shared" si="1"/>
        <v/>
      </c>
      <c r="C95" s="14" t="str">
        <f>IF($A95&lt;&gt;"",MINIFS(Merchant!$A:$A,Merchant!$B:$B,$G$2),)</f>
        <v/>
      </c>
      <c r="D95" s="14" t="str">
        <f t="shared" si="2"/>
        <v/>
      </c>
      <c r="E95" s="14" t="str">
        <f t="shared" si="3"/>
        <v/>
      </c>
      <c r="F95" s="7" t="str">
        <f>IF($A95&lt;&gt;"",MAXIFS(Token!$C:$C,Token!$A:$A,$D95),)</f>
        <v/>
      </c>
      <c r="H95" s="6" t="str">
        <f>IFERROR(__xludf.DUMMYFUNCTION("""COMPUTED_VALUE"""),"156")</f>
        <v>156</v>
      </c>
      <c r="I95" s="6" t="str">
        <f>IFERROR(__xludf.DUMMYFUNCTION("""COMPUTED_VALUE"""),"900000000")</f>
        <v>900000000</v>
      </c>
      <c r="J95" s="6" t="str">
        <f>IFERROR(__xludf.DUMMYFUNCTION("""COMPUTED_VALUE"""),"8")</f>
        <v>8</v>
      </c>
      <c r="K95" s="6" t="str">
        <f>IFERROR(__xludf.DUMMYFUNCTION("""COMPUTED_VALUE"""),"agEUR")</f>
        <v>agEUR</v>
      </c>
      <c r="L95" s="6" t="str">
        <f>IFERROR(__xludf.DUMMYFUNCTION("""COMPUTED_VALUE"""),"1662026951")</f>
        <v>1662026951</v>
      </c>
    </row>
    <row r="96">
      <c r="A96" s="39" t="str">
        <f>IF(AND($L96*1&gt;=$G$3,$L96*1&lt;=$G$4,$I96*$J96&gt;0,OR($I96&lt;&gt;$I97,$L96-$L97&gt;25),IF(ABS($I96)&gt;10,$I96/POW(10,$J96),$J96/POW(10,$I96))*MAXIFS(Token!$C:$C,Token!$A:$A,$K96)&gt;0.01),$L96/86400+DATE(1970,1,1)+$G$6,)</f>
        <v/>
      </c>
      <c r="B96" s="27" t="str">
        <f t="shared" si="1"/>
        <v/>
      </c>
      <c r="C96" s="14" t="str">
        <f>IF($A96&lt;&gt;"",MINIFS(Merchant!$A:$A,Merchant!$B:$B,$G$2),)</f>
        <v/>
      </c>
      <c r="D96" s="14" t="str">
        <f t="shared" si="2"/>
        <v/>
      </c>
      <c r="E96" s="14" t="str">
        <f t="shared" si="3"/>
        <v/>
      </c>
      <c r="F96" s="7" t="str">
        <f>IF($A96&lt;&gt;"",MAXIFS(Token!$C:$C,Token!$A:$A,$D96),)</f>
        <v/>
      </c>
      <c r="H96" s="6" t="str">
        <f>IFERROR(__xludf.DUMMYFUNCTION("""COMPUTED_VALUE"""),"156")</f>
        <v>156</v>
      </c>
      <c r="I96" s="6" t="str">
        <f>IFERROR(__xludf.DUMMYFUNCTION("""COMPUTED_VALUE"""),"700000000")</f>
        <v>700000000</v>
      </c>
      <c r="J96" s="6" t="str">
        <f>IFERROR(__xludf.DUMMYFUNCTION("""COMPUTED_VALUE"""),"8")</f>
        <v>8</v>
      </c>
      <c r="K96" s="6" t="str">
        <f>IFERROR(__xludf.DUMMYFUNCTION("""COMPUTED_VALUE"""),"agEUR")</f>
        <v>agEUR</v>
      </c>
      <c r="L96" s="6" t="str">
        <f>IFERROR(__xludf.DUMMYFUNCTION("""COMPUTED_VALUE"""),"1662025879")</f>
        <v>1662025879</v>
      </c>
    </row>
    <row r="97">
      <c r="A97" s="39" t="str">
        <f>IF(AND($L97*1&gt;=$G$3,$L97*1&lt;=$G$4,$I97*$J97&gt;0,OR($I97&lt;&gt;$I98,$L97-$L98&gt;25),IF(ABS($I97)&gt;10,$I97/POW(10,$J97),$J97/POW(10,$I97))*MAXIFS(Token!$C:$C,Token!$A:$A,$K97)&gt;0.01),$L97/86400+DATE(1970,1,1)+$G$6,)</f>
        <v/>
      </c>
      <c r="B97" s="27" t="str">
        <f t="shared" si="1"/>
        <v/>
      </c>
      <c r="C97" s="14" t="str">
        <f>IF($A97&lt;&gt;"",MINIFS(Merchant!$A:$A,Merchant!$B:$B,$G$2),)</f>
        <v/>
      </c>
      <c r="D97" s="14" t="str">
        <f t="shared" si="2"/>
        <v/>
      </c>
      <c r="E97" s="14" t="str">
        <f t="shared" si="3"/>
        <v/>
      </c>
      <c r="F97" s="7" t="str">
        <f>IF($A97&lt;&gt;"",MAXIFS(Token!$C:$C,Token!$A:$A,$D97),)</f>
        <v/>
      </c>
      <c r="H97" s="6" t="str">
        <f>IFERROR(__xludf.DUMMYFUNCTION("""COMPUTED_VALUE"""),"156")</f>
        <v>156</v>
      </c>
      <c r="I97" s="6" t="str">
        <f>IFERROR(__xludf.DUMMYFUNCTION("""COMPUTED_VALUE"""),"700000000")</f>
        <v>700000000</v>
      </c>
      <c r="J97" s="6" t="str">
        <f>IFERROR(__xludf.DUMMYFUNCTION("""COMPUTED_VALUE"""),"8")</f>
        <v>8</v>
      </c>
      <c r="K97" s="6" t="str">
        <f>IFERROR(__xludf.DUMMYFUNCTION("""COMPUTED_VALUE"""),"agEUR")</f>
        <v>agEUR</v>
      </c>
      <c r="L97" s="6" t="str">
        <f>IFERROR(__xludf.DUMMYFUNCTION("""COMPUTED_VALUE"""),"1662025879")</f>
        <v>1662025879</v>
      </c>
    </row>
    <row r="98">
      <c r="A98" s="39" t="str">
        <f>IF(AND($L98*1&gt;=$G$3,$L98*1&lt;=$G$4,$I98*$J98&gt;0,OR($I98&lt;&gt;$I99,$L98-$L99&gt;25),IF(ABS($I98)&gt;10,$I98/POW(10,$J98),$J98/POW(10,$I98))*MAXIFS(Token!$C:$C,Token!$A:$A,$K98)&gt;0.01),$L98/86400+DATE(1970,1,1)+$G$6,)</f>
        <v/>
      </c>
      <c r="B98" s="27" t="str">
        <f t="shared" si="1"/>
        <v/>
      </c>
      <c r="C98" s="14" t="str">
        <f>IF($A98&lt;&gt;"",MINIFS(Merchant!$A:$A,Merchant!$B:$B,$G$2),)</f>
        <v/>
      </c>
      <c r="D98" s="14" t="str">
        <f t="shared" si="2"/>
        <v/>
      </c>
      <c r="E98" s="14" t="str">
        <f t="shared" si="3"/>
        <v/>
      </c>
      <c r="F98" s="7" t="str">
        <f>IF($A98&lt;&gt;"",MAXIFS(Token!$C:$C,Token!$A:$A,$D98),)</f>
        <v/>
      </c>
      <c r="H98" s="6" t="str">
        <f>IFERROR(__xludf.DUMMYFUNCTION("""COMPUTED_VALUE"""),"156")</f>
        <v>156</v>
      </c>
      <c r="I98" s="6" t="str">
        <f>IFERROR(__xludf.DUMMYFUNCTION("""COMPUTED_VALUE"""),"700000000")</f>
        <v>700000000</v>
      </c>
      <c r="J98" s="6" t="str">
        <f>IFERROR(__xludf.DUMMYFUNCTION("""COMPUTED_VALUE"""),"8")</f>
        <v>8</v>
      </c>
      <c r="K98" s="6" t="str">
        <f>IFERROR(__xludf.DUMMYFUNCTION("""COMPUTED_VALUE"""),"agEUR")</f>
        <v>agEUR</v>
      </c>
      <c r="L98" s="6" t="str">
        <f>IFERROR(__xludf.DUMMYFUNCTION("""COMPUTED_VALUE"""),"1662025862")</f>
        <v>1662025862</v>
      </c>
    </row>
    <row r="99">
      <c r="A99" s="39" t="str">
        <f>IF(AND($L99*1&gt;=$G$3,$L99*1&lt;=$G$4,$I99*$J99&gt;0,OR($I99&lt;&gt;$I100,$L99-$L100&gt;25),IF(ABS($I99)&gt;10,$I99/POW(10,$J99),$J99/POW(10,$I99))*MAXIFS(Token!$C:$C,Token!$A:$A,$K99)&gt;0.01),$L99/86400+DATE(1970,1,1)+$G$6,)</f>
        <v/>
      </c>
      <c r="B99" s="27" t="str">
        <f t="shared" si="1"/>
        <v/>
      </c>
      <c r="C99" s="14" t="str">
        <f>IF($A99&lt;&gt;"",MINIFS(Merchant!$A:$A,Merchant!$B:$B,$G$2),)</f>
        <v/>
      </c>
      <c r="D99" s="14" t="str">
        <f t="shared" si="2"/>
        <v/>
      </c>
      <c r="E99" s="14" t="str">
        <f t="shared" si="3"/>
        <v/>
      </c>
      <c r="F99" s="7" t="str">
        <f>IF($A99&lt;&gt;"",MAXIFS(Token!$C:$C,Token!$A:$A,$D99),)</f>
        <v/>
      </c>
      <c r="H99" s="6" t="str">
        <f>IFERROR(__xludf.DUMMYFUNCTION("""COMPUTED_VALUE"""),"156")</f>
        <v>156</v>
      </c>
      <c r="I99" s="6" t="str">
        <f>IFERROR(__xludf.DUMMYFUNCTION("""COMPUTED_VALUE"""),"-1080000000")</f>
        <v>-1080000000</v>
      </c>
      <c r="J99" s="6" t="str">
        <f>IFERROR(__xludf.DUMMYFUNCTION("""COMPUTED_VALUE"""),"8")</f>
        <v>8</v>
      </c>
      <c r="K99" s="6" t="str">
        <f>IFERROR(__xludf.DUMMYFUNCTION("""COMPUTED_VALUE"""),"agEUR")</f>
        <v>agEUR</v>
      </c>
      <c r="L99" s="6" t="str">
        <f>IFERROR(__xludf.DUMMYFUNCTION("""COMPUTED_VALUE"""),"1661851024")</f>
        <v>1661851024</v>
      </c>
    </row>
    <row r="100">
      <c r="A100" s="39" t="str">
        <f>IF(AND($L100*1&gt;=$G$3,$L100*1&lt;=$G$4,$I100*$J100&gt;0,OR($I100&lt;&gt;$I101,$L100-$L101&gt;25),IF(ABS($I100)&gt;10,$I100/POW(10,$J100),$J100/POW(10,$I100))*MAXIFS(Token!$C:$C,Token!$A:$A,$K100)&gt;0.01),$L100/86400+DATE(1970,1,1)+$G$6,)</f>
        <v/>
      </c>
      <c r="B100" s="27" t="str">
        <f t="shared" si="1"/>
        <v/>
      </c>
      <c r="C100" s="14" t="str">
        <f>IF($A100&lt;&gt;"",MINIFS(Merchant!$A:$A,Merchant!$B:$B,$G$2),)</f>
        <v/>
      </c>
      <c r="D100" s="14" t="str">
        <f t="shared" si="2"/>
        <v/>
      </c>
      <c r="E100" s="14" t="str">
        <f t="shared" si="3"/>
        <v/>
      </c>
      <c r="F100" s="7" t="str">
        <f>IF($A100&lt;&gt;"",MAXIFS(Token!$C:$C,Token!$A:$A,$D100),)</f>
        <v/>
      </c>
      <c r="H100" s="6" t="str">
        <f>IFERROR(__xludf.DUMMYFUNCTION("""COMPUTED_VALUE"""),"156")</f>
        <v>156</v>
      </c>
      <c r="I100" s="6" t="str">
        <f>IFERROR(__xludf.DUMMYFUNCTION("""COMPUTED_VALUE"""),"1080000000")</f>
        <v>1080000000</v>
      </c>
      <c r="J100" s="6" t="str">
        <f>IFERROR(__xludf.DUMMYFUNCTION("""COMPUTED_VALUE"""),"8")</f>
        <v>8</v>
      </c>
      <c r="K100" s="6" t="str">
        <f>IFERROR(__xludf.DUMMYFUNCTION("""COMPUTED_VALUE"""),"agEUR")</f>
        <v>agEUR</v>
      </c>
      <c r="L100" s="6" t="str">
        <f>IFERROR(__xludf.DUMMYFUNCTION("""COMPUTED_VALUE"""),"1661326558")</f>
        <v>1661326558</v>
      </c>
    </row>
    <row r="101">
      <c r="A101" s="39" t="str">
        <f>IF(AND($L101*1&gt;=$G$3,$L101*1&lt;=$G$4,$I101*$J101&gt;0,OR($I101&lt;&gt;$I102,$L101-$L102&gt;25),IF(ABS($I101)&gt;10,$I101/POW(10,$J101),$J101/POW(10,$I101))*MAXIFS(Token!$C:$C,Token!$A:$A,$K101)&gt;0.01),$L101/86400+DATE(1970,1,1)+$G$6,)</f>
        <v/>
      </c>
      <c r="B101" s="27" t="str">
        <f t="shared" si="1"/>
        <v/>
      </c>
      <c r="C101" s="14" t="str">
        <f>IF($A101&lt;&gt;"",MINIFS(Merchant!$A:$A,Merchant!$B:$B,$G$2),)</f>
        <v/>
      </c>
      <c r="D101" s="14" t="str">
        <f t="shared" si="2"/>
        <v/>
      </c>
      <c r="E101" s="14" t="str">
        <f t="shared" si="3"/>
        <v/>
      </c>
      <c r="F101" s="7" t="str">
        <f>IF($A101&lt;&gt;"",MAXIFS(Token!$C:$C,Token!$A:$A,$D101),)</f>
        <v/>
      </c>
      <c r="H101" s="6" t="str">
        <f>IFERROR(__xludf.DUMMYFUNCTION("""COMPUTED_VALUE"""),"156")</f>
        <v>156</v>
      </c>
      <c r="I101" s="6" t="str">
        <f>IFERROR(__xludf.DUMMYFUNCTION("""COMPUTED_VALUE"""),"-6052000000")</f>
        <v>-6052000000</v>
      </c>
      <c r="J101" s="6" t="str">
        <f>IFERROR(__xludf.DUMMYFUNCTION("""COMPUTED_VALUE"""),"8")</f>
        <v>8</v>
      </c>
      <c r="K101" s="6" t="str">
        <f>IFERROR(__xludf.DUMMYFUNCTION("""COMPUTED_VALUE"""),"agEUR")</f>
        <v>agEUR</v>
      </c>
      <c r="L101" s="6" t="str">
        <f>IFERROR(__xludf.DUMMYFUNCTION("""COMPUTED_VALUE"""),"1661193732")</f>
        <v>1661193732</v>
      </c>
    </row>
    <row r="102">
      <c r="A102" s="39" t="str">
        <f>IF(AND($L102*1&gt;=$G$3,$L102*1&lt;=$G$4,$I102*$J102&gt;0,OR($I102&lt;&gt;$I103,$L102-$L103&gt;25),IF(ABS($I102)&gt;10,$I102/POW(10,$J102),$J102/POW(10,$I102))*MAXIFS(Token!$C:$C,Token!$A:$A,$K102)&gt;0.01),$L102/86400+DATE(1970,1,1)+$G$6,)</f>
        <v/>
      </c>
      <c r="B102" s="27" t="str">
        <f t="shared" si="1"/>
        <v/>
      </c>
      <c r="C102" s="14" t="str">
        <f>IF($A102&lt;&gt;"",MINIFS(Merchant!$A:$A,Merchant!$B:$B,$G$2),)</f>
        <v/>
      </c>
      <c r="D102" s="14" t="str">
        <f t="shared" si="2"/>
        <v/>
      </c>
      <c r="E102" s="14" t="str">
        <f t="shared" si="3"/>
        <v/>
      </c>
      <c r="F102" s="7" t="str">
        <f>IF($A102&lt;&gt;"",MAXIFS(Token!$C:$C,Token!$A:$A,$D102),)</f>
        <v/>
      </c>
    </row>
    <row r="103">
      <c r="A103" s="39" t="str">
        <f>IF(AND($L103*1&gt;=$G$3,$L103*1&lt;=$G$4,$I103*$J103&gt;0,OR($I103&lt;&gt;$I104,$L103-$L104&gt;25),IF(ABS($I103)&gt;10,$I103/POW(10,$J103),$J103/POW(10,$I103))*MAXIFS(Token!$C:$C,Token!$A:$A,$K103)&gt;0.01),$L103/86400+DATE(1970,1,1)+$G$6,)</f>
        <v/>
      </c>
      <c r="B103" s="27" t="str">
        <f t="shared" si="1"/>
        <v/>
      </c>
      <c r="C103" s="14" t="str">
        <f>IF($A103&lt;&gt;"",MINIFS(Merchant!$A:$A,Merchant!$B:$B,$G$2),)</f>
        <v/>
      </c>
      <c r="D103" s="14" t="str">
        <f t="shared" si="2"/>
        <v/>
      </c>
      <c r="E103" s="14" t="str">
        <f t="shared" si="3"/>
        <v/>
      </c>
      <c r="F103" s="7" t="str">
        <f>IF($A103&lt;&gt;"",MAXIFS(Token!$C:$C,Token!$A:$A,$D103),)</f>
        <v/>
      </c>
    </row>
    <row r="104">
      <c r="A104" s="39" t="str">
        <f>IF(AND($L104*1&gt;=$G$3,$L104*1&lt;=$G$4,$I104*$J104&gt;0,OR($I104&lt;&gt;$I105,$L104-$L105&gt;25),IF(ABS($I104)&gt;10,$I104/POW(10,$J104),$J104/POW(10,$I104))*MAXIFS(Token!$C:$C,Token!$A:$A,$K104)&gt;0.01),$L104/86400+DATE(1970,1,1)+$G$6,)</f>
        <v/>
      </c>
      <c r="B104" s="27" t="str">
        <f t="shared" si="1"/>
        <v/>
      </c>
      <c r="C104" s="14" t="str">
        <f>IF($A104&lt;&gt;"",MINIFS(Merchant!$A:$A,Merchant!$B:$B,$G$2),)</f>
        <v/>
      </c>
      <c r="D104" s="14" t="str">
        <f t="shared" si="2"/>
        <v/>
      </c>
      <c r="E104" s="14" t="str">
        <f t="shared" si="3"/>
        <v/>
      </c>
      <c r="F104" s="7" t="str">
        <f>IF($A104&lt;&gt;"",MAXIFS(Token!$C:$C,Token!$A:$A,$D104),)</f>
        <v/>
      </c>
    </row>
    <row r="105">
      <c r="A105" s="39" t="str">
        <f>IF(AND($L105*1&gt;=$G$3,$L105*1&lt;=$G$4,$I105*$J105&gt;0,OR($I105&lt;&gt;$I106,$L105-$L106&gt;25),IF(ABS($I105)&gt;10,$I105/POW(10,$J105),$J105/POW(10,$I105))*MAXIFS(Token!$C:$C,Token!$A:$A,$K105)&gt;0.01),$L105/86400+DATE(1970,1,1)+$G$6,)</f>
        <v/>
      </c>
      <c r="B105" s="27" t="str">
        <f t="shared" si="1"/>
        <v/>
      </c>
      <c r="C105" s="14" t="str">
        <f>IF($A105&lt;&gt;"",MINIFS(Merchant!$A:$A,Merchant!$B:$B,$G$2),)</f>
        <v/>
      </c>
      <c r="D105" s="14" t="str">
        <f t="shared" si="2"/>
        <v/>
      </c>
      <c r="E105" s="14" t="str">
        <f t="shared" si="3"/>
        <v/>
      </c>
      <c r="F105" s="7" t="str">
        <f>IF($A105&lt;&gt;"",MAXIFS(Token!$C:$C,Token!$A:$A,$D105),)</f>
        <v/>
      </c>
    </row>
    <row r="106">
      <c r="A106" s="39" t="str">
        <f>IF(AND($L106*1&gt;=$G$3,$L106*1&lt;=$G$4,$I106*$J106&gt;0,OR($I106&lt;&gt;$I107,$L106-$L107&gt;25),IF(ABS($I106)&gt;10,$I106/POW(10,$J106),$J106/POW(10,$I106))*MAXIFS(Token!$C:$C,Token!$A:$A,$K106)&gt;0.01),$L106/86400+DATE(1970,1,1)+$G$6,)</f>
        <v/>
      </c>
      <c r="B106" s="27" t="str">
        <f t="shared" si="1"/>
        <v/>
      </c>
      <c r="C106" s="14" t="str">
        <f>IF($A106&lt;&gt;"",MINIFS(Merchant!$A:$A,Merchant!$B:$B,$G$2),)</f>
        <v/>
      </c>
      <c r="D106" s="14" t="str">
        <f t="shared" si="2"/>
        <v/>
      </c>
      <c r="E106" s="14" t="str">
        <f t="shared" si="3"/>
        <v/>
      </c>
      <c r="F106" s="7" t="str">
        <f>IF($A106&lt;&gt;"",MAXIFS(Token!$C:$C,Token!$A:$A,$D106),)</f>
        <v/>
      </c>
    </row>
    <row r="107">
      <c r="A107" s="39" t="str">
        <f>IF(AND($L107*1&gt;=$G$3,$L107*1&lt;=$G$4,$I107*$J107&gt;0,OR($I107&lt;&gt;$I108,$L107-$L108&gt;25),IF(ABS($I107)&gt;10,$I107/POW(10,$J107),$J107/POW(10,$I107))*MAXIFS(Token!$C:$C,Token!$A:$A,$K107)&gt;0.01),$L107/86400+DATE(1970,1,1)+$G$6,)</f>
        <v/>
      </c>
      <c r="B107" s="27" t="str">
        <f t="shared" si="1"/>
        <v/>
      </c>
      <c r="C107" s="14" t="str">
        <f>IF($A107&lt;&gt;"",MINIFS(Merchant!$A:$A,Merchant!$B:$B,$G$2),)</f>
        <v/>
      </c>
      <c r="D107" s="14" t="str">
        <f t="shared" si="2"/>
        <v/>
      </c>
      <c r="E107" s="14" t="str">
        <f t="shared" si="3"/>
        <v/>
      </c>
      <c r="F107" s="7" t="str">
        <f>IF($A107&lt;&gt;"",MAXIFS(Token!$C:$C,Token!$A:$A,$D107),)</f>
        <v/>
      </c>
    </row>
    <row r="108">
      <c r="A108" s="39" t="str">
        <f>IF(AND($L108*1&gt;=$G$3,$L108*1&lt;=$G$4,$I108*$J108&gt;0,OR($I108&lt;&gt;$I109,$L108-$L109&gt;25),IF(ABS($I108)&gt;10,$I108/POW(10,$J108),$J108/POW(10,$I108))*MAXIFS(Token!$C:$C,Token!$A:$A,$K108)&gt;0.01),$L108/86400+DATE(1970,1,1)+$G$6,)</f>
        <v/>
      </c>
      <c r="B108" s="27" t="str">
        <f t="shared" si="1"/>
        <v/>
      </c>
      <c r="C108" s="14" t="str">
        <f>IF($A108&lt;&gt;"",MINIFS(Merchant!$A:$A,Merchant!$B:$B,$G$2),)</f>
        <v/>
      </c>
      <c r="D108" s="14" t="str">
        <f t="shared" si="2"/>
        <v/>
      </c>
      <c r="E108" s="14" t="str">
        <f t="shared" si="3"/>
        <v/>
      </c>
      <c r="F108" s="7" t="str">
        <f>IF($A108&lt;&gt;"",MAXIFS(Token!$C:$C,Token!$A:$A,$D108),)</f>
        <v/>
      </c>
    </row>
    <row r="109">
      <c r="A109" s="39" t="str">
        <f>IF(AND($L109*1&gt;=$G$3,$L109*1&lt;=$G$4,$I109*$J109&gt;0,OR($I109&lt;&gt;$I110,$L109-$L110&gt;25),IF(ABS($I109)&gt;10,$I109/POW(10,$J109),$J109/POW(10,$I109))*MAXIFS(Token!$C:$C,Token!$A:$A,$K109)&gt;0.01),$L109/86400+DATE(1970,1,1)+$G$6,)</f>
        <v/>
      </c>
      <c r="B109" s="27" t="str">
        <f t="shared" si="1"/>
        <v/>
      </c>
      <c r="C109" s="14" t="str">
        <f>IF($A109&lt;&gt;"",MINIFS(Merchant!$A:$A,Merchant!$B:$B,$G$2),)</f>
        <v/>
      </c>
      <c r="D109" s="14" t="str">
        <f t="shared" si="2"/>
        <v/>
      </c>
      <c r="E109" s="14" t="str">
        <f t="shared" si="3"/>
        <v/>
      </c>
      <c r="F109" s="7" t="str">
        <f>IF($A109&lt;&gt;"",MAXIFS(Token!$C:$C,Token!$A:$A,$D109),)</f>
        <v/>
      </c>
    </row>
    <row r="110">
      <c r="A110" s="39" t="str">
        <f>IF(AND($L110*1&gt;=$G$3,$L110*1&lt;=$G$4,$I110*$J110&gt;0,OR($I110&lt;&gt;$I111,$L110-$L111&gt;25),IF(ABS($I110)&gt;10,$I110/POW(10,$J110),$J110/POW(10,$I110))*MAXIFS(Token!$C:$C,Token!$A:$A,$K110)&gt;0.01),$L110/86400+DATE(1970,1,1)+$G$6,)</f>
        <v/>
      </c>
      <c r="B110" s="27" t="str">
        <f t="shared" si="1"/>
        <v/>
      </c>
      <c r="C110" s="14" t="str">
        <f>IF($A110&lt;&gt;"",MINIFS(Merchant!$A:$A,Merchant!$B:$B,$G$2),)</f>
        <v/>
      </c>
      <c r="D110" s="14" t="str">
        <f t="shared" si="2"/>
        <v/>
      </c>
      <c r="E110" s="14" t="str">
        <f t="shared" si="3"/>
        <v/>
      </c>
      <c r="F110" s="7" t="str">
        <f>IF($A110&lt;&gt;"",MAXIFS(Token!$C:$C,Token!$A:$A,$D110),)</f>
        <v/>
      </c>
    </row>
    <row r="111">
      <c r="A111" s="39" t="str">
        <f>IF(AND($L111*1&gt;=$G$3,$L111*1&lt;=$G$4,$I111*$J111&gt;0,OR($I111&lt;&gt;$I112,$L111-$L112&gt;25),IF(ABS($I111)&gt;10,$I111/POW(10,$J111),$J111/POW(10,$I111))*MAXIFS(Token!$C:$C,Token!$A:$A,$K111)&gt;0.01),$L111/86400+DATE(1970,1,1)+$G$6,)</f>
        <v/>
      </c>
      <c r="B111" s="27" t="str">
        <f t="shared" si="1"/>
        <v/>
      </c>
      <c r="C111" s="14" t="str">
        <f>IF($A111&lt;&gt;"",MINIFS(Merchant!$A:$A,Merchant!$B:$B,$G$2),)</f>
        <v/>
      </c>
      <c r="D111" s="14" t="str">
        <f t="shared" si="2"/>
        <v/>
      </c>
      <c r="E111" s="14" t="str">
        <f t="shared" si="3"/>
        <v/>
      </c>
      <c r="F111" s="7" t="str">
        <f>IF($A111&lt;&gt;"",MAXIFS(Token!$C:$C,Token!$A:$A,$D111),)</f>
        <v/>
      </c>
    </row>
    <row r="112">
      <c r="A112" s="39" t="str">
        <f>IF(AND($L112*1&gt;=$G$3,$L112*1&lt;=$G$4,$I112*$J112&gt;0,OR($I112&lt;&gt;$I113,$L112-$L113&gt;25),IF(ABS($I112)&gt;10,$I112/POW(10,$J112),$J112/POW(10,$I112))*MAXIFS(Token!$C:$C,Token!$A:$A,$K112)&gt;0.01),$L112/86400+DATE(1970,1,1)+$G$6,)</f>
        <v/>
      </c>
      <c r="B112" s="27" t="str">
        <f t="shared" si="1"/>
        <v/>
      </c>
      <c r="C112" s="14" t="str">
        <f>IF($A112&lt;&gt;"",MINIFS(Merchant!$A:$A,Merchant!$B:$B,$G$2),)</f>
        <v/>
      </c>
      <c r="D112" s="14" t="str">
        <f t="shared" si="2"/>
        <v/>
      </c>
      <c r="E112" s="14" t="str">
        <f t="shared" si="3"/>
        <v/>
      </c>
      <c r="F112" s="7" t="str">
        <f>IF($A112&lt;&gt;"",MAXIFS(Token!$C:$C,Token!$A:$A,$D112),)</f>
        <v/>
      </c>
    </row>
    <row r="113">
      <c r="A113" s="39" t="str">
        <f>IF(AND($L113*1&gt;=$G$3,$L113*1&lt;=$G$4,$I113*$J113&gt;0,OR($I113&lt;&gt;$I114,$L113-$L114&gt;25),IF(ABS($I113)&gt;10,$I113/POW(10,$J113),$J113/POW(10,$I113))*MAXIFS(Token!$C:$C,Token!$A:$A,$K113)&gt;0.01),$L113/86400+DATE(1970,1,1)+$G$6,)</f>
        <v/>
      </c>
      <c r="B113" s="27" t="str">
        <f t="shared" si="1"/>
        <v/>
      </c>
      <c r="C113" s="14" t="str">
        <f>IF($A113&lt;&gt;"",MINIFS(Merchant!$A:$A,Merchant!$B:$B,$G$2),)</f>
        <v/>
      </c>
      <c r="D113" s="14" t="str">
        <f t="shared" si="2"/>
        <v/>
      </c>
      <c r="E113" s="14" t="str">
        <f t="shared" si="3"/>
        <v/>
      </c>
      <c r="F113" s="7" t="str">
        <f>IF($A113&lt;&gt;"",MAXIFS(Token!$C:$C,Token!$A:$A,$D113),)</f>
        <v/>
      </c>
    </row>
    <row r="114">
      <c r="A114" s="39" t="str">
        <f>IF(AND($L114*1&gt;=$G$3,$L114*1&lt;=$G$4,$I114*$J114&gt;0,OR($I114&lt;&gt;$I115,$L114-$L115&gt;25),IF(ABS($I114)&gt;10,$I114/POW(10,$J114),$J114/POW(10,$I114))*MAXIFS(Token!$C:$C,Token!$A:$A,$K114)&gt;0.01),$L114/86400+DATE(1970,1,1)+$G$6,)</f>
        <v/>
      </c>
      <c r="B114" s="27" t="str">
        <f t="shared" si="1"/>
        <v/>
      </c>
      <c r="C114" s="14" t="str">
        <f>IF($A114&lt;&gt;"",MINIFS(Merchant!$A:$A,Merchant!$B:$B,$G$2),)</f>
        <v/>
      </c>
      <c r="D114" s="14" t="str">
        <f t="shared" si="2"/>
        <v/>
      </c>
      <c r="E114" s="14" t="str">
        <f t="shared" si="3"/>
        <v/>
      </c>
      <c r="F114" s="7" t="str">
        <f>IF($A114&lt;&gt;"",MAXIFS(Token!$C:$C,Token!$A:$A,$D114),)</f>
        <v/>
      </c>
    </row>
    <row r="115">
      <c r="A115" s="39" t="str">
        <f>IF(AND($L115*1&gt;=$G$3,$L115*1&lt;=$G$4,$I115*$J115&gt;0,OR($I115&lt;&gt;$I116,$L115-$L116&gt;25),IF(ABS($I115)&gt;10,$I115/POW(10,$J115),$J115/POW(10,$I115))*MAXIFS(Token!$C:$C,Token!$A:$A,$K115)&gt;0.01),$L115/86400+DATE(1970,1,1)+$G$6,)</f>
        <v/>
      </c>
      <c r="B115" s="27" t="str">
        <f t="shared" si="1"/>
        <v/>
      </c>
      <c r="C115" s="14" t="str">
        <f>IF($A115&lt;&gt;"",MINIFS(Merchant!$A:$A,Merchant!$B:$B,$G$2),)</f>
        <v/>
      </c>
      <c r="D115" s="14" t="str">
        <f t="shared" si="2"/>
        <v/>
      </c>
      <c r="E115" s="14" t="str">
        <f t="shared" si="3"/>
        <v/>
      </c>
      <c r="F115" s="7" t="str">
        <f>IF($A115&lt;&gt;"",MAXIFS(Token!$C:$C,Token!$A:$A,$D115),)</f>
        <v/>
      </c>
    </row>
    <row r="116">
      <c r="A116" s="39" t="str">
        <f>IF(AND($L116*1&gt;=$G$3,$L116*1&lt;=$G$4,$I116*$J116&gt;0,OR($I116&lt;&gt;$I117,$L116-$L117&gt;25),IF(ABS($I116)&gt;10,$I116/POW(10,$J116),$J116/POW(10,$I116))*MAXIFS(Token!$C:$C,Token!$A:$A,$K116)&gt;0.01),$L116/86400+DATE(1970,1,1)+$G$6,)</f>
        <v/>
      </c>
      <c r="B116" s="27" t="str">
        <f t="shared" si="1"/>
        <v/>
      </c>
      <c r="C116" s="14" t="str">
        <f>IF($A116&lt;&gt;"",MINIFS(Merchant!$A:$A,Merchant!$B:$B,$G$2),)</f>
        <v/>
      </c>
      <c r="D116" s="14" t="str">
        <f t="shared" si="2"/>
        <v/>
      </c>
      <c r="E116" s="14" t="str">
        <f t="shared" si="3"/>
        <v/>
      </c>
      <c r="F116" s="7" t="str">
        <f>IF($A116&lt;&gt;"",MAXIFS(Token!$C:$C,Token!$A:$A,$D116),)</f>
        <v/>
      </c>
    </row>
    <row r="117">
      <c r="A117" s="39" t="str">
        <f>IF(AND($L117*1&gt;=$G$3,$L117*1&lt;=$G$4,$I117*$J117&gt;0,OR($I117&lt;&gt;$I118,$L117-$L118&gt;25),IF(ABS($I117)&gt;10,$I117/POW(10,$J117),$J117/POW(10,$I117))*MAXIFS(Token!$C:$C,Token!$A:$A,$K117)&gt;0.01),$L117/86400+DATE(1970,1,1)+$G$6,)</f>
        <v/>
      </c>
      <c r="B117" s="27" t="str">
        <f t="shared" si="1"/>
        <v/>
      </c>
      <c r="C117" s="14" t="str">
        <f>IF($A117&lt;&gt;"",MINIFS(Merchant!$A:$A,Merchant!$B:$B,$G$2),)</f>
        <v/>
      </c>
      <c r="D117" s="14" t="str">
        <f t="shared" si="2"/>
        <v/>
      </c>
      <c r="E117" s="14" t="str">
        <f t="shared" si="3"/>
        <v/>
      </c>
      <c r="F117" s="7" t="str">
        <f>IF($A117&lt;&gt;"",MAXIFS(Token!$C:$C,Token!$A:$A,$D117),)</f>
        <v/>
      </c>
    </row>
    <row r="118">
      <c r="A118" s="39" t="str">
        <f>IF(AND($L118*1&gt;=$G$3,$L118*1&lt;=$G$4,$I118*$J118&gt;0,OR($I118&lt;&gt;$I119,$L118-$L119&gt;25),IF(ABS($I118)&gt;10,$I118/POW(10,$J118),$J118/POW(10,$I118))*MAXIFS(Token!$C:$C,Token!$A:$A,$K118)&gt;0.01),$L118/86400+DATE(1970,1,1)+$G$6,)</f>
        <v/>
      </c>
      <c r="B118" s="27" t="str">
        <f t="shared" si="1"/>
        <v/>
      </c>
      <c r="C118" s="14" t="str">
        <f>IF($A118&lt;&gt;"",MINIFS(Merchant!$A:$A,Merchant!$B:$B,$G$2),)</f>
        <v/>
      </c>
      <c r="D118" s="14" t="str">
        <f t="shared" si="2"/>
        <v/>
      </c>
      <c r="E118" s="14" t="str">
        <f t="shared" si="3"/>
        <v/>
      </c>
      <c r="F118" s="7" t="str">
        <f>IF($A118&lt;&gt;"",MAXIFS(Token!$C:$C,Token!$A:$A,$D118),)</f>
        <v/>
      </c>
    </row>
    <row r="119">
      <c r="A119" s="39" t="str">
        <f>IF(AND($L119*1&gt;=$G$3,$L119*1&lt;=$G$4,$I119*$J119&gt;0,OR($I119&lt;&gt;$I120,$L119-$L120&gt;25),IF(ABS($I119)&gt;10,$I119/POW(10,$J119),$J119/POW(10,$I119))*MAXIFS(Token!$C:$C,Token!$A:$A,$K119)&gt;0.01),$L119/86400+DATE(1970,1,1)+$G$6,)</f>
        <v/>
      </c>
      <c r="B119" s="27" t="str">
        <f t="shared" si="1"/>
        <v/>
      </c>
      <c r="C119" s="14" t="str">
        <f>IF($A119&lt;&gt;"",MINIFS(Merchant!$A:$A,Merchant!$B:$B,$G$2),)</f>
        <v/>
      </c>
      <c r="D119" s="14" t="str">
        <f t="shared" si="2"/>
        <v/>
      </c>
      <c r="E119" s="14" t="str">
        <f t="shared" si="3"/>
        <v/>
      </c>
      <c r="F119" s="7" t="str">
        <f>IF($A119&lt;&gt;"",MAXIFS(Token!$C:$C,Token!$A:$A,$D119),)</f>
        <v/>
      </c>
    </row>
    <row r="120">
      <c r="A120" s="39" t="str">
        <f>IF(AND($L120*1&gt;=$G$3,$L120*1&lt;=$G$4,$I120*$J120&gt;0,OR($I120&lt;&gt;$I121,$L120-$L121&gt;25),IF(ABS($I120)&gt;10,$I120/POW(10,$J120),$J120/POW(10,$I120))*MAXIFS(Token!$C:$C,Token!$A:$A,$K120)&gt;0.01),$L120/86400+DATE(1970,1,1)+$G$6,)</f>
        <v/>
      </c>
      <c r="B120" s="27" t="str">
        <f t="shared" si="1"/>
        <v/>
      </c>
      <c r="C120" s="14" t="str">
        <f>IF($A120&lt;&gt;"",MINIFS(Merchant!$A:$A,Merchant!$B:$B,$G$2),)</f>
        <v/>
      </c>
      <c r="D120" s="14" t="str">
        <f t="shared" si="2"/>
        <v/>
      </c>
      <c r="E120" s="14" t="str">
        <f t="shared" si="3"/>
        <v/>
      </c>
      <c r="F120" s="7" t="str">
        <f>IF($A120&lt;&gt;"",MAXIFS(Token!$C:$C,Token!$A:$A,$D120),)</f>
        <v/>
      </c>
    </row>
    <row r="121">
      <c r="A121" s="39" t="str">
        <f>IF(AND($L121*1&gt;=$G$3,$L121*1&lt;=$G$4,$I121*$J121&gt;0,OR($I121&lt;&gt;$I122,$L121-$L122&gt;25),IF(ABS($I121)&gt;10,$I121/POW(10,$J121),$J121/POW(10,$I121))*MAXIFS(Token!$C:$C,Token!$A:$A,$K121)&gt;0.01),$L121/86400+DATE(1970,1,1)+$G$6,)</f>
        <v/>
      </c>
      <c r="B121" s="27" t="str">
        <f t="shared" si="1"/>
        <v/>
      </c>
      <c r="C121" s="14" t="str">
        <f>IF($A121&lt;&gt;"",MINIFS(Merchant!$A:$A,Merchant!$B:$B,$G$2),)</f>
        <v/>
      </c>
      <c r="D121" s="14" t="str">
        <f t="shared" si="2"/>
        <v/>
      </c>
      <c r="E121" s="14" t="str">
        <f t="shared" si="3"/>
        <v/>
      </c>
      <c r="F121" s="7" t="str">
        <f>IF($A121&lt;&gt;"",MAXIFS(Token!$C:$C,Token!$A:$A,$D121),)</f>
        <v/>
      </c>
    </row>
    <row r="122">
      <c r="A122" s="39" t="str">
        <f>IF(AND($L122*1&gt;=$G$3,$L122*1&lt;=$G$4,$I122*$J122&gt;0,OR($I122&lt;&gt;$I123,$L122-$L123&gt;25),IF(ABS($I122)&gt;10,$I122/POW(10,$J122),$J122/POW(10,$I122))*MAXIFS(Token!$C:$C,Token!$A:$A,$K122)&gt;0.01),$L122/86400+DATE(1970,1,1)+$G$6,)</f>
        <v/>
      </c>
      <c r="B122" s="27" t="str">
        <f t="shared" si="1"/>
        <v/>
      </c>
      <c r="C122" s="14" t="str">
        <f>IF($A122&lt;&gt;"",MINIFS(Merchant!$A:$A,Merchant!$B:$B,$G$2),)</f>
        <v/>
      </c>
      <c r="D122" s="14" t="str">
        <f t="shared" si="2"/>
        <v/>
      </c>
      <c r="E122" s="14" t="str">
        <f t="shared" si="3"/>
        <v/>
      </c>
      <c r="F122" s="7" t="str">
        <f>IF($A122&lt;&gt;"",MAXIFS(Token!$C:$C,Token!$A:$A,$D122),)</f>
        <v/>
      </c>
    </row>
    <row r="123">
      <c r="A123" s="39" t="str">
        <f>IF(AND($L123*1&gt;=$G$3,$L123*1&lt;=$G$4,$I123*$J123&gt;0,OR($I123&lt;&gt;$I124,$L123-$L124&gt;25),IF(ABS($I123)&gt;10,$I123/POW(10,$J123),$J123/POW(10,$I123))*MAXIFS(Token!$C:$C,Token!$A:$A,$K123)&gt;0.01),$L123/86400+DATE(1970,1,1)+$G$6,)</f>
        <v/>
      </c>
      <c r="B123" s="27" t="str">
        <f t="shared" si="1"/>
        <v/>
      </c>
      <c r="C123" s="14" t="str">
        <f>IF($A123&lt;&gt;"",MINIFS(Merchant!$A:$A,Merchant!$B:$B,$G$2),)</f>
        <v/>
      </c>
      <c r="D123" s="14" t="str">
        <f t="shared" si="2"/>
        <v/>
      </c>
      <c r="E123" s="14" t="str">
        <f t="shared" si="3"/>
        <v/>
      </c>
      <c r="F123" s="7" t="str">
        <f>IF($A123&lt;&gt;"",MAXIFS(Token!$C:$C,Token!$A:$A,$D123),)</f>
        <v/>
      </c>
    </row>
    <row r="124">
      <c r="A124" s="39" t="str">
        <f>IF(AND($L124*1&gt;=$G$3,$L124*1&lt;=$G$4,$I124*$J124&gt;0,OR($I124&lt;&gt;$I125,$L124-$L125&gt;25),IF(ABS($I124)&gt;10,$I124/POW(10,$J124),$J124/POW(10,$I124))*MAXIFS(Token!$C:$C,Token!$A:$A,$K124)&gt;0.01),$L124/86400+DATE(1970,1,1)+$G$6,)</f>
        <v/>
      </c>
      <c r="B124" s="27" t="str">
        <f t="shared" si="1"/>
        <v/>
      </c>
      <c r="C124" s="14" t="str">
        <f>IF($A124&lt;&gt;"",MINIFS(Merchant!$A:$A,Merchant!$B:$B,$G$2),)</f>
        <v/>
      </c>
      <c r="D124" s="14" t="str">
        <f t="shared" si="2"/>
        <v/>
      </c>
      <c r="E124" s="14" t="str">
        <f t="shared" si="3"/>
        <v/>
      </c>
      <c r="F124" s="7" t="str">
        <f>IF($A124&lt;&gt;"",MAXIFS(Token!$C:$C,Token!$A:$A,$D124),)</f>
        <v/>
      </c>
    </row>
    <row r="125">
      <c r="A125" s="39" t="str">
        <f>IF(AND($L125*1&gt;=$G$3,$L125*1&lt;=$G$4,$I125*$J125&gt;0,OR($I125&lt;&gt;$I126,$L125-$L126&gt;25),IF(ABS($I125)&gt;10,$I125/POW(10,$J125),$J125/POW(10,$I125))*MAXIFS(Token!$C:$C,Token!$A:$A,$K125)&gt;0.01),$L125/86400+DATE(1970,1,1)+$G$6,)</f>
        <v/>
      </c>
      <c r="B125" s="27" t="str">
        <f t="shared" si="1"/>
        <v/>
      </c>
      <c r="C125" s="14" t="str">
        <f>IF($A125&lt;&gt;"",MINIFS(Merchant!$A:$A,Merchant!$B:$B,$G$2),)</f>
        <v/>
      </c>
      <c r="D125" s="14" t="str">
        <f t="shared" si="2"/>
        <v/>
      </c>
      <c r="E125" s="14" t="str">
        <f t="shared" si="3"/>
        <v/>
      </c>
      <c r="F125" s="7" t="str">
        <f>IF($A125&lt;&gt;"",MAXIFS(Token!$C:$C,Token!$A:$A,$D125),)</f>
        <v/>
      </c>
    </row>
    <row r="126">
      <c r="A126" s="39" t="str">
        <f>IF(AND($L126*1&gt;=$G$3,$L126*1&lt;=$G$4,$I126*$J126&gt;0,OR($I126&lt;&gt;$I127,$L126-$L127&gt;25),IF(ABS($I126)&gt;10,$I126/POW(10,$J126),$J126/POW(10,$I126))*MAXIFS(Token!$C:$C,Token!$A:$A,$K126)&gt;0.01),$L126/86400+DATE(1970,1,1)+$G$6,)</f>
        <v/>
      </c>
      <c r="B126" s="27" t="str">
        <f t="shared" si="1"/>
        <v/>
      </c>
      <c r="C126" s="14" t="str">
        <f>IF($A126&lt;&gt;"",MINIFS(Merchant!$A:$A,Merchant!$B:$B,$G$2),)</f>
        <v/>
      </c>
      <c r="D126" s="14" t="str">
        <f t="shared" si="2"/>
        <v/>
      </c>
      <c r="E126" s="14" t="str">
        <f t="shared" si="3"/>
        <v/>
      </c>
      <c r="F126" s="7" t="str">
        <f>IF($A126&lt;&gt;"",MAXIFS(Token!$C:$C,Token!$A:$A,$D126),)</f>
        <v/>
      </c>
    </row>
    <row r="127">
      <c r="A127" s="39" t="str">
        <f>IF(AND($L127*1&gt;=$G$3,$L127*1&lt;=$G$4,$I127*$J127&gt;0,OR($I127&lt;&gt;$I128,$L127-$L128&gt;25),IF(ABS($I127)&gt;10,$I127/POW(10,$J127),$J127/POW(10,$I127))*MAXIFS(Token!$C:$C,Token!$A:$A,$K127)&gt;0.01),$L127/86400+DATE(1970,1,1)+$G$6,)</f>
        <v/>
      </c>
      <c r="B127" s="27" t="str">
        <f t="shared" si="1"/>
        <v/>
      </c>
      <c r="C127" s="14" t="str">
        <f>IF($A127&lt;&gt;"",MINIFS(Merchant!$A:$A,Merchant!$B:$B,$G$2),)</f>
        <v/>
      </c>
      <c r="D127" s="14" t="str">
        <f t="shared" si="2"/>
        <v/>
      </c>
      <c r="E127" s="14" t="str">
        <f t="shared" si="3"/>
        <v/>
      </c>
      <c r="F127" s="7" t="str">
        <f>IF($A127&lt;&gt;"",MAXIFS(Token!$C:$C,Token!$A:$A,$D127),)</f>
        <v/>
      </c>
    </row>
    <row r="128">
      <c r="A128" s="39" t="str">
        <f>IF(AND($L128*1&gt;=$G$3,$L128*1&lt;=$G$4,$I128*$J128&gt;0,OR($I128&lt;&gt;$I129,$L128-$L129&gt;25),IF(ABS($I128)&gt;10,$I128/POW(10,$J128),$J128/POW(10,$I128))*MAXIFS(Token!$C:$C,Token!$A:$A,$K128)&gt;0.01),$L128/86400+DATE(1970,1,1)+$G$6,)</f>
        <v/>
      </c>
      <c r="B128" s="27" t="str">
        <f t="shared" si="1"/>
        <v/>
      </c>
      <c r="C128" s="14" t="str">
        <f>IF($A128&lt;&gt;"",MINIFS(Merchant!$A:$A,Merchant!$B:$B,$G$2),)</f>
        <v/>
      </c>
      <c r="D128" s="14" t="str">
        <f t="shared" si="2"/>
        <v/>
      </c>
      <c r="E128" s="14" t="str">
        <f t="shared" si="3"/>
        <v/>
      </c>
      <c r="F128" s="7" t="str">
        <f>IF($A128&lt;&gt;"",MAXIFS(Token!$C:$C,Token!$A:$A,$D128),)</f>
        <v/>
      </c>
    </row>
    <row r="129">
      <c r="A129" s="39" t="str">
        <f>IF(AND($L129*1&gt;=$G$3,$L129*1&lt;=$G$4,$I129*$J129&gt;0,OR($I129&lt;&gt;$I130,$L129-$L130&gt;25),IF(ABS($I129)&gt;10,$I129/POW(10,$J129),$J129/POW(10,$I129))*MAXIFS(Token!$C:$C,Token!$A:$A,$K129)&gt;0.01),$L129/86400+DATE(1970,1,1)+$G$6,)</f>
        <v/>
      </c>
      <c r="B129" s="27" t="str">
        <f t="shared" si="1"/>
        <v/>
      </c>
      <c r="C129" s="14" t="str">
        <f>IF($A129&lt;&gt;"",MINIFS(Merchant!$A:$A,Merchant!$B:$B,$G$2),)</f>
        <v/>
      </c>
      <c r="D129" s="14" t="str">
        <f t="shared" si="2"/>
        <v/>
      </c>
      <c r="E129" s="14" t="str">
        <f t="shared" si="3"/>
        <v/>
      </c>
      <c r="F129" s="7" t="str">
        <f>IF($A129&lt;&gt;"",MAXIFS(Token!$C:$C,Token!$A:$A,$D129),)</f>
        <v/>
      </c>
    </row>
    <row r="130">
      <c r="A130" s="39" t="str">
        <f>IF(AND($L130*1&gt;=$G$3,$L130*1&lt;=$G$4,$I130*$J130&gt;0,OR($I130&lt;&gt;$I131,$L130-$L131&gt;25),IF(ABS($I130)&gt;10,$I130/POW(10,$J130),$J130/POW(10,$I130))*MAXIFS(Token!$C:$C,Token!$A:$A,$K130)&gt;0.01),$L130/86400+DATE(1970,1,1)+$G$6,)</f>
        <v/>
      </c>
      <c r="B130" s="27" t="str">
        <f t="shared" si="1"/>
        <v/>
      </c>
      <c r="C130" s="14" t="str">
        <f>IF($A130&lt;&gt;"",MINIFS(Merchant!$A:$A,Merchant!$B:$B,$G$2),)</f>
        <v/>
      </c>
      <c r="D130" s="14" t="str">
        <f t="shared" si="2"/>
        <v/>
      </c>
      <c r="E130" s="14" t="str">
        <f t="shared" si="3"/>
        <v/>
      </c>
      <c r="F130" s="7" t="str">
        <f>IF($A130&lt;&gt;"",MAXIFS(Token!$C:$C,Token!$A:$A,$D130),)</f>
        <v/>
      </c>
    </row>
    <row r="131">
      <c r="A131" s="39" t="str">
        <f>IF(AND($L131*1&gt;=$G$3,$L131*1&lt;=$G$4,$I131*$J131&gt;0,OR($I131&lt;&gt;$I132,$L131-$L132&gt;25),IF(ABS($I131)&gt;10,$I131/POW(10,$J131),$J131/POW(10,$I131))*MAXIFS(Token!$C:$C,Token!$A:$A,$K131)&gt;0.01),$L131/86400+DATE(1970,1,1)+$G$6,)</f>
        <v/>
      </c>
      <c r="B131" s="27" t="str">
        <f t="shared" si="1"/>
        <v/>
      </c>
      <c r="C131" s="14" t="str">
        <f>IF($A131&lt;&gt;"",MINIFS(Merchant!$A:$A,Merchant!$B:$B,$G$2),)</f>
        <v/>
      </c>
      <c r="D131" s="14" t="str">
        <f t="shared" si="2"/>
        <v/>
      </c>
      <c r="E131" s="14" t="str">
        <f t="shared" si="3"/>
        <v/>
      </c>
      <c r="F131" s="7" t="str">
        <f>IF($A131&lt;&gt;"",MAXIFS(Token!$C:$C,Token!$A:$A,$D131),)</f>
        <v/>
      </c>
    </row>
    <row r="132">
      <c r="A132" s="39" t="str">
        <f>IF(AND($L132*1&gt;=$G$3,$L132*1&lt;=$G$4,$I132*$J132&gt;0,OR($I132&lt;&gt;$I133,$L132-$L133&gt;25),IF(ABS($I132)&gt;10,$I132/POW(10,$J132),$J132/POW(10,$I132))*MAXIFS(Token!$C:$C,Token!$A:$A,$K132)&gt;0.01),$L132/86400+DATE(1970,1,1)+$G$6,)</f>
        <v/>
      </c>
      <c r="B132" s="27" t="str">
        <f t="shared" si="1"/>
        <v/>
      </c>
      <c r="C132" s="14" t="str">
        <f>IF($A132&lt;&gt;"",MINIFS(Merchant!$A:$A,Merchant!$B:$B,$G$2),)</f>
        <v/>
      </c>
      <c r="D132" s="14" t="str">
        <f t="shared" si="2"/>
        <v/>
      </c>
      <c r="E132" s="14" t="str">
        <f t="shared" si="3"/>
        <v/>
      </c>
      <c r="F132" s="7" t="str">
        <f>IF($A132&lt;&gt;"",MAXIFS(Token!$C:$C,Token!$A:$A,$D132),)</f>
        <v/>
      </c>
    </row>
    <row r="133">
      <c r="A133" s="39" t="str">
        <f>IF(AND($L133*1&gt;=$G$3,$L133*1&lt;=$G$4,$I133*$J133&gt;0,OR($I133&lt;&gt;$I134,$L133-$L134&gt;25),IF(ABS($I133)&gt;10,$I133/POW(10,$J133),$J133/POW(10,$I133))*MAXIFS(Token!$C:$C,Token!$A:$A,$K133)&gt;0.01),$L133/86400+DATE(1970,1,1)+$G$6,)</f>
        <v/>
      </c>
      <c r="B133" s="27" t="str">
        <f t="shared" si="1"/>
        <v/>
      </c>
      <c r="C133" s="14" t="str">
        <f>IF($A133&lt;&gt;"",MINIFS(Merchant!$A:$A,Merchant!$B:$B,$G$2),)</f>
        <v/>
      </c>
      <c r="D133" s="14" t="str">
        <f t="shared" si="2"/>
        <v/>
      </c>
      <c r="E133" s="14" t="str">
        <f t="shared" si="3"/>
        <v/>
      </c>
      <c r="F133" s="7" t="str">
        <f>IF($A133&lt;&gt;"",MAXIFS(Token!$C:$C,Token!$A:$A,$D133),)</f>
        <v/>
      </c>
    </row>
    <row r="134">
      <c r="A134" s="39" t="str">
        <f>IF(AND($L134*1&gt;=$G$3,$L134*1&lt;=$G$4,$I134*$J134&gt;0,OR($I134&lt;&gt;$I135,$L134-$L135&gt;25),IF(ABS($I134)&gt;10,$I134/POW(10,$J134),$J134/POW(10,$I134))*MAXIFS(Token!$C:$C,Token!$A:$A,$K134)&gt;0.01),$L134/86400+DATE(1970,1,1)+$G$6,)</f>
        <v/>
      </c>
      <c r="B134" s="27" t="str">
        <f t="shared" si="1"/>
        <v/>
      </c>
      <c r="C134" s="14" t="str">
        <f>IF($A134&lt;&gt;"",MINIFS(Merchant!$A:$A,Merchant!$B:$B,$G$2),)</f>
        <v/>
      </c>
      <c r="D134" s="14" t="str">
        <f t="shared" si="2"/>
        <v/>
      </c>
      <c r="E134" s="14" t="str">
        <f t="shared" si="3"/>
        <v/>
      </c>
      <c r="F134" s="7" t="str">
        <f>IF($A134&lt;&gt;"",MAXIFS(Token!$C:$C,Token!$A:$A,$D134),)</f>
        <v/>
      </c>
    </row>
    <row r="135">
      <c r="A135" s="39" t="str">
        <f>IF(AND($L135*1&gt;=$G$3,$L135*1&lt;=$G$4,$I135*$J135&gt;0,OR($I135&lt;&gt;$I136,$L135-$L136&gt;25),IF(ABS($I135)&gt;10,$I135/POW(10,$J135),$J135/POW(10,$I135))*MAXIFS(Token!$C:$C,Token!$A:$A,$K135)&gt;0.01),$L135/86400+DATE(1970,1,1)+$G$6,)</f>
        <v/>
      </c>
      <c r="B135" s="27" t="str">
        <f t="shared" si="1"/>
        <v/>
      </c>
      <c r="C135" s="14" t="str">
        <f>IF($A135&lt;&gt;"",MINIFS(Merchant!$A:$A,Merchant!$B:$B,$G$2),)</f>
        <v/>
      </c>
      <c r="D135" s="14" t="str">
        <f t="shared" si="2"/>
        <v/>
      </c>
      <c r="E135" s="14" t="str">
        <f t="shared" si="3"/>
        <v/>
      </c>
      <c r="F135" s="7" t="str">
        <f>IF($A135&lt;&gt;"",MAXIFS(Token!$C:$C,Token!$A:$A,$D135),)</f>
        <v/>
      </c>
    </row>
    <row r="136">
      <c r="A136" s="39" t="str">
        <f>IF(AND($L136*1&gt;=$G$3,$L136*1&lt;=$G$4,$I136*$J136&gt;0,OR($I136&lt;&gt;$I137,$L136-$L137&gt;25),IF(ABS($I136)&gt;10,$I136/POW(10,$J136),$J136/POW(10,$I136))*MAXIFS(Token!$C:$C,Token!$A:$A,$K136)&gt;0.01),$L136/86400+DATE(1970,1,1)+$G$6,)</f>
        <v/>
      </c>
      <c r="B136" s="27" t="str">
        <f t="shared" si="1"/>
        <v/>
      </c>
      <c r="C136" s="14" t="str">
        <f>IF($A136&lt;&gt;"",MINIFS(Merchant!$A:$A,Merchant!$B:$B,$G$2),)</f>
        <v/>
      </c>
      <c r="D136" s="14" t="str">
        <f t="shared" si="2"/>
        <v/>
      </c>
      <c r="E136" s="14" t="str">
        <f t="shared" si="3"/>
        <v/>
      </c>
      <c r="F136" s="7" t="str">
        <f>IF($A136&lt;&gt;"",MAXIFS(Token!$C:$C,Token!$A:$A,$D136),)</f>
        <v/>
      </c>
    </row>
    <row r="137">
      <c r="A137" s="39" t="str">
        <f>IF(AND($L137*1&gt;=$G$3,$L137*1&lt;=$G$4,$I137*$J137&gt;0,OR($I137&lt;&gt;$I138,$L137-$L138&gt;25),IF(ABS($I137)&gt;10,$I137/POW(10,$J137),$J137/POW(10,$I137))*MAXIFS(Token!$C:$C,Token!$A:$A,$K137)&gt;0.01),$L137/86400+DATE(1970,1,1)+$G$6,)</f>
        <v/>
      </c>
      <c r="B137" s="27" t="str">
        <f t="shared" si="1"/>
        <v/>
      </c>
      <c r="C137" s="14" t="str">
        <f>IF($A137&lt;&gt;"",MINIFS(Merchant!$A:$A,Merchant!$B:$B,$G$2),)</f>
        <v/>
      </c>
      <c r="D137" s="14" t="str">
        <f t="shared" si="2"/>
        <v/>
      </c>
      <c r="E137" s="14" t="str">
        <f t="shared" si="3"/>
        <v/>
      </c>
      <c r="F137" s="7" t="str">
        <f>IF($A137&lt;&gt;"",MAXIFS(Token!$C:$C,Token!$A:$A,$D137),)</f>
        <v/>
      </c>
    </row>
    <row r="138">
      <c r="A138" s="39" t="str">
        <f>IF(AND($L138*1&gt;=$G$3,$L138*1&lt;=$G$4,$I138*$J138&gt;0,OR($I138&lt;&gt;$I139,$L138-$L139&gt;25),IF(ABS($I138)&gt;10,$I138/POW(10,$J138),$J138/POW(10,$I138))*MAXIFS(Token!$C:$C,Token!$A:$A,$K138)&gt;0.01),$L138/86400+DATE(1970,1,1)+$G$6,)</f>
        <v/>
      </c>
      <c r="B138" s="27" t="str">
        <f t="shared" si="1"/>
        <v/>
      </c>
      <c r="C138" s="14" t="str">
        <f>IF($A138&lt;&gt;"",MINIFS(Merchant!$A:$A,Merchant!$B:$B,$G$2),)</f>
        <v/>
      </c>
      <c r="D138" s="14" t="str">
        <f t="shared" si="2"/>
        <v/>
      </c>
      <c r="E138" s="14" t="str">
        <f t="shared" si="3"/>
        <v/>
      </c>
      <c r="F138" s="7" t="str">
        <f>IF($A138&lt;&gt;"",MAXIFS(Token!$C:$C,Token!$A:$A,$D138),)</f>
        <v/>
      </c>
    </row>
    <row r="139">
      <c r="A139" s="39" t="str">
        <f>IF(AND($L139*1&gt;=$G$3,$L139*1&lt;=$G$4,$I139*$J139&gt;0,OR($I139&lt;&gt;$I140,$L139-$L140&gt;25),IF(ABS($I139)&gt;10,$I139/POW(10,$J139),$J139/POW(10,$I139))*MAXIFS(Token!$C:$C,Token!$A:$A,$K139)&gt;0.01),$L139/86400+DATE(1970,1,1)+$G$6,)</f>
        <v/>
      </c>
      <c r="B139" s="27" t="str">
        <f t="shared" si="1"/>
        <v/>
      </c>
      <c r="C139" s="14" t="str">
        <f>IF($A139&lt;&gt;"",MINIFS(Merchant!$A:$A,Merchant!$B:$B,$G$2),)</f>
        <v/>
      </c>
      <c r="D139" s="14" t="str">
        <f t="shared" si="2"/>
        <v/>
      </c>
      <c r="E139" s="14" t="str">
        <f t="shared" si="3"/>
        <v/>
      </c>
      <c r="F139" s="7" t="str">
        <f>IF($A139&lt;&gt;"",MAXIFS(Token!$C:$C,Token!$A:$A,$D139),)</f>
        <v/>
      </c>
    </row>
    <row r="140">
      <c r="A140" s="39" t="str">
        <f>IF(AND($L140*1&gt;=$G$3,$L140*1&lt;=$G$4,$I140*$J140&gt;0,OR($I140&lt;&gt;$I141,$L140-$L141&gt;25),IF(ABS($I140)&gt;10,$I140/POW(10,$J140),$J140/POW(10,$I140))*MAXIFS(Token!$C:$C,Token!$A:$A,$K140)&gt;0.01),$L140/86400+DATE(1970,1,1)+$G$6,)</f>
        <v/>
      </c>
      <c r="B140" s="27" t="str">
        <f t="shared" si="1"/>
        <v/>
      </c>
      <c r="C140" s="14" t="str">
        <f>IF($A140&lt;&gt;"",MINIFS(Merchant!$A:$A,Merchant!$B:$B,$G$2),)</f>
        <v/>
      </c>
      <c r="D140" s="14" t="str">
        <f t="shared" si="2"/>
        <v/>
      </c>
      <c r="E140" s="14" t="str">
        <f t="shared" si="3"/>
        <v/>
      </c>
      <c r="F140" s="7" t="str">
        <f>IF($A140&lt;&gt;"",MAXIFS(Token!$C:$C,Token!$A:$A,$D140),)</f>
        <v/>
      </c>
    </row>
    <row r="141">
      <c r="A141" s="39" t="str">
        <f>IF(AND($L141*1&gt;=$G$3,$L141*1&lt;=$G$4,$I141*$J141&gt;0,OR($I141&lt;&gt;$I142,$L141-$L142&gt;25),IF(ABS($I141)&gt;10,$I141/POW(10,$J141),$J141/POW(10,$I141))*MAXIFS(Token!$C:$C,Token!$A:$A,$K141)&gt;0.01),$L141/86400+DATE(1970,1,1)+$G$6,)</f>
        <v/>
      </c>
      <c r="B141" s="27" t="str">
        <f t="shared" si="1"/>
        <v/>
      </c>
      <c r="C141" s="14" t="str">
        <f>IF($A141&lt;&gt;"",MINIFS(Merchant!$A:$A,Merchant!$B:$B,$G$2),)</f>
        <v/>
      </c>
      <c r="D141" s="14" t="str">
        <f t="shared" si="2"/>
        <v/>
      </c>
      <c r="E141" s="14" t="str">
        <f t="shared" si="3"/>
        <v/>
      </c>
      <c r="F141" s="7" t="str">
        <f>IF($A141&lt;&gt;"",MAXIFS(Token!$C:$C,Token!$A:$A,$D141),)</f>
        <v/>
      </c>
    </row>
    <row r="142">
      <c r="A142" s="39" t="str">
        <f>IF(AND($L142*1&gt;=$G$3,$L142*1&lt;=$G$4,$I142*$J142&gt;0,OR($I142&lt;&gt;$I143,$L142-$L143&gt;25),IF(ABS($I142)&gt;10,$I142/POW(10,$J142),$J142/POW(10,$I142))*MAXIFS(Token!$C:$C,Token!$A:$A,$K142)&gt;0.01),$L142/86400+DATE(1970,1,1)+$G$6,)</f>
        <v/>
      </c>
      <c r="B142" s="27" t="str">
        <f t="shared" si="1"/>
        <v/>
      </c>
      <c r="C142" s="14" t="str">
        <f>IF($A142&lt;&gt;"",MINIFS(Merchant!$A:$A,Merchant!$B:$B,$G$2),)</f>
        <v/>
      </c>
      <c r="D142" s="14" t="str">
        <f t="shared" si="2"/>
        <v/>
      </c>
      <c r="E142" s="14" t="str">
        <f t="shared" si="3"/>
        <v/>
      </c>
      <c r="F142" s="7" t="str">
        <f>IF($A142&lt;&gt;"",MAXIFS(Token!$C:$C,Token!$A:$A,$D142),)</f>
        <v/>
      </c>
    </row>
    <row r="143">
      <c r="A143" s="39" t="str">
        <f>IF(AND($L143*1&gt;=$G$3,$L143*1&lt;=$G$4,$I143*$J143&gt;0,OR($I143&lt;&gt;$I144,$L143-$L144&gt;25),IF(ABS($I143)&gt;10,$I143/POW(10,$J143),$J143/POW(10,$I143))*MAXIFS(Token!$C:$C,Token!$A:$A,$K143)&gt;0.01),$L143/86400+DATE(1970,1,1)+$G$6,)</f>
        <v/>
      </c>
      <c r="B143" s="27" t="str">
        <f t="shared" si="1"/>
        <v/>
      </c>
      <c r="C143" s="14" t="str">
        <f>IF($A143&lt;&gt;"",MINIFS(Merchant!$A:$A,Merchant!$B:$B,$G$2),)</f>
        <v/>
      </c>
      <c r="D143" s="14" t="str">
        <f t="shared" si="2"/>
        <v/>
      </c>
      <c r="E143" s="14" t="str">
        <f t="shared" si="3"/>
        <v/>
      </c>
      <c r="F143" s="7" t="str">
        <f>IF($A143&lt;&gt;"",MAXIFS(Token!$C:$C,Token!$A:$A,$D143),)</f>
        <v/>
      </c>
    </row>
    <row r="144">
      <c r="A144" s="39" t="str">
        <f>IF(AND($L144*1&gt;=$G$3,$L144*1&lt;=$G$4,$I144*$J144&gt;0,OR($I144&lt;&gt;$I145,$L144-$L145&gt;25),IF(ABS($I144)&gt;10,$I144/POW(10,$J144),$J144/POW(10,$I144))*MAXIFS(Token!$C:$C,Token!$A:$A,$K144)&gt;0.01),$L144/86400+DATE(1970,1,1)+$G$6,)</f>
        <v/>
      </c>
      <c r="B144" s="27" t="str">
        <f t="shared" si="1"/>
        <v/>
      </c>
      <c r="C144" s="14" t="str">
        <f>IF($A144&lt;&gt;"",MINIFS(Merchant!$A:$A,Merchant!$B:$B,$G$2),)</f>
        <v/>
      </c>
      <c r="D144" s="14" t="str">
        <f t="shared" si="2"/>
        <v/>
      </c>
      <c r="E144" s="14" t="str">
        <f t="shared" si="3"/>
        <v/>
      </c>
      <c r="F144" s="7" t="str">
        <f>IF($A144&lt;&gt;"",MAXIFS(Token!$C:$C,Token!$A:$A,$D144),)</f>
        <v/>
      </c>
    </row>
    <row r="145">
      <c r="A145" s="39" t="str">
        <f>IF(AND($L145*1&gt;=$G$3,$L145*1&lt;=$G$4,$I145*$J145&gt;0,OR($I145&lt;&gt;$I146,$L145-$L146&gt;25),IF(ABS($I145)&gt;10,$I145/POW(10,$J145),$J145/POW(10,$I145))*MAXIFS(Token!$C:$C,Token!$A:$A,$K145)&gt;0.01),$L145/86400+DATE(1970,1,1)+$G$6,)</f>
        <v/>
      </c>
      <c r="B145" s="27" t="str">
        <f t="shared" si="1"/>
        <v/>
      </c>
      <c r="C145" s="14" t="str">
        <f>IF($A145&lt;&gt;"",MINIFS(Merchant!$A:$A,Merchant!$B:$B,$G$2),)</f>
        <v/>
      </c>
      <c r="D145" s="14" t="str">
        <f t="shared" si="2"/>
        <v/>
      </c>
      <c r="E145" s="14" t="str">
        <f t="shared" si="3"/>
        <v/>
      </c>
      <c r="F145" s="7" t="str">
        <f>IF($A145&lt;&gt;"",MAXIFS(Token!$C:$C,Token!$A:$A,$D145),)</f>
        <v/>
      </c>
    </row>
    <row r="146">
      <c r="A146" s="39" t="str">
        <f>IF(AND($L146*1&gt;=$G$3,$L146*1&lt;=$G$4,$I146*$J146&gt;0,OR($I146&lt;&gt;$I147,$L146-$L147&gt;25),IF(ABS($I146)&gt;10,$I146/POW(10,$J146),$J146/POW(10,$I146))*MAXIFS(Token!$C:$C,Token!$A:$A,$K146)&gt;0.01),$L146/86400+DATE(1970,1,1)+$G$6,)</f>
        <v/>
      </c>
      <c r="B146" s="27" t="str">
        <f t="shared" si="1"/>
        <v/>
      </c>
      <c r="C146" s="14" t="str">
        <f>IF($A146&lt;&gt;"",MINIFS(Merchant!$A:$A,Merchant!$B:$B,$G$2),)</f>
        <v/>
      </c>
      <c r="D146" s="14" t="str">
        <f t="shared" si="2"/>
        <v/>
      </c>
      <c r="E146" s="14" t="str">
        <f t="shared" si="3"/>
        <v/>
      </c>
      <c r="F146" s="7" t="str">
        <f>IF($A146&lt;&gt;"",MAXIFS(Token!$C:$C,Token!$A:$A,$D146),)</f>
        <v/>
      </c>
    </row>
    <row r="147">
      <c r="A147" s="39" t="str">
        <f>IF(AND($L147*1&gt;=$G$3,$L147*1&lt;=$G$4,$I147*$J147&gt;0,OR($I147&lt;&gt;$I148,$L147-$L148&gt;25),IF(ABS($I147)&gt;10,$I147/POW(10,$J147),$J147/POW(10,$I147))*MAXIFS(Token!$C:$C,Token!$A:$A,$K147)&gt;0.01),$L147/86400+DATE(1970,1,1)+$G$6,)</f>
        <v/>
      </c>
      <c r="B147" s="27" t="str">
        <f t="shared" si="1"/>
        <v/>
      </c>
      <c r="C147" s="14" t="str">
        <f>IF($A147&lt;&gt;"",MINIFS(Merchant!$A:$A,Merchant!$B:$B,$G$2),)</f>
        <v/>
      </c>
      <c r="D147" s="14" t="str">
        <f t="shared" si="2"/>
        <v/>
      </c>
      <c r="E147" s="14" t="str">
        <f t="shared" si="3"/>
        <v/>
      </c>
      <c r="F147" s="7" t="str">
        <f>IF($A147&lt;&gt;"",MAXIFS(Token!$C:$C,Token!$A:$A,$D147),)</f>
        <v/>
      </c>
    </row>
    <row r="148">
      <c r="A148" s="39" t="str">
        <f>IF(AND($L148*1&gt;=$G$3,$L148*1&lt;=$G$4,$I148*$J148&gt;0,OR($I148&lt;&gt;$I149,$L148-$L149&gt;25),IF(ABS($I148)&gt;10,$I148/POW(10,$J148),$J148/POW(10,$I148))*MAXIFS(Token!$C:$C,Token!$A:$A,$K148)&gt;0.01),$L148/86400+DATE(1970,1,1)+$G$6,)</f>
        <v/>
      </c>
      <c r="B148" s="27" t="str">
        <f t="shared" si="1"/>
        <v/>
      </c>
      <c r="C148" s="14" t="str">
        <f>IF($A148&lt;&gt;"",MINIFS(Merchant!$A:$A,Merchant!$B:$B,$G$2),)</f>
        <v/>
      </c>
      <c r="D148" s="14" t="str">
        <f t="shared" si="2"/>
        <v/>
      </c>
      <c r="E148" s="14" t="str">
        <f t="shared" si="3"/>
        <v/>
      </c>
      <c r="F148" s="7" t="str">
        <f>IF($A148&lt;&gt;"",MAXIFS(Token!$C:$C,Token!$A:$A,$D148),)</f>
        <v/>
      </c>
    </row>
    <row r="149">
      <c r="A149" s="39" t="str">
        <f>IF(AND($L149*1&gt;=$G$3,$L149*1&lt;=$G$4,$I149*$J149&gt;0,OR($I149&lt;&gt;$I150,$L149-$L150&gt;25),IF(ABS($I149)&gt;10,$I149/POW(10,$J149),$J149/POW(10,$I149))*MAXIFS(Token!$C:$C,Token!$A:$A,$K149)&gt;0.01),$L149/86400+DATE(1970,1,1)+$G$6,)</f>
        <v/>
      </c>
      <c r="B149" s="27" t="str">
        <f t="shared" si="1"/>
        <v/>
      </c>
      <c r="C149" s="14" t="str">
        <f>IF($A149&lt;&gt;"",MINIFS(Merchant!$A:$A,Merchant!$B:$B,$G$2),)</f>
        <v/>
      </c>
      <c r="D149" s="14" t="str">
        <f t="shared" si="2"/>
        <v/>
      </c>
      <c r="E149" s="14" t="str">
        <f t="shared" si="3"/>
        <v/>
      </c>
      <c r="F149" s="7" t="str">
        <f>IF($A149&lt;&gt;"",MAXIFS(Token!$C:$C,Token!$A:$A,$D149),)</f>
        <v/>
      </c>
    </row>
    <row r="150">
      <c r="A150" s="39" t="str">
        <f>IF(AND($L150*1&gt;=$G$3,$L150*1&lt;=$G$4,$I150*$J150&gt;0,OR($I150&lt;&gt;$I151,$L150-$L151&gt;25),IF(ABS($I150)&gt;10,$I150/POW(10,$J150),$J150/POW(10,$I150))*MAXIFS(Token!$C:$C,Token!$A:$A,$K150)&gt;0.01),$L150/86400+DATE(1970,1,1)+$G$6,)</f>
        <v/>
      </c>
      <c r="B150" s="27" t="str">
        <f t="shared" si="1"/>
        <v/>
      </c>
      <c r="C150" s="14" t="str">
        <f>IF($A150&lt;&gt;"",MINIFS(Merchant!$A:$A,Merchant!$B:$B,$G$2),)</f>
        <v/>
      </c>
      <c r="D150" s="14" t="str">
        <f t="shared" si="2"/>
        <v/>
      </c>
      <c r="E150" s="14" t="str">
        <f t="shared" si="3"/>
        <v/>
      </c>
      <c r="F150" s="7" t="str">
        <f>IF($A150&lt;&gt;"",MAXIFS(Token!$C:$C,Token!$A:$A,$D150),)</f>
        <v/>
      </c>
    </row>
    <row r="151">
      <c r="A151" s="39" t="str">
        <f>IF(AND($L151*1&gt;=$G$3,$L151*1&lt;=$G$4,$I151*$J151&gt;0,OR($I151&lt;&gt;$I152,$L151-$L152&gt;25),IF(ABS($I151)&gt;10,$I151/POW(10,$J151),$J151/POW(10,$I151))*MAXIFS(Token!$C:$C,Token!$A:$A,$K151)&gt;0.01),$L151/86400+DATE(1970,1,1)+$G$6,)</f>
        <v/>
      </c>
      <c r="B151" s="27" t="str">
        <f t="shared" si="1"/>
        <v/>
      </c>
      <c r="C151" s="14" t="str">
        <f>IF($A151&lt;&gt;"",MINIFS(Merchant!$A:$A,Merchant!$B:$B,$G$2),)</f>
        <v/>
      </c>
      <c r="D151" s="14" t="str">
        <f t="shared" si="2"/>
        <v/>
      </c>
      <c r="E151" s="14" t="str">
        <f t="shared" si="3"/>
        <v/>
      </c>
      <c r="F151" s="7" t="str">
        <f>IF($A151&lt;&gt;"",MAXIFS(Token!$C:$C,Token!$A:$A,$D151),)</f>
        <v/>
      </c>
    </row>
    <row r="152">
      <c r="A152" s="39" t="str">
        <f>IF(AND($L152*1&gt;=$G$3,$L152*1&lt;=$G$4,$I152*$J152&gt;0,OR($I152&lt;&gt;$I153,$L152-$L153&gt;25),IF(ABS($I152)&gt;10,$I152/POW(10,$J152),$J152/POW(10,$I152))*MAXIFS(Token!$C:$C,Token!$A:$A,$K152)&gt;0.01),$L152/86400+DATE(1970,1,1)+$G$6,)</f>
        <v/>
      </c>
      <c r="B152" s="27" t="str">
        <f t="shared" si="1"/>
        <v/>
      </c>
      <c r="C152" s="14" t="str">
        <f>IF($A152&lt;&gt;"",MINIFS(Merchant!$A:$A,Merchant!$B:$B,$G$2),)</f>
        <v/>
      </c>
      <c r="D152" s="14" t="str">
        <f t="shared" si="2"/>
        <v/>
      </c>
      <c r="E152" s="14" t="str">
        <f t="shared" si="3"/>
        <v/>
      </c>
      <c r="F152" s="7" t="str">
        <f>IF($A152&lt;&gt;"",MAXIFS(Token!$C:$C,Token!$A:$A,$D152),)</f>
        <v/>
      </c>
    </row>
    <row r="153">
      <c r="A153" s="39" t="str">
        <f>IF(AND($L153*1&gt;=$G$3,$L153*1&lt;=$G$4,$I153*$J153&gt;0,OR($I153&lt;&gt;$I154,$L153-$L154&gt;25),IF(ABS($I153)&gt;10,$I153/POW(10,$J153),$J153/POW(10,$I153))*MAXIFS(Token!$C:$C,Token!$A:$A,$K153)&gt;0.01),$L153/86400+DATE(1970,1,1)+$G$6,)</f>
        <v/>
      </c>
      <c r="B153" s="27" t="str">
        <f t="shared" si="1"/>
        <v/>
      </c>
      <c r="C153" s="14" t="str">
        <f>IF($A153&lt;&gt;"",MINIFS(Merchant!$A:$A,Merchant!$B:$B,$G$2),)</f>
        <v/>
      </c>
      <c r="D153" s="14" t="str">
        <f t="shared" si="2"/>
        <v/>
      </c>
      <c r="E153" s="14" t="str">
        <f t="shared" si="3"/>
        <v/>
      </c>
      <c r="F153" s="7" t="str">
        <f>IF($A153&lt;&gt;"",MAXIFS(Token!$C:$C,Token!$A:$A,$D153),)</f>
        <v/>
      </c>
    </row>
    <row r="154">
      <c r="A154" s="39" t="str">
        <f>IF(AND($L154*1&gt;=$G$3,$L154*1&lt;=$G$4,$I154*$J154&gt;0,OR($I154&lt;&gt;$I155,$L154-$L155&gt;25),IF(ABS($I154)&gt;10,$I154/POW(10,$J154),$J154/POW(10,$I154))*MAXIFS(Token!$C:$C,Token!$A:$A,$K154)&gt;0.01),$L154/86400+DATE(1970,1,1)+$G$6,)</f>
        <v/>
      </c>
      <c r="B154" s="27" t="str">
        <f t="shared" si="1"/>
        <v/>
      </c>
      <c r="C154" s="14" t="str">
        <f>IF($A154&lt;&gt;"",MINIFS(Merchant!$A:$A,Merchant!$B:$B,$G$2),)</f>
        <v/>
      </c>
      <c r="D154" s="14" t="str">
        <f t="shared" si="2"/>
        <v/>
      </c>
      <c r="E154" s="14" t="str">
        <f t="shared" si="3"/>
        <v/>
      </c>
      <c r="F154" s="7" t="str">
        <f>IF($A154&lt;&gt;"",MAXIFS(Token!$C:$C,Token!$A:$A,$D154),)</f>
        <v/>
      </c>
    </row>
    <row r="155">
      <c r="A155" s="39" t="str">
        <f>IF(AND($L155*1&gt;=$G$3,$L155*1&lt;=$G$4,$I155*$J155&gt;0,OR($I155&lt;&gt;$I156,$L155-$L156&gt;25),IF(ABS($I155)&gt;10,$I155/POW(10,$J155),$J155/POW(10,$I155))*MAXIFS(Token!$C:$C,Token!$A:$A,$K155)&gt;0.01),$L155/86400+DATE(1970,1,1)+$G$6,)</f>
        <v/>
      </c>
      <c r="B155" s="27" t="str">
        <f t="shared" si="1"/>
        <v/>
      </c>
      <c r="C155" s="14" t="str">
        <f>IF($A155&lt;&gt;"",MINIFS(Merchant!$A:$A,Merchant!$B:$B,$G$2),)</f>
        <v/>
      </c>
      <c r="D155" s="14" t="str">
        <f t="shared" si="2"/>
        <v/>
      </c>
      <c r="E155" s="14" t="str">
        <f t="shared" si="3"/>
        <v/>
      </c>
      <c r="F155" s="7" t="str">
        <f>IF($A155&lt;&gt;"",MAXIFS(Token!$C:$C,Token!$A:$A,$D155),)</f>
        <v/>
      </c>
    </row>
    <row r="156">
      <c r="A156" s="39" t="str">
        <f>IF(AND($L156*1&gt;=$G$3,$L156*1&lt;=$G$4,$I156*$J156&gt;0,OR($I156&lt;&gt;$I157,$L156-$L157&gt;25),IF(ABS($I156)&gt;10,$I156/POW(10,$J156),$J156/POW(10,$I156))*MAXIFS(Token!$C:$C,Token!$A:$A,$K156)&gt;0.01),$L156/86400+DATE(1970,1,1)+$G$6,)</f>
        <v/>
      </c>
      <c r="B156" s="27" t="str">
        <f t="shared" si="1"/>
        <v/>
      </c>
      <c r="C156" s="14" t="str">
        <f>IF($A156&lt;&gt;"",MINIFS(Merchant!$A:$A,Merchant!$B:$B,$G$2),)</f>
        <v/>
      </c>
      <c r="D156" s="14" t="str">
        <f t="shared" si="2"/>
        <v/>
      </c>
      <c r="E156" s="14" t="str">
        <f t="shared" si="3"/>
        <v/>
      </c>
      <c r="F156" s="7" t="str">
        <f>IF($A156&lt;&gt;"",MAXIFS(Token!$C:$C,Token!$A:$A,$D156),)</f>
        <v/>
      </c>
    </row>
    <row r="157">
      <c r="A157" s="39" t="str">
        <f>IF(AND($L157*1&gt;=$G$3,$L157*1&lt;=$G$4,$I157*$J157&gt;0,OR($I157&lt;&gt;$I158,$L157-$L158&gt;25),IF(ABS($I157)&gt;10,$I157/POW(10,$J157),$J157/POW(10,$I157))*MAXIFS(Token!$C:$C,Token!$A:$A,$K157)&gt;0.01),$L157/86400+DATE(1970,1,1)+$G$6,)</f>
        <v/>
      </c>
      <c r="B157" s="27" t="str">
        <f t="shared" si="1"/>
        <v/>
      </c>
      <c r="C157" s="14" t="str">
        <f>IF($A157&lt;&gt;"",MINIFS(Merchant!$A:$A,Merchant!$B:$B,$G$2),)</f>
        <v/>
      </c>
      <c r="D157" s="14" t="str">
        <f t="shared" si="2"/>
        <v/>
      </c>
      <c r="E157" s="14" t="str">
        <f t="shared" si="3"/>
        <v/>
      </c>
      <c r="F157" s="7" t="str">
        <f>IF($A157&lt;&gt;"",MAXIFS(Token!$C:$C,Token!$A:$A,$D157),)</f>
        <v/>
      </c>
    </row>
    <row r="158">
      <c r="A158" s="39" t="str">
        <f>IF(AND($L158*1&gt;=$G$3,$L158*1&lt;=$G$4,$I158*$J158&gt;0,OR($I158&lt;&gt;$I159,$L158-$L159&gt;25),IF(ABS($I158)&gt;10,$I158/POW(10,$J158),$J158/POW(10,$I158))*MAXIFS(Token!$C:$C,Token!$A:$A,$K158)&gt;0.01),$L158/86400+DATE(1970,1,1)+$G$6,)</f>
        <v/>
      </c>
      <c r="B158" s="27" t="str">
        <f t="shared" si="1"/>
        <v/>
      </c>
      <c r="C158" s="14" t="str">
        <f>IF($A158&lt;&gt;"",MINIFS(Merchant!$A:$A,Merchant!$B:$B,$G$2),)</f>
        <v/>
      </c>
      <c r="D158" s="14" t="str">
        <f t="shared" si="2"/>
        <v/>
      </c>
      <c r="E158" s="14" t="str">
        <f t="shared" si="3"/>
        <v/>
      </c>
      <c r="F158" s="7" t="str">
        <f>IF($A158&lt;&gt;"",MAXIFS(Token!$C:$C,Token!$A:$A,$D158),)</f>
        <v/>
      </c>
    </row>
    <row r="159">
      <c r="A159" s="39" t="str">
        <f>IF(AND($L159*1&gt;=$G$3,$L159*1&lt;=$G$4,$I159*$J159&gt;0,OR($I159&lt;&gt;$I160,$L159-$L160&gt;25),IF(ABS($I159)&gt;10,$I159/POW(10,$J159),$J159/POW(10,$I159))*MAXIFS(Token!$C:$C,Token!$A:$A,$K159)&gt;0.01),$L159/86400+DATE(1970,1,1)+$G$6,)</f>
        <v/>
      </c>
      <c r="B159" s="27" t="str">
        <f t="shared" si="1"/>
        <v/>
      </c>
      <c r="C159" s="14" t="str">
        <f>IF($A159&lt;&gt;"",MINIFS(Merchant!$A:$A,Merchant!$B:$B,$G$2),)</f>
        <v/>
      </c>
      <c r="D159" s="14" t="str">
        <f t="shared" si="2"/>
        <v/>
      </c>
      <c r="E159" s="14" t="str">
        <f t="shared" si="3"/>
        <v/>
      </c>
      <c r="F159" s="7" t="str">
        <f>IF($A159&lt;&gt;"",MAXIFS(Token!$C:$C,Token!$A:$A,$D159),)</f>
        <v/>
      </c>
    </row>
    <row r="160">
      <c r="A160" s="39" t="str">
        <f>IF(AND($L160*1&gt;=$G$3,$L160*1&lt;=$G$4,$I160*$J160&gt;0,OR($I160&lt;&gt;$I161,$L160-$L161&gt;25),IF(ABS($I160)&gt;10,$I160/POW(10,$J160),$J160/POW(10,$I160))*MAXIFS(Token!$C:$C,Token!$A:$A,$K160)&gt;0.01),$L160/86400+DATE(1970,1,1)+$G$6,)</f>
        <v/>
      </c>
      <c r="B160" s="27" t="str">
        <f t="shared" si="1"/>
        <v/>
      </c>
      <c r="C160" s="14" t="str">
        <f>IF($A160&lt;&gt;"",MINIFS(Merchant!$A:$A,Merchant!$B:$B,$G$2),)</f>
        <v/>
      </c>
      <c r="D160" s="14" t="str">
        <f t="shared" si="2"/>
        <v/>
      </c>
      <c r="E160" s="14" t="str">
        <f t="shared" si="3"/>
        <v/>
      </c>
      <c r="F160" s="7" t="str">
        <f>IF($A160&lt;&gt;"",MAXIFS(Token!$C:$C,Token!$A:$A,$D160),)</f>
        <v/>
      </c>
    </row>
    <row r="161">
      <c r="A161" s="39" t="str">
        <f>IF(AND($L161*1&gt;=$G$3,$L161*1&lt;=$G$4,$I161*$J161&gt;0,OR($I161&lt;&gt;$I162,$L161-$L162&gt;25),IF(ABS($I161)&gt;10,$I161/POW(10,$J161),$J161/POW(10,$I161))*MAXIFS(Token!$C:$C,Token!$A:$A,$K161)&gt;0.01),$L161/86400+DATE(1970,1,1)+$G$6,)</f>
        <v/>
      </c>
      <c r="B161" s="27" t="str">
        <f t="shared" si="1"/>
        <v/>
      </c>
      <c r="C161" s="14" t="str">
        <f>IF($A161&lt;&gt;"",MINIFS(Merchant!$A:$A,Merchant!$B:$B,$G$2),)</f>
        <v/>
      </c>
      <c r="D161" s="14" t="str">
        <f t="shared" si="2"/>
        <v/>
      </c>
      <c r="E161" s="14" t="str">
        <f t="shared" si="3"/>
        <v/>
      </c>
      <c r="F161" s="7" t="str">
        <f>IF($A161&lt;&gt;"",MAXIFS(Token!$C:$C,Token!$A:$A,$D161),)</f>
        <v/>
      </c>
    </row>
    <row r="162">
      <c r="A162" s="39" t="str">
        <f>IF(AND($L162*1&gt;=$G$3,$L162*1&lt;=$G$4,$I162*$J162&gt;0,OR($I162&lt;&gt;$I163,$L162-$L163&gt;25),IF(ABS($I162)&gt;10,$I162/POW(10,$J162),$J162/POW(10,$I162))*MAXIFS(Token!$C:$C,Token!$A:$A,$K162)&gt;0.01),$L162/86400+DATE(1970,1,1)+$G$6,)</f>
        <v/>
      </c>
      <c r="B162" s="27" t="str">
        <f t="shared" si="1"/>
        <v/>
      </c>
      <c r="C162" s="14" t="str">
        <f>IF($A162&lt;&gt;"",MINIFS(Merchant!$A:$A,Merchant!$B:$B,$G$2),)</f>
        <v/>
      </c>
      <c r="D162" s="14" t="str">
        <f t="shared" si="2"/>
        <v/>
      </c>
      <c r="E162" s="14" t="str">
        <f t="shared" si="3"/>
        <v/>
      </c>
      <c r="F162" s="7" t="str">
        <f>IF($A162&lt;&gt;"",MAXIFS(Token!$C:$C,Token!$A:$A,$D162),)</f>
        <v/>
      </c>
    </row>
    <row r="163">
      <c r="A163" s="39" t="str">
        <f>IF(AND($L163*1&gt;=$G$3,$L163*1&lt;=$G$4,$I163*$J163&gt;0,OR($I163&lt;&gt;$I164,$L163-$L164&gt;25),IF(ABS($I163)&gt;10,$I163/POW(10,$J163),$J163/POW(10,$I163))*MAXIFS(Token!$C:$C,Token!$A:$A,$K163)&gt;0.01),$L163/86400+DATE(1970,1,1)+$G$6,)</f>
        <v/>
      </c>
      <c r="B163" s="27" t="str">
        <f t="shared" si="1"/>
        <v/>
      </c>
      <c r="C163" s="14" t="str">
        <f>IF($A163&lt;&gt;"",MINIFS(Merchant!$A:$A,Merchant!$B:$B,$G$2),)</f>
        <v/>
      </c>
      <c r="D163" s="14" t="str">
        <f t="shared" si="2"/>
        <v/>
      </c>
      <c r="E163" s="14" t="str">
        <f t="shared" si="3"/>
        <v/>
      </c>
      <c r="F163" s="7" t="str">
        <f>IF($A163&lt;&gt;"",MAXIFS(Token!$C:$C,Token!$A:$A,$D163),)</f>
        <v/>
      </c>
    </row>
    <row r="164">
      <c r="A164" s="39" t="str">
        <f>IF(AND($L164*1&gt;=$G$3,$L164*1&lt;=$G$4,$I164*$J164&gt;0,OR($I164&lt;&gt;$I165,$L164-$L165&gt;25),IF(ABS($I164)&gt;10,$I164/POW(10,$J164),$J164/POW(10,$I164))*MAXIFS(Token!$C:$C,Token!$A:$A,$K164)&gt;0.01),$L164/86400+DATE(1970,1,1)+$G$6,)</f>
        <v/>
      </c>
      <c r="B164" s="27" t="str">
        <f t="shared" si="1"/>
        <v/>
      </c>
      <c r="C164" s="14" t="str">
        <f>IF($A164&lt;&gt;"",MINIFS(Merchant!$A:$A,Merchant!$B:$B,$G$2),)</f>
        <v/>
      </c>
      <c r="D164" s="14" t="str">
        <f t="shared" si="2"/>
        <v/>
      </c>
      <c r="E164" s="14" t="str">
        <f t="shared" si="3"/>
        <v/>
      </c>
      <c r="F164" s="7" t="str">
        <f>IF($A164&lt;&gt;"",MAXIFS(Token!$C:$C,Token!$A:$A,$D164),)</f>
        <v/>
      </c>
    </row>
    <row r="165">
      <c r="A165" s="39" t="str">
        <f>IF(AND($L165*1&gt;=$G$3,$L165*1&lt;=$G$4,$I165*$J165&gt;0,OR($I165&lt;&gt;$I166,$L165-$L166&gt;25),IF(ABS($I165)&gt;10,$I165/POW(10,$J165),$J165/POW(10,$I165))*MAXIFS(Token!$C:$C,Token!$A:$A,$K165)&gt;0.01),$L165/86400+DATE(1970,1,1)+$G$6,)</f>
        <v/>
      </c>
      <c r="B165" s="27" t="str">
        <f t="shared" si="1"/>
        <v/>
      </c>
      <c r="C165" s="14" t="str">
        <f>IF($A165&lt;&gt;"",MINIFS(Merchant!$A:$A,Merchant!$B:$B,$G$2),)</f>
        <v/>
      </c>
      <c r="D165" s="14" t="str">
        <f t="shared" si="2"/>
        <v/>
      </c>
      <c r="E165" s="14" t="str">
        <f t="shared" si="3"/>
        <v/>
      </c>
      <c r="F165" s="7" t="str">
        <f>IF($A165&lt;&gt;"",MAXIFS(Token!$C:$C,Token!$A:$A,$D165),)</f>
        <v/>
      </c>
    </row>
    <row r="166">
      <c r="A166" s="39" t="str">
        <f>IF(AND($L166*1&gt;=$G$3,$L166*1&lt;=$G$4,$I166*$J166&gt;0,OR($I166&lt;&gt;$I167,$L166-$L167&gt;25),IF(ABS($I166)&gt;10,$I166/POW(10,$J166),$J166/POW(10,$I166))*MAXIFS(Token!$C:$C,Token!$A:$A,$K166)&gt;0.01),$L166/86400+DATE(1970,1,1)+$G$6,)</f>
        <v/>
      </c>
      <c r="B166" s="27" t="str">
        <f t="shared" si="1"/>
        <v/>
      </c>
      <c r="C166" s="14" t="str">
        <f>IF($A166&lt;&gt;"",MINIFS(Merchant!$A:$A,Merchant!$B:$B,$G$2),)</f>
        <v/>
      </c>
      <c r="D166" s="14" t="str">
        <f t="shared" si="2"/>
        <v/>
      </c>
      <c r="E166" s="14" t="str">
        <f t="shared" si="3"/>
        <v/>
      </c>
      <c r="F166" s="7" t="str">
        <f>IF($A166&lt;&gt;"",MAXIFS(Token!$C:$C,Token!$A:$A,$D166),)</f>
        <v/>
      </c>
    </row>
    <row r="167">
      <c r="A167" s="39" t="str">
        <f>IF(AND($L167*1&gt;=$G$3,$L167*1&lt;=$G$4,$I167*$J167&gt;0,OR($I167&lt;&gt;$I168,$L167-$L168&gt;25),IF(ABS($I167)&gt;10,$I167/POW(10,$J167),$J167/POW(10,$I167))*MAXIFS(Token!$C:$C,Token!$A:$A,$K167)&gt;0.01),$L167/86400+DATE(1970,1,1)+$G$6,)</f>
        <v/>
      </c>
      <c r="B167" s="27" t="str">
        <f t="shared" si="1"/>
        <v/>
      </c>
      <c r="C167" s="14" t="str">
        <f>IF($A167&lt;&gt;"",MINIFS(Merchant!$A:$A,Merchant!$B:$B,$G$2),)</f>
        <v/>
      </c>
      <c r="D167" s="14" t="str">
        <f t="shared" si="2"/>
        <v/>
      </c>
      <c r="E167" s="14" t="str">
        <f t="shared" si="3"/>
        <v/>
      </c>
      <c r="F167" s="7" t="str">
        <f>IF($A167&lt;&gt;"",MAXIFS(Token!$C:$C,Token!$A:$A,$D167),)</f>
        <v/>
      </c>
    </row>
    <row r="168">
      <c r="A168" s="39" t="str">
        <f>IF(AND($L168*1&gt;=$G$3,$L168*1&lt;=$G$4,$I168*$J168&gt;0,OR($I168&lt;&gt;$I169,$L168-$L169&gt;25),IF(ABS($I168)&gt;10,$I168/POW(10,$J168),$J168/POW(10,$I168))*MAXIFS(Token!$C:$C,Token!$A:$A,$K168)&gt;0.01),$L168/86400+DATE(1970,1,1)+$G$6,)</f>
        <v/>
      </c>
      <c r="B168" s="27" t="str">
        <f t="shared" si="1"/>
        <v/>
      </c>
      <c r="C168" s="14" t="str">
        <f>IF($A168&lt;&gt;"",MINIFS(Merchant!$A:$A,Merchant!$B:$B,$G$2),)</f>
        <v/>
      </c>
      <c r="D168" s="14" t="str">
        <f t="shared" si="2"/>
        <v/>
      </c>
      <c r="E168" s="14" t="str">
        <f t="shared" si="3"/>
        <v/>
      </c>
      <c r="F168" s="7" t="str">
        <f>IF($A168&lt;&gt;"",MAXIFS(Token!$C:$C,Token!$A:$A,$D168),)</f>
        <v/>
      </c>
    </row>
    <row r="169">
      <c r="A169" s="39" t="str">
        <f>IF(AND($L169*1&gt;=$G$3,$L169*1&lt;=$G$4,$I169*$J169&gt;0,OR($I169&lt;&gt;$I170,$L169-$L170&gt;25),IF(ABS($I169)&gt;10,$I169/POW(10,$J169),$J169/POW(10,$I169))*MAXIFS(Token!$C:$C,Token!$A:$A,$K169)&gt;0.01),$L169/86400+DATE(1970,1,1)+$G$6,)</f>
        <v/>
      </c>
      <c r="B169" s="27" t="str">
        <f t="shared" si="1"/>
        <v/>
      </c>
      <c r="C169" s="14" t="str">
        <f>IF($A169&lt;&gt;"",MINIFS(Merchant!$A:$A,Merchant!$B:$B,$G$2),)</f>
        <v/>
      </c>
      <c r="D169" s="14" t="str">
        <f t="shared" si="2"/>
        <v/>
      </c>
      <c r="E169" s="14" t="str">
        <f t="shared" si="3"/>
        <v/>
      </c>
      <c r="F169" s="7" t="str">
        <f>IF($A169&lt;&gt;"",MAXIFS(Token!$C:$C,Token!$A:$A,$D169),)</f>
        <v/>
      </c>
    </row>
    <row r="170">
      <c r="A170" s="39" t="str">
        <f>IF(AND($L170*1&gt;=$G$3,$L170*1&lt;=$G$4,$I170*$J170&gt;0,OR($I170&lt;&gt;$I171,$L170-$L171&gt;25),IF(ABS($I170)&gt;10,$I170/POW(10,$J170),$J170/POW(10,$I170))*MAXIFS(Token!$C:$C,Token!$A:$A,$K170)&gt;0.01),$L170/86400+DATE(1970,1,1)+$G$6,)</f>
        <v/>
      </c>
      <c r="B170" s="27" t="str">
        <f t="shared" si="1"/>
        <v/>
      </c>
      <c r="C170" s="14" t="str">
        <f>IF($A170&lt;&gt;"",MINIFS(Merchant!$A:$A,Merchant!$B:$B,$G$2),)</f>
        <v/>
      </c>
      <c r="D170" s="14" t="str">
        <f t="shared" si="2"/>
        <v/>
      </c>
      <c r="E170" s="14" t="str">
        <f t="shared" si="3"/>
        <v/>
      </c>
      <c r="F170" s="7" t="str">
        <f>IF($A170&lt;&gt;"",MAXIFS(Token!$C:$C,Token!$A:$A,$D170),)</f>
        <v/>
      </c>
    </row>
    <row r="171">
      <c r="A171" s="39" t="str">
        <f>IF(AND($L171*1&gt;=$G$3,$L171*1&lt;=$G$4,$I171*$J171&gt;0,OR($I171&lt;&gt;$I172,$L171-$L172&gt;25),IF(ABS($I171)&gt;10,$I171/POW(10,$J171),$J171/POW(10,$I171))*MAXIFS(Token!$C:$C,Token!$A:$A,$K171)&gt;0.01),$L171/86400+DATE(1970,1,1)+$G$6,)</f>
        <v/>
      </c>
      <c r="B171" s="27" t="str">
        <f t="shared" si="1"/>
        <v/>
      </c>
      <c r="C171" s="14" t="str">
        <f>IF($A171&lt;&gt;"",MINIFS(Merchant!$A:$A,Merchant!$B:$B,$G$2),)</f>
        <v/>
      </c>
      <c r="D171" s="14" t="str">
        <f t="shared" si="2"/>
        <v/>
      </c>
      <c r="E171" s="14" t="str">
        <f t="shared" si="3"/>
        <v/>
      </c>
      <c r="F171" s="7" t="str">
        <f>IF($A171&lt;&gt;"",MAXIFS(Token!$C:$C,Token!$A:$A,$D171),)</f>
        <v/>
      </c>
    </row>
    <row r="172">
      <c r="A172" s="39" t="str">
        <f>IF(AND($L172*1&gt;=$G$3,$L172*1&lt;=$G$4,$I172*$J172&gt;0,OR($I172&lt;&gt;$I173,$L172-$L173&gt;25),IF(ABS($I172)&gt;10,$I172/POW(10,$J172),$J172/POW(10,$I172))*MAXIFS(Token!$C:$C,Token!$A:$A,$K172)&gt;0.01),$L172/86400+DATE(1970,1,1)+$G$6,)</f>
        <v/>
      </c>
      <c r="B172" s="27" t="str">
        <f t="shared" si="1"/>
        <v/>
      </c>
      <c r="C172" s="14" t="str">
        <f>IF($A172&lt;&gt;"",MINIFS(Merchant!$A:$A,Merchant!$B:$B,$G$2),)</f>
        <v/>
      </c>
      <c r="D172" s="14" t="str">
        <f t="shared" si="2"/>
        <v/>
      </c>
      <c r="E172" s="14" t="str">
        <f t="shared" si="3"/>
        <v/>
      </c>
      <c r="F172" s="7" t="str">
        <f>IF($A172&lt;&gt;"",MAXIFS(Token!$C:$C,Token!$A:$A,$D172),)</f>
        <v/>
      </c>
    </row>
    <row r="173">
      <c r="A173" s="39" t="str">
        <f>IF(AND($L173*1&gt;=$G$3,$L173*1&lt;=$G$4,$I173*$J173&gt;0,OR($I173&lt;&gt;$I174,$L173-$L174&gt;25),IF(ABS($I173)&gt;10,$I173/POW(10,$J173),$J173/POW(10,$I173))*MAXIFS(Token!$C:$C,Token!$A:$A,$K173)&gt;0.01),$L173/86400+DATE(1970,1,1)+$G$6,)</f>
        <v/>
      </c>
      <c r="B173" s="27" t="str">
        <f t="shared" si="1"/>
        <v/>
      </c>
      <c r="C173" s="14" t="str">
        <f>IF($A173&lt;&gt;"",MINIFS(Merchant!$A:$A,Merchant!$B:$B,$G$2),)</f>
        <v/>
      </c>
      <c r="D173" s="14" t="str">
        <f t="shared" si="2"/>
        <v/>
      </c>
      <c r="E173" s="14" t="str">
        <f t="shared" si="3"/>
        <v/>
      </c>
      <c r="F173" s="7" t="str">
        <f>IF($A173&lt;&gt;"",MAXIFS(Token!$C:$C,Token!$A:$A,$D173),)</f>
        <v/>
      </c>
    </row>
    <row r="174">
      <c r="A174" s="39" t="str">
        <f>IF(AND($L174*1&gt;=$G$3,$L174*1&lt;=$G$4,$I174*$J174&gt;0,OR($I174&lt;&gt;$I175,$L174-$L175&gt;25),IF(ABS($I174)&gt;10,$I174/POW(10,$J174),$J174/POW(10,$I174))*MAXIFS(Token!$C:$C,Token!$A:$A,$K174)&gt;0.01),$L174/86400+DATE(1970,1,1)+$G$6,)</f>
        <v/>
      </c>
      <c r="B174" s="27" t="str">
        <f t="shared" si="1"/>
        <v/>
      </c>
      <c r="C174" s="14" t="str">
        <f>IF($A174&lt;&gt;"",MINIFS(Merchant!$A:$A,Merchant!$B:$B,$G$2),)</f>
        <v/>
      </c>
      <c r="D174" s="14" t="str">
        <f t="shared" si="2"/>
        <v/>
      </c>
      <c r="E174" s="14" t="str">
        <f t="shared" si="3"/>
        <v/>
      </c>
      <c r="F174" s="7" t="str">
        <f>IF($A174&lt;&gt;"",MAXIFS(Token!$C:$C,Token!$A:$A,$D174),)</f>
        <v/>
      </c>
    </row>
    <row r="175">
      <c r="A175" s="39" t="str">
        <f>IF(AND($L175*1&gt;=$G$3,$L175*1&lt;=$G$4,$I175*$J175&gt;0,OR($I175&lt;&gt;$I176,$L175-$L176&gt;25),IF(ABS($I175)&gt;10,$I175/POW(10,$J175),$J175/POW(10,$I175))*MAXIFS(Token!$C:$C,Token!$A:$A,$K175)&gt;0.01),$L175/86400+DATE(1970,1,1)+$G$6,)</f>
        <v/>
      </c>
      <c r="B175" s="27" t="str">
        <f t="shared" si="1"/>
        <v/>
      </c>
      <c r="C175" s="14" t="str">
        <f>IF($A175&lt;&gt;"",MINIFS(Merchant!$A:$A,Merchant!$B:$B,$G$2),)</f>
        <v/>
      </c>
      <c r="D175" s="14" t="str">
        <f t="shared" si="2"/>
        <v/>
      </c>
      <c r="E175" s="14" t="str">
        <f t="shared" si="3"/>
        <v/>
      </c>
      <c r="F175" s="7" t="str">
        <f>IF($A175&lt;&gt;"",MAXIFS(Token!$C:$C,Token!$A:$A,$D175),)</f>
        <v/>
      </c>
    </row>
    <row r="176">
      <c r="A176" s="39" t="str">
        <f>IF(AND($L176*1&gt;=$G$3,$L176*1&lt;=$G$4,$I176*$J176&gt;0,OR($I176&lt;&gt;$I177,$L176-$L177&gt;25),IF(ABS($I176)&gt;10,$I176/POW(10,$J176),$J176/POW(10,$I176))*MAXIFS(Token!$C:$C,Token!$A:$A,$K176)&gt;0.01),$L176/86400+DATE(1970,1,1)+$G$6,)</f>
        <v/>
      </c>
      <c r="B176" s="27" t="str">
        <f t="shared" si="1"/>
        <v/>
      </c>
      <c r="C176" s="14" t="str">
        <f>IF($A176&lt;&gt;"",MINIFS(Merchant!$A:$A,Merchant!$B:$B,$G$2),)</f>
        <v/>
      </c>
      <c r="D176" s="14" t="str">
        <f t="shared" si="2"/>
        <v/>
      </c>
      <c r="E176" s="14" t="str">
        <f t="shared" si="3"/>
        <v/>
      </c>
      <c r="F176" s="7" t="str">
        <f>IF($A176&lt;&gt;"",MAXIFS(Token!$C:$C,Token!$A:$A,$D176),)</f>
        <v/>
      </c>
    </row>
    <row r="177">
      <c r="A177" s="39" t="str">
        <f>IF(AND($L177*1&gt;=$G$3,$L177*1&lt;=$G$4,$I177*$J177&gt;0,OR($I177&lt;&gt;$I178,$L177-$L178&gt;25),IF(ABS($I177)&gt;10,$I177/POW(10,$J177),$J177/POW(10,$I177))*MAXIFS(Token!$C:$C,Token!$A:$A,$K177)&gt;0.01),$L177/86400+DATE(1970,1,1)+$G$6,)</f>
        <v/>
      </c>
      <c r="B177" s="27" t="str">
        <f t="shared" si="1"/>
        <v/>
      </c>
      <c r="C177" s="14" t="str">
        <f>IF($A177&lt;&gt;"",MINIFS(Merchant!$A:$A,Merchant!$B:$B,$G$2),)</f>
        <v/>
      </c>
      <c r="D177" s="14" t="str">
        <f t="shared" si="2"/>
        <v/>
      </c>
      <c r="E177" s="14" t="str">
        <f t="shared" si="3"/>
        <v/>
      </c>
      <c r="F177" s="7" t="str">
        <f>IF($A177&lt;&gt;"",MAXIFS(Token!$C:$C,Token!$A:$A,$D177),)</f>
        <v/>
      </c>
    </row>
    <row r="178">
      <c r="A178" s="39" t="str">
        <f>IF(AND($L178*1&gt;=$G$3,$L178*1&lt;=$G$4,$I178*$J178&gt;0,OR($I178&lt;&gt;$I179,$L178-$L179&gt;25),IF(ABS($I178)&gt;10,$I178/POW(10,$J178),$J178/POW(10,$I178))*MAXIFS(Token!$C:$C,Token!$A:$A,$K178)&gt;0.01),$L178/86400+DATE(1970,1,1)+$G$6,)</f>
        <v/>
      </c>
      <c r="B178" s="27" t="str">
        <f t="shared" si="1"/>
        <v/>
      </c>
      <c r="C178" s="14" t="str">
        <f>IF($A178&lt;&gt;"",MINIFS(Merchant!$A:$A,Merchant!$B:$B,$G$2),)</f>
        <v/>
      </c>
      <c r="D178" s="14" t="str">
        <f t="shared" si="2"/>
        <v/>
      </c>
      <c r="E178" s="14" t="str">
        <f t="shared" si="3"/>
        <v/>
      </c>
      <c r="F178" s="7" t="str">
        <f>IF($A178&lt;&gt;"",MAXIFS(Token!$C:$C,Token!$A:$A,$D178),)</f>
        <v/>
      </c>
    </row>
    <row r="179">
      <c r="A179" s="39" t="str">
        <f>IF(AND($L179*1&gt;=$G$3,$L179*1&lt;=$G$4,$I179*$J179&gt;0,OR($I179&lt;&gt;$I180,$L179-$L180&gt;25),IF(ABS($I179)&gt;10,$I179/POW(10,$J179),$J179/POW(10,$I179))*MAXIFS(Token!$C:$C,Token!$A:$A,$K179)&gt;0.01),$L179/86400+DATE(1970,1,1)+$G$6,)</f>
        <v/>
      </c>
      <c r="B179" s="27" t="str">
        <f t="shared" si="1"/>
        <v/>
      </c>
      <c r="C179" s="14" t="str">
        <f>IF($A179&lt;&gt;"",MINIFS(Merchant!$A:$A,Merchant!$B:$B,$G$2),)</f>
        <v/>
      </c>
      <c r="D179" s="14" t="str">
        <f t="shared" si="2"/>
        <v/>
      </c>
      <c r="E179" s="14" t="str">
        <f t="shared" si="3"/>
        <v/>
      </c>
      <c r="F179" s="7" t="str">
        <f>IF($A179&lt;&gt;"",MAXIFS(Token!$C:$C,Token!$A:$A,$D179),)</f>
        <v/>
      </c>
    </row>
    <row r="180">
      <c r="A180" s="39" t="str">
        <f>IF(AND($L180*1&gt;=$G$3,$L180*1&lt;=$G$4,$I180*$J180&gt;0,OR($I180&lt;&gt;$I181,$L180-$L181&gt;25),IF(ABS($I180)&gt;10,$I180/POW(10,$J180),$J180/POW(10,$I180))*MAXIFS(Token!$C:$C,Token!$A:$A,$K180)&gt;0.01),$L180/86400+DATE(1970,1,1)+$G$6,)</f>
        <v/>
      </c>
      <c r="B180" s="27" t="str">
        <f t="shared" si="1"/>
        <v/>
      </c>
      <c r="C180" s="14" t="str">
        <f>IF($A180&lt;&gt;"",MINIFS(Merchant!$A:$A,Merchant!$B:$B,$G$2),)</f>
        <v/>
      </c>
      <c r="D180" s="14" t="str">
        <f t="shared" si="2"/>
        <v/>
      </c>
      <c r="E180" s="14" t="str">
        <f t="shared" si="3"/>
        <v/>
      </c>
      <c r="F180" s="7" t="str">
        <f>IF($A180&lt;&gt;"",MAXIFS(Token!$C:$C,Token!$A:$A,$D180),)</f>
        <v/>
      </c>
    </row>
    <row r="181">
      <c r="A181" s="39" t="str">
        <f>IF(AND($L181*1&gt;=$G$3,$L181*1&lt;=$G$4,$I181*$J181&gt;0,OR($I181&lt;&gt;$I182,$L181-$L182&gt;25),IF(ABS($I181)&gt;10,$I181/POW(10,$J181),$J181/POW(10,$I181))*MAXIFS(Token!$C:$C,Token!$A:$A,$K181)&gt;0.01),$L181/86400+DATE(1970,1,1)+$G$6,)</f>
        <v/>
      </c>
      <c r="B181" s="27" t="str">
        <f t="shared" si="1"/>
        <v/>
      </c>
      <c r="C181" s="14" t="str">
        <f>IF($A181&lt;&gt;"",MINIFS(Merchant!$A:$A,Merchant!$B:$B,$G$2),)</f>
        <v/>
      </c>
      <c r="D181" s="14" t="str">
        <f t="shared" si="2"/>
        <v/>
      </c>
      <c r="E181" s="14" t="str">
        <f t="shared" si="3"/>
        <v/>
      </c>
      <c r="F181" s="7" t="str">
        <f>IF($A181&lt;&gt;"",MAXIFS(Token!$C:$C,Token!$A:$A,$D181),)</f>
        <v/>
      </c>
    </row>
    <row r="182">
      <c r="A182" s="39" t="str">
        <f>IF(AND($L182*1&gt;=$G$3,$L182*1&lt;=$G$4,$I182*$J182&gt;0,OR($I182&lt;&gt;$I183,$L182-$L183&gt;25),IF(ABS($I182)&gt;10,$I182/POW(10,$J182),$J182/POW(10,$I182))*MAXIFS(Token!$C:$C,Token!$A:$A,$K182)&gt;0.01),$L182/86400+DATE(1970,1,1)+$G$6,)</f>
        <v/>
      </c>
      <c r="B182" s="27" t="str">
        <f t="shared" si="1"/>
        <v/>
      </c>
      <c r="C182" s="14" t="str">
        <f>IF($A182&lt;&gt;"",MINIFS(Merchant!$A:$A,Merchant!$B:$B,$G$2),)</f>
        <v/>
      </c>
      <c r="D182" s="14" t="str">
        <f t="shared" si="2"/>
        <v/>
      </c>
      <c r="E182" s="14" t="str">
        <f t="shared" si="3"/>
        <v/>
      </c>
      <c r="F182" s="7" t="str">
        <f>IF($A182&lt;&gt;"",MAXIFS(Token!$C:$C,Token!$A:$A,$D182),)</f>
        <v/>
      </c>
    </row>
    <row r="183">
      <c r="A183" s="39" t="str">
        <f>IF(AND($L183*1&gt;=$G$3,$L183*1&lt;=$G$4,$I183*$J183&gt;0,OR($I183&lt;&gt;$I184,$L183-$L184&gt;25),IF(ABS($I183)&gt;10,$I183/POW(10,$J183),$J183/POW(10,$I183))*MAXIFS(Token!$C:$C,Token!$A:$A,$K183)&gt;0.01),$L183/86400+DATE(1970,1,1)+$G$6,)</f>
        <v/>
      </c>
      <c r="B183" s="27" t="str">
        <f t="shared" si="1"/>
        <v/>
      </c>
      <c r="C183" s="14" t="str">
        <f>IF($A183&lt;&gt;"",MINIFS(Merchant!$A:$A,Merchant!$B:$B,$G$2),)</f>
        <v/>
      </c>
      <c r="D183" s="14" t="str">
        <f t="shared" si="2"/>
        <v/>
      </c>
      <c r="E183" s="14" t="str">
        <f t="shared" si="3"/>
        <v/>
      </c>
      <c r="F183" s="7" t="str">
        <f>IF($A183&lt;&gt;"",MAXIFS(Token!$C:$C,Token!$A:$A,$D183),)</f>
        <v/>
      </c>
    </row>
    <row r="184">
      <c r="A184" s="39" t="str">
        <f>IF(AND($L184*1&gt;=$G$3,$L184*1&lt;=$G$4,$I184*$J184&gt;0,OR($I184&lt;&gt;$I185,$L184-$L185&gt;25),IF(ABS($I184)&gt;10,$I184/POW(10,$J184),$J184/POW(10,$I184))*MAXIFS(Token!$C:$C,Token!$A:$A,$K184)&gt;0.01),$L184/86400+DATE(1970,1,1)+$G$6,)</f>
        <v/>
      </c>
      <c r="B184" s="27" t="str">
        <f t="shared" si="1"/>
        <v/>
      </c>
      <c r="C184" s="14" t="str">
        <f>IF($A184&lt;&gt;"",MINIFS(Merchant!$A:$A,Merchant!$B:$B,$G$2),)</f>
        <v/>
      </c>
      <c r="D184" s="14" t="str">
        <f t="shared" si="2"/>
        <v/>
      </c>
      <c r="E184" s="14" t="str">
        <f t="shared" si="3"/>
        <v/>
      </c>
      <c r="F184" s="7" t="str">
        <f>IF($A184&lt;&gt;"",MAXIFS(Token!$C:$C,Token!$A:$A,$D184),)</f>
        <v/>
      </c>
    </row>
    <row r="185">
      <c r="A185" s="39" t="str">
        <f>IF(AND($L185*1&gt;=$G$3,$L185*1&lt;=$G$4,$I185*$J185&gt;0,OR($I185&lt;&gt;$I186,$L185-$L186&gt;25),IF(ABS($I185)&gt;10,$I185/POW(10,$J185),$J185/POW(10,$I185))*MAXIFS(Token!$C:$C,Token!$A:$A,$K185)&gt;0.01),$L185/86400+DATE(1970,1,1)+$G$6,)</f>
        <v/>
      </c>
      <c r="B185" s="27" t="str">
        <f t="shared" si="1"/>
        <v/>
      </c>
      <c r="C185" s="14" t="str">
        <f>IF($A185&lt;&gt;"",MINIFS(Merchant!$A:$A,Merchant!$B:$B,$G$2),)</f>
        <v/>
      </c>
      <c r="D185" s="14" t="str">
        <f t="shared" si="2"/>
        <v/>
      </c>
      <c r="E185" s="14" t="str">
        <f t="shared" si="3"/>
        <v/>
      </c>
      <c r="F185" s="7" t="str">
        <f>IF($A185&lt;&gt;"",MAXIFS(Token!$C:$C,Token!$A:$A,$D185),)</f>
        <v/>
      </c>
    </row>
    <row r="186">
      <c r="A186" s="39" t="str">
        <f>IF(AND($L186*1&gt;=$G$3,$L186*1&lt;=$G$4,$I186*$J186&gt;0,OR($I186&lt;&gt;$I187,$L186-$L187&gt;25),IF(ABS($I186)&gt;10,$I186/POW(10,$J186),$J186/POW(10,$I186))*MAXIFS(Token!$C:$C,Token!$A:$A,$K186)&gt;0.01),$L186/86400+DATE(1970,1,1)+$G$6,)</f>
        <v/>
      </c>
      <c r="B186" s="27" t="str">
        <f t="shared" si="1"/>
        <v/>
      </c>
      <c r="C186" s="14" t="str">
        <f>IF($A186&lt;&gt;"",MINIFS(Merchant!$A:$A,Merchant!$B:$B,$G$2),)</f>
        <v/>
      </c>
      <c r="D186" s="14" t="str">
        <f t="shared" si="2"/>
        <v/>
      </c>
      <c r="E186" s="14" t="str">
        <f t="shared" si="3"/>
        <v/>
      </c>
      <c r="F186" s="7" t="str">
        <f>IF($A186&lt;&gt;"",MAXIFS(Token!$C:$C,Token!$A:$A,$D186),)</f>
        <v/>
      </c>
    </row>
    <row r="187">
      <c r="A187" s="39" t="str">
        <f>IF(AND($L187*1&gt;=$G$3,$L187*1&lt;=$G$4,$I187*$J187&gt;0,OR($I187&lt;&gt;$I188,$L187-$L188&gt;25),IF(ABS($I187)&gt;10,$I187/POW(10,$J187),$J187/POW(10,$I187))*MAXIFS(Token!$C:$C,Token!$A:$A,$K187)&gt;0.01),$L187/86400+DATE(1970,1,1)+$G$6,)</f>
        <v/>
      </c>
      <c r="B187" s="27" t="str">
        <f t="shared" si="1"/>
        <v/>
      </c>
      <c r="C187" s="14" t="str">
        <f>IF($A187&lt;&gt;"",MINIFS(Merchant!$A:$A,Merchant!$B:$B,$G$2),)</f>
        <v/>
      </c>
      <c r="D187" s="14" t="str">
        <f t="shared" si="2"/>
        <v/>
      </c>
      <c r="E187" s="14" t="str">
        <f t="shared" si="3"/>
        <v/>
      </c>
      <c r="F187" s="7" t="str">
        <f>IF($A187&lt;&gt;"",MAXIFS(Token!$C:$C,Token!$A:$A,$D187),)</f>
        <v/>
      </c>
    </row>
    <row r="188">
      <c r="A188" s="39" t="str">
        <f>IF(AND($L188*1&gt;=$G$3,$L188*1&lt;=$G$4,$I188*$J188&gt;0,OR($I188&lt;&gt;$I189,$L188-$L189&gt;25),IF(ABS($I188)&gt;10,$I188/POW(10,$J188),$J188/POW(10,$I188))*MAXIFS(Token!$C:$C,Token!$A:$A,$K188)&gt;0.01),$L188/86400+DATE(1970,1,1)+$G$6,)</f>
        <v/>
      </c>
      <c r="B188" s="27" t="str">
        <f t="shared" si="1"/>
        <v/>
      </c>
      <c r="C188" s="14" t="str">
        <f>IF($A188&lt;&gt;"",MINIFS(Merchant!$A:$A,Merchant!$B:$B,$G$2),)</f>
        <v/>
      </c>
      <c r="D188" s="14" t="str">
        <f t="shared" si="2"/>
        <v/>
      </c>
      <c r="E188" s="14" t="str">
        <f t="shared" si="3"/>
        <v/>
      </c>
      <c r="F188" s="7" t="str">
        <f>IF($A188&lt;&gt;"",MAXIFS(Token!$C:$C,Token!$A:$A,$D188),)</f>
        <v/>
      </c>
    </row>
    <row r="189">
      <c r="A189" s="39" t="str">
        <f>IF(AND($L189*1&gt;=$G$3,$L189*1&lt;=$G$4,$I189*$J189&gt;0,OR($I189&lt;&gt;$I190,$L189-$L190&gt;25),IF(ABS($I189)&gt;10,$I189/POW(10,$J189),$J189/POW(10,$I189))*MAXIFS(Token!$C:$C,Token!$A:$A,$K189)&gt;0.01),$L189/86400+DATE(1970,1,1)+$G$6,)</f>
        <v/>
      </c>
      <c r="B189" s="27" t="str">
        <f t="shared" si="1"/>
        <v/>
      </c>
      <c r="C189" s="14" t="str">
        <f>IF($A189&lt;&gt;"",MINIFS(Merchant!$A:$A,Merchant!$B:$B,$G$2),)</f>
        <v/>
      </c>
      <c r="D189" s="14" t="str">
        <f t="shared" si="2"/>
        <v/>
      </c>
      <c r="E189" s="14" t="str">
        <f t="shared" si="3"/>
        <v/>
      </c>
      <c r="F189" s="7" t="str">
        <f>IF($A189&lt;&gt;"",MAXIFS(Token!$C:$C,Token!$A:$A,$D189),)</f>
        <v/>
      </c>
    </row>
    <row r="190">
      <c r="A190" s="39" t="str">
        <f>IF(AND($L190*1&gt;=$G$3,$L190*1&lt;=$G$4,$I190*$J190&gt;0,OR($I190&lt;&gt;$I191,$L190-$L191&gt;25),IF(ABS($I190)&gt;10,$I190/POW(10,$J190),$J190/POW(10,$I190))*MAXIFS(Token!$C:$C,Token!$A:$A,$K190)&gt;0.01),$L190/86400+DATE(1970,1,1)+$G$6,)</f>
        <v/>
      </c>
      <c r="B190" s="27" t="str">
        <f t="shared" si="1"/>
        <v/>
      </c>
      <c r="C190" s="14" t="str">
        <f>IF($A190&lt;&gt;"",MINIFS(Merchant!$A:$A,Merchant!$B:$B,$G$2),)</f>
        <v/>
      </c>
      <c r="D190" s="14" t="str">
        <f t="shared" si="2"/>
        <v/>
      </c>
      <c r="E190" s="14" t="str">
        <f t="shared" si="3"/>
        <v/>
      </c>
      <c r="F190" s="7" t="str">
        <f>IF($A190&lt;&gt;"",MAXIFS(Token!$C:$C,Token!$A:$A,$D190),)</f>
        <v/>
      </c>
    </row>
    <row r="191">
      <c r="A191" s="39" t="str">
        <f>IF(AND($L191*1&gt;=$G$3,$L191*1&lt;=$G$4,$I191*$J191&gt;0,OR($I191&lt;&gt;$I192,$L191-$L192&gt;25),IF(ABS($I191)&gt;10,$I191/POW(10,$J191),$J191/POW(10,$I191))*MAXIFS(Token!$C:$C,Token!$A:$A,$K191)&gt;0.01),$L191/86400+DATE(1970,1,1)+$G$6,)</f>
        <v/>
      </c>
      <c r="B191" s="27" t="str">
        <f t="shared" si="1"/>
        <v/>
      </c>
      <c r="C191" s="14" t="str">
        <f>IF($A191&lt;&gt;"",MINIFS(Merchant!$A:$A,Merchant!$B:$B,$G$2),)</f>
        <v/>
      </c>
      <c r="D191" s="14" t="str">
        <f t="shared" si="2"/>
        <v/>
      </c>
      <c r="E191" s="14" t="str">
        <f t="shared" si="3"/>
        <v/>
      </c>
      <c r="F191" s="7" t="str">
        <f>IF($A191&lt;&gt;"",MAXIFS(Token!$C:$C,Token!$A:$A,$D191),)</f>
        <v/>
      </c>
    </row>
    <row r="192">
      <c r="A192" s="39" t="str">
        <f>IF(AND($L192*1&gt;=$G$3,$L192*1&lt;=$G$4,$I192*$J192&gt;0,OR($I192&lt;&gt;$I193,$L192-$L193&gt;25),IF(ABS($I192)&gt;10,$I192/POW(10,$J192),$J192/POW(10,$I192))*MAXIFS(Token!$C:$C,Token!$A:$A,$K192)&gt;0.01),$L192/86400+DATE(1970,1,1)+$G$6,)</f>
        <v/>
      </c>
      <c r="B192" s="27" t="str">
        <f t="shared" si="1"/>
        <v/>
      </c>
      <c r="C192" s="14" t="str">
        <f>IF($A192&lt;&gt;"",MINIFS(Merchant!$A:$A,Merchant!$B:$B,$G$2),)</f>
        <v/>
      </c>
      <c r="D192" s="14" t="str">
        <f t="shared" si="2"/>
        <v/>
      </c>
      <c r="E192" s="14" t="str">
        <f t="shared" si="3"/>
        <v/>
      </c>
      <c r="F192" s="7" t="str">
        <f>IF($A192&lt;&gt;"",MAXIFS(Token!$C:$C,Token!$A:$A,$D192),)</f>
        <v/>
      </c>
    </row>
    <row r="193">
      <c r="A193" s="39" t="str">
        <f>IF(AND($L193*1&gt;=$G$3,$L193*1&lt;=$G$4,$I193*$J193&gt;0,OR($I193&lt;&gt;$I194,$L193-$L194&gt;25),IF(ABS($I193)&gt;10,$I193/POW(10,$J193),$J193/POW(10,$I193))*MAXIFS(Token!$C:$C,Token!$A:$A,$K193)&gt;0.01),$L193/86400+DATE(1970,1,1)+$G$6,)</f>
        <v/>
      </c>
      <c r="B193" s="27" t="str">
        <f t="shared" si="1"/>
        <v/>
      </c>
      <c r="C193" s="14" t="str">
        <f>IF($A193&lt;&gt;"",MINIFS(Merchant!$A:$A,Merchant!$B:$B,$G$2),)</f>
        <v/>
      </c>
      <c r="D193" s="14" t="str">
        <f t="shared" si="2"/>
        <v/>
      </c>
      <c r="E193" s="14" t="str">
        <f t="shared" si="3"/>
        <v/>
      </c>
      <c r="F193" s="7" t="str">
        <f>IF($A193&lt;&gt;"",MAXIFS(Token!$C:$C,Token!$A:$A,$D193),)</f>
        <v/>
      </c>
    </row>
    <row r="194">
      <c r="A194" s="39" t="str">
        <f>IF(AND($L194*1&gt;=$G$3,$L194*1&lt;=$G$4,$I194*$J194&gt;0,OR($I194&lt;&gt;$I195,$L194-$L195&gt;25),IF(ABS($I194)&gt;10,$I194/POW(10,$J194),$J194/POW(10,$I194))*MAXIFS(Token!$C:$C,Token!$A:$A,$K194)&gt;0.01),$L194/86400+DATE(1970,1,1)+$G$6,)</f>
        <v/>
      </c>
      <c r="B194" s="27" t="str">
        <f t="shared" si="1"/>
        <v/>
      </c>
      <c r="C194" s="14" t="str">
        <f>IF($A194&lt;&gt;"",MINIFS(Merchant!$A:$A,Merchant!$B:$B,$G$2),)</f>
        <v/>
      </c>
      <c r="D194" s="14" t="str">
        <f t="shared" si="2"/>
        <v/>
      </c>
      <c r="E194" s="14" t="str">
        <f t="shared" si="3"/>
        <v/>
      </c>
      <c r="F194" s="7" t="str">
        <f>IF($A194&lt;&gt;"",MAXIFS(Token!$C:$C,Token!$A:$A,$D194),)</f>
        <v/>
      </c>
    </row>
    <row r="195">
      <c r="A195" s="39" t="str">
        <f>IF(AND($L195*1&gt;=$G$3,$L195*1&lt;=$G$4,$I195*$J195&gt;0,OR($I195&lt;&gt;$I196,$L195-$L196&gt;25),IF(ABS($I195)&gt;10,$I195/POW(10,$J195),$J195/POW(10,$I195))*MAXIFS(Token!$C:$C,Token!$A:$A,$K195)&gt;0.01),$L195/86400+DATE(1970,1,1)+$G$6,)</f>
        <v/>
      </c>
      <c r="B195" s="27" t="str">
        <f t="shared" si="1"/>
        <v/>
      </c>
      <c r="C195" s="14" t="str">
        <f>IF($A195&lt;&gt;"",MINIFS(Merchant!$A:$A,Merchant!$B:$B,$G$2),)</f>
        <v/>
      </c>
      <c r="D195" s="14" t="str">
        <f t="shared" si="2"/>
        <v/>
      </c>
      <c r="E195" s="14" t="str">
        <f t="shared" si="3"/>
        <v/>
      </c>
      <c r="F195" s="7" t="str">
        <f>IF($A195&lt;&gt;"",MAXIFS(Token!$C:$C,Token!$A:$A,$D195),)</f>
        <v/>
      </c>
    </row>
    <row r="196">
      <c r="A196" s="39" t="str">
        <f>IF(AND($L196*1&gt;=$G$3,$L196*1&lt;=$G$4,$I196*$J196&gt;0,OR($I196&lt;&gt;$I197,$L196-$L197&gt;25),IF(ABS($I196)&gt;10,$I196/POW(10,$J196),$J196/POW(10,$I196))*MAXIFS(Token!$C:$C,Token!$A:$A,$K196)&gt;0.01),$L196/86400+DATE(1970,1,1)+$G$6,)</f>
        <v/>
      </c>
      <c r="B196" s="27" t="str">
        <f t="shared" si="1"/>
        <v/>
      </c>
      <c r="C196" s="14" t="str">
        <f>IF($A196&lt;&gt;"",MINIFS(Merchant!$A:$A,Merchant!$B:$B,$G$2),)</f>
        <v/>
      </c>
      <c r="D196" s="14" t="str">
        <f t="shared" si="2"/>
        <v/>
      </c>
      <c r="E196" s="14" t="str">
        <f t="shared" si="3"/>
        <v/>
      </c>
      <c r="F196" s="7" t="str">
        <f>IF($A196&lt;&gt;"",MAXIFS(Token!$C:$C,Token!$A:$A,$D196),)</f>
        <v/>
      </c>
    </row>
    <row r="197">
      <c r="A197" s="39" t="str">
        <f>IF(AND($L197*1&gt;=$G$3,$L197*1&lt;=$G$4,$I197*$J197&gt;0,OR($I197&lt;&gt;$I198,$L197-$L198&gt;25),IF(ABS($I197)&gt;10,$I197/POW(10,$J197),$J197/POW(10,$I197))*MAXIFS(Token!$C:$C,Token!$A:$A,$K197)&gt;0.01),$L197/86400+DATE(1970,1,1)+$G$6,)</f>
        <v/>
      </c>
      <c r="B197" s="27" t="str">
        <f t="shared" si="1"/>
        <v/>
      </c>
      <c r="C197" s="14" t="str">
        <f>IF($A197&lt;&gt;"",MINIFS(Merchant!$A:$A,Merchant!$B:$B,$G$2),)</f>
        <v/>
      </c>
      <c r="D197" s="14" t="str">
        <f t="shared" si="2"/>
        <v/>
      </c>
      <c r="E197" s="14" t="str">
        <f t="shared" si="3"/>
        <v/>
      </c>
      <c r="F197" s="7" t="str">
        <f>IF($A197&lt;&gt;"",MAXIFS(Token!$C:$C,Token!$A:$A,$D197),)</f>
        <v/>
      </c>
    </row>
    <row r="198">
      <c r="A198" s="39" t="str">
        <f>IF(AND($L198*1&gt;=$G$3,$L198*1&lt;=$G$4,$I198*$J198&gt;0,OR($I198&lt;&gt;$I199,$L198-$L199&gt;25),IF(ABS($I198)&gt;10,$I198/POW(10,$J198),$J198/POW(10,$I198))*MAXIFS(Token!$C:$C,Token!$A:$A,$K198)&gt;0.01),$L198/86400+DATE(1970,1,1)+$G$6,)</f>
        <v/>
      </c>
      <c r="B198" s="27" t="str">
        <f t="shared" si="1"/>
        <v/>
      </c>
      <c r="C198" s="14" t="str">
        <f>IF($A198&lt;&gt;"",MINIFS(Merchant!$A:$A,Merchant!$B:$B,$G$2),)</f>
        <v/>
      </c>
      <c r="D198" s="14" t="str">
        <f t="shared" si="2"/>
        <v/>
      </c>
      <c r="E198" s="14" t="str">
        <f t="shared" si="3"/>
        <v/>
      </c>
      <c r="F198" s="7" t="str">
        <f>IF($A198&lt;&gt;"",MAXIFS(Token!$C:$C,Token!$A:$A,$D198),)</f>
        <v/>
      </c>
    </row>
    <row r="199">
      <c r="A199" s="39" t="str">
        <f>IF(AND($L199*1&gt;=$G$3,$L199*1&lt;=$G$4,$I199*$J199&gt;0,OR($I199&lt;&gt;$I200,$L199-$L200&gt;25),IF(ABS($I199)&gt;10,$I199/POW(10,$J199),$J199/POW(10,$I199))*MAXIFS(Token!$C:$C,Token!$A:$A,$K199)&gt;0.01),$L199/86400+DATE(1970,1,1)+$G$6,)</f>
        <v/>
      </c>
      <c r="B199" s="27" t="str">
        <f t="shared" si="1"/>
        <v/>
      </c>
      <c r="C199" s="14" t="str">
        <f>IF($A199&lt;&gt;"",MINIFS(Merchant!$A:$A,Merchant!$B:$B,$G$2),)</f>
        <v/>
      </c>
      <c r="D199" s="14" t="str">
        <f t="shared" si="2"/>
        <v/>
      </c>
      <c r="E199" s="14" t="str">
        <f t="shared" si="3"/>
        <v/>
      </c>
      <c r="F199" s="7" t="str">
        <f>IF($A199&lt;&gt;"",MAXIFS(Token!$C:$C,Token!$A:$A,$D199),)</f>
        <v/>
      </c>
    </row>
    <row r="200">
      <c r="A200" s="39" t="str">
        <f>IF(AND($L200*1&gt;=$G$3,$L200*1&lt;=$G$4,$I200*$J200&gt;0,OR($I200&lt;&gt;$I201,$L200-$L201&gt;25),IF(ABS($I200)&gt;10,$I200/POW(10,$J200),$J200/POW(10,$I200))*MAXIFS(Token!$C:$C,Token!$A:$A,$K200)&gt;0.01),$L200/86400+DATE(1970,1,1)+$G$6,)</f>
        <v/>
      </c>
      <c r="B200" s="27" t="str">
        <f t="shared" si="1"/>
        <v/>
      </c>
      <c r="C200" s="14" t="str">
        <f>IF($A200&lt;&gt;"",MINIFS(Merchant!$A:$A,Merchant!$B:$B,$G$2),)</f>
        <v/>
      </c>
      <c r="D200" s="14" t="str">
        <f t="shared" si="2"/>
        <v/>
      </c>
      <c r="E200" s="14" t="str">
        <f t="shared" si="3"/>
        <v/>
      </c>
      <c r="F200" s="7" t="str">
        <f>IF($A200&lt;&gt;"",MAXIFS(Token!$C:$C,Token!$A:$A,$D200),)</f>
        <v/>
      </c>
    </row>
    <row r="201">
      <c r="A201" s="39" t="str">
        <f>IF(AND($L201*1&gt;=$G$3,$L201*1&lt;=$G$4,$I201*$J201&gt;0,OR($I201&lt;&gt;$I202,$L201-$L202&gt;25),IF(ABS($I201)&gt;10,$I201/POW(10,$J201),$J201/POW(10,$I201))*MAXIFS(Token!$C:$C,Token!$A:$A,$K201)&gt;0.01),$L201/86400+DATE(1970,1,1)+$G$6,)</f>
        <v/>
      </c>
      <c r="B201" s="27" t="str">
        <f t="shared" si="1"/>
        <v/>
      </c>
      <c r="C201" s="14" t="str">
        <f>IF($A201&lt;&gt;"",MINIFS(Merchant!$A:$A,Merchant!$B:$B,$G$2),)</f>
        <v/>
      </c>
      <c r="D201" s="14" t="str">
        <f t="shared" si="2"/>
        <v/>
      </c>
      <c r="E201" s="14" t="str">
        <f t="shared" si="3"/>
        <v/>
      </c>
      <c r="F201" s="7" t="str">
        <f>IF($A201&lt;&gt;"",MAXIFS(Token!$C:$C,Token!$A:$A,$D201),)</f>
        <v/>
      </c>
    </row>
    <row r="202">
      <c r="A202" s="39" t="str">
        <f>IF(AND($L202*1&gt;=$G$3,$L202*1&lt;=$G$4,$I202*$J202&gt;0,OR($I202&lt;&gt;$I203,$L202-$L203&gt;25),IF(ABS($I202)&gt;10,$I202/POW(10,$J202),$J202/POW(10,$I202))*MAXIFS(Token!$C:$C,Token!$A:$A,$K202)&gt;0.01),$L202/86400+DATE(1970,1,1)+$G$6,)</f>
        <v/>
      </c>
      <c r="B202" s="27" t="str">
        <f t="shared" si="1"/>
        <v/>
      </c>
      <c r="C202" s="14" t="str">
        <f>IF($A202&lt;&gt;"",MINIFS(Merchant!$A:$A,Merchant!$B:$B,$G$2),)</f>
        <v/>
      </c>
      <c r="D202" s="14" t="str">
        <f t="shared" si="2"/>
        <v/>
      </c>
      <c r="E202" s="14" t="str">
        <f t="shared" si="3"/>
        <v/>
      </c>
      <c r="F202" s="7" t="str">
        <f>IF($A202&lt;&gt;"",MAXIFS(Token!$C:$C,Token!$A:$A,$D202),)</f>
        <v/>
      </c>
    </row>
    <row r="203">
      <c r="A203" s="39" t="str">
        <f>IF(AND($L203*1&gt;=$G$3,$L203*1&lt;=$G$4,$I203*$J203&gt;0,OR($I203&lt;&gt;$I204,$L203-$L204&gt;25),IF(ABS($I203)&gt;10,$I203/POW(10,$J203),$J203/POW(10,$I203))*MAXIFS(Token!$C:$C,Token!$A:$A,$K203)&gt;0.01),$L203/86400+DATE(1970,1,1)+$G$6,)</f>
        <v/>
      </c>
      <c r="B203" s="27" t="str">
        <f t="shared" si="1"/>
        <v/>
      </c>
      <c r="C203" s="14" t="str">
        <f>IF($A203&lt;&gt;"",MINIFS(Merchant!$A:$A,Merchant!$B:$B,$G$2),)</f>
        <v/>
      </c>
      <c r="D203" s="14" t="str">
        <f t="shared" si="2"/>
        <v/>
      </c>
      <c r="E203" s="14" t="str">
        <f t="shared" si="3"/>
        <v/>
      </c>
      <c r="F203" s="7" t="str">
        <f>IF($A203&lt;&gt;"",MAXIFS(Token!$C:$C,Token!$A:$A,$D203),)</f>
        <v/>
      </c>
    </row>
    <row r="204">
      <c r="A204" s="39" t="str">
        <f>IF(AND($L204*1&gt;=$G$3,$L204*1&lt;=$G$4,$I204*$J204&gt;0,OR($I204&lt;&gt;$I205,$L204-$L205&gt;25),IF(ABS($I204)&gt;10,$I204/POW(10,$J204),$J204/POW(10,$I204))*MAXIFS(Token!$C:$C,Token!$A:$A,$K204)&gt;0.01),$L204/86400+DATE(1970,1,1)+$G$6,)</f>
        <v/>
      </c>
      <c r="B204" s="27" t="str">
        <f t="shared" si="1"/>
        <v/>
      </c>
      <c r="C204" s="14" t="str">
        <f>IF($A204&lt;&gt;"",MINIFS(Merchant!$A:$A,Merchant!$B:$B,$G$2),)</f>
        <v/>
      </c>
      <c r="D204" s="14" t="str">
        <f t="shared" si="2"/>
        <v/>
      </c>
      <c r="E204" s="14" t="str">
        <f t="shared" si="3"/>
        <v/>
      </c>
      <c r="F204" s="7" t="str">
        <f>IF($A204&lt;&gt;"",MAXIFS(Token!$C:$C,Token!$A:$A,$D204),)</f>
        <v/>
      </c>
    </row>
    <row r="205">
      <c r="A205" s="39" t="str">
        <f>IF(AND($L205*1&gt;=$G$3,$L205*1&lt;=$G$4,$I205*$J205&gt;0,OR($I205&lt;&gt;$I206,$L205-$L206&gt;25),IF(ABS($I205)&gt;10,$I205/POW(10,$J205),$J205/POW(10,$I205))*MAXIFS(Token!$C:$C,Token!$A:$A,$K205)&gt;0.01),$L205/86400+DATE(1970,1,1)+$G$6,)</f>
        <v/>
      </c>
      <c r="B205" s="27" t="str">
        <f t="shared" si="1"/>
        <v/>
      </c>
      <c r="C205" s="14" t="str">
        <f>IF($A205&lt;&gt;"",MINIFS(Merchant!$A:$A,Merchant!$B:$B,$G$2),)</f>
        <v/>
      </c>
      <c r="D205" s="14" t="str">
        <f t="shared" si="2"/>
        <v/>
      </c>
      <c r="E205" s="14" t="str">
        <f t="shared" si="3"/>
        <v/>
      </c>
      <c r="F205" s="7" t="str">
        <f>IF($A205&lt;&gt;"",MAXIFS(Token!$C:$C,Token!$A:$A,$D205),)</f>
        <v/>
      </c>
    </row>
    <row r="206">
      <c r="A206" s="39" t="str">
        <f>IF(AND($L206*1&gt;=$G$3,$L206*1&lt;=$G$4,$I206*$J206&gt;0,OR($I206&lt;&gt;$I207,$L206-$L207&gt;25),IF(ABS($I206)&gt;10,$I206/POW(10,$J206),$J206/POW(10,$I206))*MAXIFS(Token!$C:$C,Token!$A:$A,$K206)&gt;0.01),$L206/86400+DATE(1970,1,1)+$G$6,)</f>
        <v/>
      </c>
      <c r="B206" s="27" t="str">
        <f t="shared" si="1"/>
        <v/>
      </c>
      <c r="C206" s="14" t="str">
        <f>IF($A206&lt;&gt;"",MINIFS(Merchant!$A:$A,Merchant!$B:$B,$G$2),)</f>
        <v/>
      </c>
      <c r="D206" s="14" t="str">
        <f t="shared" si="2"/>
        <v/>
      </c>
      <c r="E206" s="14" t="str">
        <f t="shared" si="3"/>
        <v/>
      </c>
      <c r="F206" s="7" t="str">
        <f>IF($A206&lt;&gt;"",MAXIFS(Token!$C:$C,Token!$A:$A,$D206),)</f>
        <v/>
      </c>
    </row>
    <row r="207">
      <c r="A207" s="39" t="str">
        <f>IF(AND($L207*1&gt;=$G$3,$L207*1&lt;=$G$4,$I207*$J207&gt;0,OR($I207&lt;&gt;$I208,$L207-$L208&gt;25),IF(ABS($I207)&gt;10,$I207/POW(10,$J207),$J207/POW(10,$I207))*MAXIFS(Token!$C:$C,Token!$A:$A,$K207)&gt;0.01),$L207/86400+DATE(1970,1,1)+$G$6,)</f>
        <v/>
      </c>
      <c r="B207" s="27" t="str">
        <f t="shared" si="1"/>
        <v/>
      </c>
      <c r="C207" s="14" t="str">
        <f>IF($A207&lt;&gt;"",MINIFS(Merchant!$A:$A,Merchant!$B:$B,$G$2),)</f>
        <v/>
      </c>
      <c r="D207" s="14" t="str">
        <f t="shared" si="2"/>
        <v/>
      </c>
      <c r="E207" s="14" t="str">
        <f t="shared" si="3"/>
        <v/>
      </c>
      <c r="F207" s="7" t="str">
        <f>IF($A207&lt;&gt;"",MAXIFS(Token!$C:$C,Token!$A:$A,$D207),)</f>
        <v/>
      </c>
    </row>
    <row r="208">
      <c r="A208" s="39" t="str">
        <f>IF(AND($L208*1&gt;=$G$3,$L208*1&lt;=$G$4,$I208*$J208&gt;0,OR($I208&lt;&gt;$I209,$L208-$L209&gt;25),IF(ABS($I208)&gt;10,$I208/POW(10,$J208),$J208/POW(10,$I208))*MAXIFS(Token!$C:$C,Token!$A:$A,$K208)&gt;0.01),$L208/86400+DATE(1970,1,1)+$G$6,)</f>
        <v/>
      </c>
      <c r="B208" s="27" t="str">
        <f t="shared" si="1"/>
        <v/>
      </c>
      <c r="C208" s="14" t="str">
        <f>IF($A208&lt;&gt;"",MINIFS(Merchant!$A:$A,Merchant!$B:$B,$G$2),)</f>
        <v/>
      </c>
      <c r="D208" s="14" t="str">
        <f t="shared" si="2"/>
        <v/>
      </c>
      <c r="E208" s="14" t="str">
        <f t="shared" si="3"/>
        <v/>
      </c>
      <c r="F208" s="7" t="str">
        <f>IF($A208&lt;&gt;"",MAXIFS(Token!$C:$C,Token!$A:$A,$D208),)</f>
        <v/>
      </c>
    </row>
    <row r="209">
      <c r="A209" s="39" t="str">
        <f>IF(AND($L209*1&gt;=$G$3,$L209*1&lt;=$G$4,$I209*$J209&gt;0,OR($I209&lt;&gt;$I210,$L209-$L210&gt;25),IF(ABS($I209)&gt;10,$I209/POW(10,$J209),$J209/POW(10,$I209))*MAXIFS(Token!$C:$C,Token!$A:$A,$K209)&gt;0.01),$L209/86400+DATE(1970,1,1)+$G$6,)</f>
        <v/>
      </c>
      <c r="B209" s="27" t="str">
        <f t="shared" si="1"/>
        <v/>
      </c>
      <c r="C209" s="14" t="str">
        <f>IF($A209&lt;&gt;"",MINIFS(Merchant!$A:$A,Merchant!$B:$B,$G$2),)</f>
        <v/>
      </c>
      <c r="D209" s="14" t="str">
        <f t="shared" si="2"/>
        <v/>
      </c>
      <c r="E209" s="14" t="str">
        <f t="shared" si="3"/>
        <v/>
      </c>
      <c r="F209" s="7" t="str">
        <f>IF($A209&lt;&gt;"",MAXIFS(Token!$C:$C,Token!$A:$A,$D209),)</f>
        <v/>
      </c>
    </row>
    <row r="210">
      <c r="A210" s="39" t="str">
        <f>IF(AND($L210*1&gt;=$G$3,$L210*1&lt;=$G$4,$I210*$J210&gt;0,OR($I210&lt;&gt;$I211,$L210-$L211&gt;25),IF(ABS($I210)&gt;10,$I210/POW(10,$J210),$J210/POW(10,$I210))*MAXIFS(Token!$C:$C,Token!$A:$A,$K210)&gt;0.01),$L210/86400+DATE(1970,1,1)+$G$6,)</f>
        <v/>
      </c>
      <c r="B210" s="27" t="str">
        <f t="shared" si="1"/>
        <v/>
      </c>
      <c r="C210" s="14" t="str">
        <f>IF($A210&lt;&gt;"",MINIFS(Merchant!$A:$A,Merchant!$B:$B,$G$2),)</f>
        <v/>
      </c>
      <c r="D210" s="14" t="str">
        <f t="shared" si="2"/>
        <v/>
      </c>
      <c r="E210" s="14" t="str">
        <f t="shared" si="3"/>
        <v/>
      </c>
      <c r="F210" s="7" t="str">
        <f>IF($A210&lt;&gt;"",MAXIFS(Token!$C:$C,Token!$A:$A,$D210),)</f>
        <v/>
      </c>
    </row>
    <row r="211">
      <c r="A211" s="39" t="str">
        <f>IF(AND($L211*1&gt;=$G$3,$L211*1&lt;=$G$4,$I211*$J211&gt;0,OR($I211&lt;&gt;$I212,$L211-$L212&gt;25),IF(ABS($I211)&gt;10,$I211/POW(10,$J211),$J211/POW(10,$I211))*MAXIFS(Token!$C:$C,Token!$A:$A,$K211)&gt;0.01),$L211/86400+DATE(1970,1,1)+$G$6,)</f>
        <v/>
      </c>
      <c r="B211" s="27" t="str">
        <f t="shared" si="1"/>
        <v/>
      </c>
      <c r="C211" s="14" t="str">
        <f>IF($A211&lt;&gt;"",MINIFS(Merchant!$A:$A,Merchant!$B:$B,$G$2),)</f>
        <v/>
      </c>
      <c r="D211" s="14" t="str">
        <f t="shared" si="2"/>
        <v/>
      </c>
      <c r="E211" s="14" t="str">
        <f t="shared" si="3"/>
        <v/>
      </c>
      <c r="F211" s="7" t="str">
        <f>IF($A211&lt;&gt;"",MAXIFS(Token!$C:$C,Token!$A:$A,$D211),)</f>
        <v/>
      </c>
    </row>
    <row r="212">
      <c r="A212" s="39" t="str">
        <f>IF(AND($L212*1&gt;=$G$3,$L212*1&lt;=$G$4,$I212*$J212&gt;0,OR($I212&lt;&gt;$I213,$L212-$L213&gt;25),IF(ABS($I212)&gt;10,$I212/POW(10,$J212),$J212/POW(10,$I212))*MAXIFS(Token!$C:$C,Token!$A:$A,$K212)&gt;0.01),$L212/86400+DATE(1970,1,1)+$G$6,)</f>
        <v/>
      </c>
      <c r="B212" s="27" t="str">
        <f t="shared" si="1"/>
        <v/>
      </c>
      <c r="C212" s="14" t="str">
        <f>IF($A212&lt;&gt;"",MINIFS(Merchant!$A:$A,Merchant!$B:$B,$G$2),)</f>
        <v/>
      </c>
      <c r="D212" s="14" t="str">
        <f t="shared" si="2"/>
        <v/>
      </c>
      <c r="E212" s="14" t="str">
        <f t="shared" si="3"/>
        <v/>
      </c>
      <c r="F212" s="7" t="str">
        <f>IF($A212&lt;&gt;"",MAXIFS(Token!$C:$C,Token!$A:$A,$D212),)</f>
        <v/>
      </c>
    </row>
    <row r="213">
      <c r="A213" s="39" t="str">
        <f>IF(AND($L213*1&gt;=$G$3,$L213*1&lt;=$G$4,$I213*$J213&gt;0,OR($I213&lt;&gt;$I214,$L213-$L214&gt;25),IF(ABS($I213)&gt;10,$I213/POW(10,$J213),$J213/POW(10,$I213))*MAXIFS(Token!$C:$C,Token!$A:$A,$K213)&gt;0.01),$L213/86400+DATE(1970,1,1)+$G$6,)</f>
        <v/>
      </c>
      <c r="B213" s="27" t="str">
        <f t="shared" si="1"/>
        <v/>
      </c>
      <c r="C213" s="14" t="str">
        <f>IF($A213&lt;&gt;"",MINIFS(Merchant!$A:$A,Merchant!$B:$B,$G$2),)</f>
        <v/>
      </c>
      <c r="D213" s="14" t="str">
        <f t="shared" si="2"/>
        <v/>
      </c>
      <c r="E213" s="14" t="str">
        <f t="shared" si="3"/>
        <v/>
      </c>
      <c r="F213" s="7" t="str">
        <f>IF($A213&lt;&gt;"",MAXIFS(Token!$C:$C,Token!$A:$A,$D213),)</f>
        <v/>
      </c>
    </row>
    <row r="214">
      <c r="A214" s="39" t="str">
        <f>IF(AND($L214*1&gt;=$G$3,$L214*1&lt;=$G$4,$I214*$J214&gt;0,OR($I214&lt;&gt;$I215,$L214-$L215&gt;25),IF(ABS($I214)&gt;10,$I214/POW(10,$J214),$J214/POW(10,$I214))*MAXIFS(Token!$C:$C,Token!$A:$A,$K214)&gt;0.01),$L214/86400+DATE(1970,1,1)+$G$6,)</f>
        <v/>
      </c>
      <c r="B214" s="27" t="str">
        <f t="shared" si="1"/>
        <v/>
      </c>
      <c r="C214" s="14" t="str">
        <f>IF($A214&lt;&gt;"",MINIFS(Merchant!$A:$A,Merchant!$B:$B,$G$2),)</f>
        <v/>
      </c>
      <c r="D214" s="14" t="str">
        <f t="shared" si="2"/>
        <v/>
      </c>
      <c r="E214" s="14" t="str">
        <f t="shared" si="3"/>
        <v/>
      </c>
      <c r="F214" s="7" t="str">
        <f>IF($A214&lt;&gt;"",MAXIFS(Token!$C:$C,Token!$A:$A,$D214),)</f>
        <v/>
      </c>
    </row>
    <row r="215">
      <c r="A215" s="39" t="str">
        <f>IF(AND($L215*1&gt;=$G$3,$L215*1&lt;=$G$4,$I215*$J215&gt;0,OR($I215&lt;&gt;$I216,$L215-$L216&gt;25),IF(ABS($I215)&gt;10,$I215/POW(10,$J215),$J215/POW(10,$I215))*MAXIFS(Token!$C:$C,Token!$A:$A,$K215)&gt;0.01),$L215/86400+DATE(1970,1,1)+$G$6,)</f>
        <v/>
      </c>
      <c r="B215" s="27" t="str">
        <f t="shared" si="1"/>
        <v/>
      </c>
      <c r="C215" s="14" t="str">
        <f>IF($A215&lt;&gt;"",MINIFS(Merchant!$A:$A,Merchant!$B:$B,$G$2),)</f>
        <v/>
      </c>
      <c r="D215" s="14" t="str">
        <f t="shared" si="2"/>
        <v/>
      </c>
      <c r="E215" s="14" t="str">
        <f t="shared" si="3"/>
        <v/>
      </c>
      <c r="F215" s="7" t="str">
        <f>IF($A215&lt;&gt;"",MAXIFS(Token!$C:$C,Token!$A:$A,$D215),)</f>
        <v/>
      </c>
    </row>
    <row r="216">
      <c r="A216" s="39" t="str">
        <f>IF(AND($L216*1&gt;=$G$3,$L216*1&lt;=$G$4,$I216*$J216&gt;0,OR($I216&lt;&gt;$I217,$L216-$L217&gt;25),IF(ABS($I216)&gt;10,$I216/POW(10,$J216),$J216/POW(10,$I216))*MAXIFS(Token!$C:$C,Token!$A:$A,$K216)&gt;0.01),$L216/86400+DATE(1970,1,1)+$G$6,)</f>
        <v/>
      </c>
      <c r="B216" s="27" t="str">
        <f t="shared" si="1"/>
        <v/>
      </c>
      <c r="C216" s="14" t="str">
        <f>IF($A216&lt;&gt;"",MINIFS(Merchant!$A:$A,Merchant!$B:$B,$G$2),)</f>
        <v/>
      </c>
      <c r="D216" s="14" t="str">
        <f t="shared" si="2"/>
        <v/>
      </c>
      <c r="E216" s="14" t="str">
        <f t="shared" si="3"/>
        <v/>
      </c>
      <c r="F216" s="7" t="str">
        <f>IF($A216&lt;&gt;"",MAXIFS(Token!$C:$C,Token!$A:$A,$D216),)</f>
        <v/>
      </c>
    </row>
    <row r="217">
      <c r="A217" s="39" t="str">
        <f>IF(AND($L217*1&gt;=$G$3,$L217*1&lt;=$G$4,$I217*$J217&gt;0,OR($I217&lt;&gt;$I218,$L217-$L218&gt;25),IF(ABS($I217)&gt;10,$I217/POW(10,$J217),$J217/POW(10,$I217))*MAXIFS(Token!$C:$C,Token!$A:$A,$K217)&gt;0.01),$L217/86400+DATE(1970,1,1)+$G$6,)</f>
        <v/>
      </c>
      <c r="B217" s="27" t="str">
        <f t="shared" si="1"/>
        <v/>
      </c>
      <c r="C217" s="14" t="str">
        <f>IF($A217&lt;&gt;"",MINIFS(Merchant!$A:$A,Merchant!$B:$B,$G$2),)</f>
        <v/>
      </c>
      <c r="D217" s="14" t="str">
        <f t="shared" si="2"/>
        <v/>
      </c>
      <c r="E217" s="14" t="str">
        <f t="shared" si="3"/>
        <v/>
      </c>
      <c r="F217" s="7" t="str">
        <f>IF($A217&lt;&gt;"",MAXIFS(Token!$C:$C,Token!$A:$A,$D217),)</f>
        <v/>
      </c>
    </row>
    <row r="218">
      <c r="A218" s="39" t="str">
        <f>IF(AND($L218*1&gt;=$G$3,$L218*1&lt;=$G$4,$I218*$J218&gt;0,OR($I218&lt;&gt;$I219,$L218-$L219&gt;25),IF(ABS($I218)&gt;10,$I218/POW(10,$J218),$J218/POW(10,$I218))*MAXIFS(Token!$C:$C,Token!$A:$A,$K218)&gt;0.01),$L218/86400+DATE(1970,1,1)+$G$6,)</f>
        <v/>
      </c>
      <c r="B218" s="27" t="str">
        <f t="shared" si="1"/>
        <v/>
      </c>
      <c r="C218" s="14" t="str">
        <f>IF($A218&lt;&gt;"",MINIFS(Merchant!$A:$A,Merchant!$B:$B,$G$2),)</f>
        <v/>
      </c>
      <c r="D218" s="14" t="str">
        <f t="shared" si="2"/>
        <v/>
      </c>
      <c r="E218" s="14" t="str">
        <f t="shared" si="3"/>
        <v/>
      </c>
      <c r="F218" s="7" t="str">
        <f>IF($A218&lt;&gt;"",MAXIFS(Token!$C:$C,Token!$A:$A,$D218),)</f>
        <v/>
      </c>
    </row>
    <row r="219">
      <c r="A219" s="39" t="str">
        <f>IF(AND($L219*1&gt;=$G$3,$L219*1&lt;=$G$4,$I219*$J219&gt;0,OR($I219&lt;&gt;$I220,$L219-$L220&gt;25),IF(ABS($I219)&gt;10,$I219/POW(10,$J219),$J219/POW(10,$I219))*MAXIFS(Token!$C:$C,Token!$A:$A,$K219)&gt;0.01),$L219/86400+DATE(1970,1,1)+$G$6,)</f>
        <v/>
      </c>
      <c r="B219" s="27" t="str">
        <f t="shared" si="1"/>
        <v/>
      </c>
      <c r="C219" s="14" t="str">
        <f>IF($A219&lt;&gt;"",MINIFS(Merchant!$A:$A,Merchant!$B:$B,$G$2),)</f>
        <v/>
      </c>
      <c r="D219" s="14" t="str">
        <f t="shared" si="2"/>
        <v/>
      </c>
      <c r="E219" s="14" t="str">
        <f t="shared" si="3"/>
        <v/>
      </c>
      <c r="F219" s="7" t="str">
        <f>IF($A219&lt;&gt;"",MAXIFS(Token!$C:$C,Token!$A:$A,$D219),)</f>
        <v/>
      </c>
    </row>
    <row r="220">
      <c r="A220" s="39" t="str">
        <f>IF(AND($L220*1&gt;=$G$3,$L220*1&lt;=$G$4,$I220*$J220&gt;0,OR($I220&lt;&gt;$I221,$L220-$L221&gt;25),IF(ABS($I220)&gt;10,$I220/POW(10,$J220),$J220/POW(10,$I220))*MAXIFS(Token!$C:$C,Token!$A:$A,$K220)&gt;0.01),$L220/86400+DATE(1970,1,1)+$G$6,)</f>
        <v/>
      </c>
      <c r="B220" s="27" t="str">
        <f t="shared" si="1"/>
        <v/>
      </c>
      <c r="C220" s="14" t="str">
        <f>IF($A220&lt;&gt;"",MINIFS(Merchant!$A:$A,Merchant!$B:$B,$G$2),)</f>
        <v/>
      </c>
      <c r="D220" s="14" t="str">
        <f t="shared" si="2"/>
        <v/>
      </c>
      <c r="E220" s="14" t="str">
        <f t="shared" si="3"/>
        <v/>
      </c>
      <c r="F220" s="7" t="str">
        <f>IF($A220&lt;&gt;"",MAXIFS(Token!$C:$C,Token!$A:$A,$D220),)</f>
        <v/>
      </c>
    </row>
    <row r="221">
      <c r="A221" s="39" t="str">
        <f>IF(AND($L221*1&gt;=$G$3,$L221*1&lt;=$G$4,$I221*$J221&gt;0,OR($I221&lt;&gt;$I222,$L221-$L222&gt;25),IF(ABS($I221)&gt;10,$I221/POW(10,$J221),$J221/POW(10,$I221))*MAXIFS(Token!$C:$C,Token!$A:$A,$K221)&gt;0.01),$L221/86400+DATE(1970,1,1)+$G$6,)</f>
        <v/>
      </c>
      <c r="B221" s="27" t="str">
        <f t="shared" si="1"/>
        <v/>
      </c>
      <c r="C221" s="14" t="str">
        <f>IF($A221&lt;&gt;"",MINIFS(Merchant!$A:$A,Merchant!$B:$B,$G$2),)</f>
        <v/>
      </c>
      <c r="D221" s="14" t="str">
        <f t="shared" si="2"/>
        <v/>
      </c>
      <c r="E221" s="14" t="str">
        <f t="shared" si="3"/>
        <v/>
      </c>
      <c r="F221" s="7" t="str">
        <f>IF($A221&lt;&gt;"",MAXIFS(Token!$C:$C,Token!$A:$A,$D221),)</f>
        <v/>
      </c>
    </row>
    <row r="222">
      <c r="A222" s="39" t="str">
        <f>IF(AND($L222*1&gt;=$G$3,$L222*1&lt;=$G$4,$I222*$J222&gt;0,OR($I222&lt;&gt;$I223,$L222-$L223&gt;25),IF(ABS($I222)&gt;10,$I222/POW(10,$J222),$J222/POW(10,$I222))*MAXIFS(Token!$C:$C,Token!$A:$A,$K222)&gt;0.01),$L222/86400+DATE(1970,1,1)+$G$6,)</f>
        <v/>
      </c>
      <c r="B222" s="27" t="str">
        <f t="shared" si="1"/>
        <v/>
      </c>
      <c r="C222" s="14" t="str">
        <f>IF($A222&lt;&gt;"",MINIFS(Merchant!$A:$A,Merchant!$B:$B,$G$2),)</f>
        <v/>
      </c>
      <c r="D222" s="14" t="str">
        <f t="shared" si="2"/>
        <v/>
      </c>
      <c r="E222" s="14" t="str">
        <f t="shared" si="3"/>
        <v/>
      </c>
      <c r="F222" s="7" t="str">
        <f>IF($A222&lt;&gt;"",MAXIFS(Token!$C:$C,Token!$A:$A,$D222),)</f>
        <v/>
      </c>
    </row>
    <row r="223">
      <c r="A223" s="39" t="str">
        <f>IF(AND($L223*1&gt;=$G$3,$L223*1&lt;=$G$4,$I223*$J223&gt;0,OR($I223&lt;&gt;$I224,$L223-$L224&gt;25),IF(ABS($I223)&gt;10,$I223/POW(10,$J223),$J223/POW(10,$I223))*MAXIFS(Token!$C:$C,Token!$A:$A,$K223)&gt;0.01),$L223/86400+DATE(1970,1,1)+$G$6,)</f>
        <v/>
      </c>
      <c r="B223" s="27" t="str">
        <f t="shared" si="1"/>
        <v/>
      </c>
      <c r="C223" s="14" t="str">
        <f>IF($A223&lt;&gt;"",MINIFS(Merchant!$A:$A,Merchant!$B:$B,$G$2),)</f>
        <v/>
      </c>
      <c r="D223" s="14" t="str">
        <f t="shared" si="2"/>
        <v/>
      </c>
      <c r="E223" s="14" t="str">
        <f t="shared" si="3"/>
        <v/>
      </c>
      <c r="F223" s="7" t="str">
        <f>IF($A223&lt;&gt;"",MAXIFS(Token!$C:$C,Token!$A:$A,$D223),)</f>
        <v/>
      </c>
    </row>
    <row r="224">
      <c r="A224" s="39" t="str">
        <f>IF(AND($L224*1&gt;=$G$3,$L224*1&lt;=$G$4,$I224*$J224&gt;0,OR($I224&lt;&gt;$I225,$L224-$L225&gt;25),IF(ABS($I224)&gt;10,$I224/POW(10,$J224),$J224/POW(10,$I224))*MAXIFS(Token!$C:$C,Token!$A:$A,$K224)&gt;0.01),$L224/86400+DATE(1970,1,1)+$G$6,)</f>
        <v/>
      </c>
      <c r="B224" s="27" t="str">
        <f t="shared" si="1"/>
        <v/>
      </c>
      <c r="C224" s="14" t="str">
        <f>IF($A224&lt;&gt;"",MINIFS(Merchant!$A:$A,Merchant!$B:$B,$G$2),)</f>
        <v/>
      </c>
      <c r="D224" s="14" t="str">
        <f t="shared" si="2"/>
        <v/>
      </c>
      <c r="E224" s="14" t="str">
        <f t="shared" si="3"/>
        <v/>
      </c>
      <c r="F224" s="7" t="str">
        <f>IF($A224&lt;&gt;"",MAXIFS(Token!$C:$C,Token!$A:$A,$D224),)</f>
        <v/>
      </c>
    </row>
    <row r="225">
      <c r="A225" s="39" t="str">
        <f>IF(AND($L225*1&gt;=$G$3,$L225*1&lt;=$G$4,$I225*$J225&gt;0,OR($I225&lt;&gt;$I226,$L225-$L226&gt;25),IF(ABS($I225)&gt;10,$I225/POW(10,$J225),$J225/POW(10,$I225))*MAXIFS(Token!$C:$C,Token!$A:$A,$K225)&gt;0.01),$L225/86400+DATE(1970,1,1)+$G$6,)</f>
        <v/>
      </c>
      <c r="B225" s="27" t="str">
        <f t="shared" si="1"/>
        <v/>
      </c>
      <c r="C225" s="14" t="str">
        <f>IF($A225&lt;&gt;"",MINIFS(Merchant!$A:$A,Merchant!$B:$B,$G$2),)</f>
        <v/>
      </c>
      <c r="D225" s="14" t="str">
        <f t="shared" si="2"/>
        <v/>
      </c>
      <c r="E225" s="14" t="str">
        <f t="shared" si="3"/>
        <v/>
      </c>
      <c r="F225" s="7" t="str">
        <f>IF($A225&lt;&gt;"",MAXIFS(Token!$C:$C,Token!$A:$A,$D225),)</f>
        <v/>
      </c>
    </row>
    <row r="226">
      <c r="A226" s="39" t="str">
        <f>IF(AND($L226*1&gt;=$G$3,$L226*1&lt;=$G$4,$I226*$J226&gt;0,OR($I226&lt;&gt;$I227,$L226-$L227&gt;25),IF(ABS($I226)&gt;10,$I226/POW(10,$J226),$J226/POW(10,$I226))*MAXIFS(Token!$C:$C,Token!$A:$A,$K226)&gt;0.01),$L226/86400+DATE(1970,1,1)+$G$6,)</f>
        <v/>
      </c>
      <c r="B226" s="27" t="str">
        <f t="shared" si="1"/>
        <v/>
      </c>
      <c r="C226" s="14" t="str">
        <f>IF($A226&lt;&gt;"",MINIFS(Merchant!$A:$A,Merchant!$B:$B,$G$2),)</f>
        <v/>
      </c>
      <c r="D226" s="14" t="str">
        <f t="shared" si="2"/>
        <v/>
      </c>
      <c r="E226" s="14" t="str">
        <f t="shared" si="3"/>
        <v/>
      </c>
      <c r="F226" s="7" t="str">
        <f>IF($A226&lt;&gt;"",MAXIFS(Token!$C:$C,Token!$A:$A,$D226),)</f>
        <v/>
      </c>
    </row>
    <row r="227">
      <c r="A227" s="39" t="str">
        <f>IF(AND($L227*1&gt;=$G$3,$L227*1&lt;=$G$4,$I227*$J227&gt;0,OR($I227&lt;&gt;$I228,$L227-$L228&gt;25),IF(ABS($I227)&gt;10,$I227/POW(10,$J227),$J227/POW(10,$I227))*MAXIFS(Token!$C:$C,Token!$A:$A,$K227)&gt;0.01),$L227/86400+DATE(1970,1,1)+$G$6,)</f>
        <v/>
      </c>
      <c r="B227" s="27" t="str">
        <f t="shared" si="1"/>
        <v/>
      </c>
      <c r="C227" s="14" t="str">
        <f>IF($A227&lt;&gt;"",MINIFS(Merchant!$A:$A,Merchant!$B:$B,$G$2),)</f>
        <v/>
      </c>
      <c r="D227" s="14" t="str">
        <f t="shared" si="2"/>
        <v/>
      </c>
      <c r="E227" s="14" t="str">
        <f t="shared" si="3"/>
        <v/>
      </c>
      <c r="F227" s="7" t="str">
        <f>IF($A227&lt;&gt;"",MAXIFS(Token!$C:$C,Token!$A:$A,$D227),)</f>
        <v/>
      </c>
    </row>
    <row r="228">
      <c r="A228" s="39" t="str">
        <f>IF(AND($L228*1&gt;=$G$3,$L228*1&lt;=$G$4,$I228*$J228&gt;0,OR($I228&lt;&gt;$I229,$L228-$L229&gt;25),IF(ABS($I228)&gt;10,$I228/POW(10,$J228),$J228/POW(10,$I228))*MAXIFS(Token!$C:$C,Token!$A:$A,$K228)&gt;0.01),$L228/86400+DATE(1970,1,1)+$G$6,)</f>
        <v/>
      </c>
      <c r="B228" s="27" t="str">
        <f t="shared" si="1"/>
        <v/>
      </c>
      <c r="C228" s="14" t="str">
        <f>IF($A228&lt;&gt;"",MINIFS(Merchant!$A:$A,Merchant!$B:$B,$G$2),)</f>
        <v/>
      </c>
      <c r="D228" s="14" t="str">
        <f t="shared" si="2"/>
        <v/>
      </c>
      <c r="E228" s="14" t="str">
        <f t="shared" si="3"/>
        <v/>
      </c>
      <c r="F228" s="7" t="str">
        <f>IF($A228&lt;&gt;"",MAXIFS(Token!$C:$C,Token!$A:$A,$D228),)</f>
        <v/>
      </c>
    </row>
    <row r="229">
      <c r="A229" s="39" t="str">
        <f>IF(AND($L229*1&gt;=$G$3,$L229*1&lt;=$G$4,$I229*$J229&gt;0,OR($I229&lt;&gt;$I230,$L229-$L230&gt;25),IF(ABS($I229)&gt;10,$I229/POW(10,$J229),$J229/POW(10,$I229))*MAXIFS(Token!$C:$C,Token!$A:$A,$K229)&gt;0.01),$L229/86400+DATE(1970,1,1)+$G$6,)</f>
        <v/>
      </c>
      <c r="B229" s="27" t="str">
        <f t="shared" si="1"/>
        <v/>
      </c>
      <c r="C229" s="14" t="str">
        <f>IF($A229&lt;&gt;"",MINIFS(Merchant!$A:$A,Merchant!$B:$B,$G$2),)</f>
        <v/>
      </c>
      <c r="D229" s="14" t="str">
        <f t="shared" si="2"/>
        <v/>
      </c>
      <c r="E229" s="14" t="str">
        <f t="shared" si="3"/>
        <v/>
      </c>
      <c r="F229" s="7" t="str">
        <f>IF($A229&lt;&gt;"",MAXIFS(Token!$C:$C,Token!$A:$A,$D229),)</f>
        <v/>
      </c>
    </row>
    <row r="230">
      <c r="A230" s="39" t="str">
        <f>IF(AND($L230*1&gt;=$G$3,$L230*1&lt;=$G$4,$I230*$J230&gt;0,OR($I230&lt;&gt;$I231,$L230-$L231&gt;25),IF(ABS($I230)&gt;10,$I230/POW(10,$J230),$J230/POW(10,$I230))*MAXIFS(Token!$C:$C,Token!$A:$A,$K230)&gt;0.01),$L230/86400+DATE(1970,1,1)+$G$6,)</f>
        <v/>
      </c>
      <c r="B230" s="27" t="str">
        <f t="shared" si="1"/>
        <v/>
      </c>
      <c r="C230" s="14" t="str">
        <f>IF($A230&lt;&gt;"",MINIFS(Merchant!$A:$A,Merchant!$B:$B,$G$2),)</f>
        <v/>
      </c>
      <c r="D230" s="14" t="str">
        <f t="shared" si="2"/>
        <v/>
      </c>
      <c r="E230" s="14" t="str">
        <f t="shared" si="3"/>
        <v/>
      </c>
      <c r="F230" s="7" t="str">
        <f>IF($A230&lt;&gt;"",MAXIFS(Token!$C:$C,Token!$A:$A,$D230),)</f>
        <v/>
      </c>
    </row>
    <row r="231">
      <c r="A231" s="39" t="str">
        <f>IF(AND($L231*1&gt;=$G$3,$L231*1&lt;=$G$4,$I231*$J231&gt;0,OR($I231&lt;&gt;$I232,$L231-$L232&gt;25),IF(ABS($I231)&gt;10,$I231/POW(10,$J231),$J231/POW(10,$I231))*MAXIFS(Token!$C:$C,Token!$A:$A,$K231)&gt;0.01),$L231/86400+DATE(1970,1,1)+$G$6,)</f>
        <v/>
      </c>
      <c r="B231" s="27" t="str">
        <f t="shared" si="1"/>
        <v/>
      </c>
      <c r="C231" s="14" t="str">
        <f>IF($A231&lt;&gt;"",MINIFS(Merchant!$A:$A,Merchant!$B:$B,$G$2),)</f>
        <v/>
      </c>
      <c r="D231" s="14" t="str">
        <f t="shared" si="2"/>
        <v/>
      </c>
      <c r="E231" s="14" t="str">
        <f t="shared" si="3"/>
        <v/>
      </c>
      <c r="F231" s="7" t="str">
        <f>IF($A231&lt;&gt;"",MAXIFS(Token!$C:$C,Token!$A:$A,$D231),)</f>
        <v/>
      </c>
    </row>
    <row r="232">
      <c r="A232" s="39" t="str">
        <f>IF(AND($L232*1&gt;=$G$3,$L232*1&lt;=$G$4,$I232*$J232&gt;0,OR($I232&lt;&gt;$I233,$L232-$L233&gt;25),IF(ABS($I232)&gt;10,$I232/POW(10,$J232),$J232/POW(10,$I232))*MAXIFS(Token!$C:$C,Token!$A:$A,$K232)&gt;0.01),$L232/86400+DATE(1970,1,1)+$G$6,)</f>
        <v/>
      </c>
      <c r="B232" s="27" t="str">
        <f t="shared" si="1"/>
        <v/>
      </c>
      <c r="C232" s="14" t="str">
        <f>IF($A232&lt;&gt;"",MINIFS(Merchant!$A:$A,Merchant!$B:$B,$G$2),)</f>
        <v/>
      </c>
      <c r="D232" s="14" t="str">
        <f t="shared" si="2"/>
        <v/>
      </c>
      <c r="E232" s="14" t="str">
        <f t="shared" si="3"/>
        <v/>
      </c>
      <c r="F232" s="7" t="str">
        <f>IF($A232&lt;&gt;"",MAXIFS(Token!$C:$C,Token!$A:$A,$D232),)</f>
        <v/>
      </c>
    </row>
    <row r="233">
      <c r="A233" s="39" t="str">
        <f>IF(AND($L233*1&gt;=$G$3,$L233*1&lt;=$G$4,$I233*$J233&gt;0,OR($I233&lt;&gt;$I234,$L233-$L234&gt;25),IF(ABS($I233)&gt;10,$I233/POW(10,$J233),$J233/POW(10,$I233))*MAXIFS(Token!$C:$C,Token!$A:$A,$K233)&gt;0.01),$L233/86400+DATE(1970,1,1)+$G$6,)</f>
        <v/>
      </c>
      <c r="B233" s="27" t="str">
        <f t="shared" si="1"/>
        <v/>
      </c>
      <c r="C233" s="14" t="str">
        <f>IF($A233&lt;&gt;"",MINIFS(Merchant!$A:$A,Merchant!$B:$B,$G$2),)</f>
        <v/>
      </c>
      <c r="D233" s="14" t="str">
        <f t="shared" si="2"/>
        <v/>
      </c>
      <c r="E233" s="14" t="str">
        <f t="shared" si="3"/>
        <v/>
      </c>
      <c r="F233" s="7" t="str">
        <f>IF($A233&lt;&gt;"",MAXIFS(Token!$C:$C,Token!$A:$A,$D233),)</f>
        <v/>
      </c>
    </row>
    <row r="234">
      <c r="A234" s="39" t="str">
        <f>IF(AND($L234*1&gt;=$G$3,$L234*1&lt;=$G$4,$I234*$J234&gt;0,OR($I234&lt;&gt;$I235,$L234-$L235&gt;25),IF(ABS($I234)&gt;10,$I234/POW(10,$J234),$J234/POW(10,$I234))*MAXIFS(Token!$C:$C,Token!$A:$A,$K234)&gt;0.01),$L234/86400+DATE(1970,1,1)+$G$6,)</f>
        <v/>
      </c>
      <c r="B234" s="27" t="str">
        <f t="shared" si="1"/>
        <v/>
      </c>
      <c r="C234" s="14" t="str">
        <f>IF($A234&lt;&gt;"",MINIFS(Merchant!$A:$A,Merchant!$B:$B,$G$2),)</f>
        <v/>
      </c>
      <c r="D234" s="14" t="str">
        <f t="shared" si="2"/>
        <v/>
      </c>
      <c r="E234" s="14" t="str">
        <f t="shared" si="3"/>
        <v/>
      </c>
      <c r="F234" s="7" t="str">
        <f>IF($A234&lt;&gt;"",MAXIFS(Token!$C:$C,Token!$A:$A,$D234),)</f>
        <v/>
      </c>
    </row>
    <row r="235">
      <c r="A235" s="39" t="str">
        <f>IF(AND($L235*1&gt;=$G$3,$L235*1&lt;=$G$4,$I235*$J235&gt;0,OR($I235&lt;&gt;$I236,$L235-$L236&gt;25),IF(ABS($I235)&gt;10,$I235/POW(10,$J235),$J235/POW(10,$I235))*MAXIFS(Token!$C:$C,Token!$A:$A,$K235)&gt;0.01),$L235/86400+DATE(1970,1,1)+$G$6,)</f>
        <v/>
      </c>
      <c r="B235" s="27" t="str">
        <f t="shared" si="1"/>
        <v/>
      </c>
      <c r="C235" s="14" t="str">
        <f>IF($A235&lt;&gt;"",MINIFS(Merchant!$A:$A,Merchant!$B:$B,$G$2),)</f>
        <v/>
      </c>
      <c r="D235" s="14" t="str">
        <f t="shared" si="2"/>
        <v/>
      </c>
      <c r="E235" s="14" t="str">
        <f t="shared" si="3"/>
        <v/>
      </c>
      <c r="F235" s="7" t="str">
        <f>IF($A235&lt;&gt;"",MAXIFS(Token!$C:$C,Token!$A:$A,$D235),)</f>
        <v/>
      </c>
    </row>
    <row r="236">
      <c r="A236" s="39" t="str">
        <f>IF(AND($L236*1&gt;=$G$3,$L236*1&lt;=$G$4,$I236*$J236&gt;0,OR($I236&lt;&gt;$I237,$L236-$L237&gt;25),IF(ABS($I236)&gt;10,$I236/POW(10,$J236),$J236/POW(10,$I236))*MAXIFS(Token!$C:$C,Token!$A:$A,$K236)&gt;0.01),$L236/86400+DATE(1970,1,1)+$G$6,)</f>
        <v/>
      </c>
      <c r="B236" s="27" t="str">
        <f t="shared" si="1"/>
        <v/>
      </c>
      <c r="C236" s="14" t="str">
        <f>IF($A236&lt;&gt;"",MINIFS(Merchant!$A:$A,Merchant!$B:$B,$G$2),)</f>
        <v/>
      </c>
      <c r="D236" s="14" t="str">
        <f t="shared" si="2"/>
        <v/>
      </c>
      <c r="E236" s="14" t="str">
        <f t="shared" si="3"/>
        <v/>
      </c>
      <c r="F236" s="7" t="str">
        <f>IF($A236&lt;&gt;"",MAXIFS(Token!$C:$C,Token!$A:$A,$D236),)</f>
        <v/>
      </c>
    </row>
    <row r="237">
      <c r="A237" s="39" t="str">
        <f>IF(AND($L237*1&gt;=$G$3,$L237*1&lt;=$G$4,$I237*$J237&gt;0,OR($I237&lt;&gt;$I238,$L237-$L238&gt;25),IF(ABS($I237)&gt;10,$I237/POW(10,$J237),$J237/POW(10,$I237))*MAXIFS(Token!$C:$C,Token!$A:$A,$K237)&gt;0.01),$L237/86400+DATE(1970,1,1)+$G$6,)</f>
        <v/>
      </c>
      <c r="B237" s="27" t="str">
        <f t="shared" si="1"/>
        <v/>
      </c>
      <c r="C237" s="14" t="str">
        <f>IF($A237&lt;&gt;"",MINIFS(Merchant!$A:$A,Merchant!$B:$B,$G$2),)</f>
        <v/>
      </c>
      <c r="D237" s="14" t="str">
        <f t="shared" si="2"/>
        <v/>
      </c>
      <c r="E237" s="14" t="str">
        <f t="shared" si="3"/>
        <v/>
      </c>
      <c r="F237" s="7" t="str">
        <f>IF($A237&lt;&gt;"",MAXIFS(Token!$C:$C,Token!$A:$A,$D237),)</f>
        <v/>
      </c>
    </row>
    <row r="238">
      <c r="A238" s="39" t="str">
        <f>IF(AND($L238*1&gt;=$G$3,$L238*1&lt;=$G$4,$I238*$J238&gt;0,OR($I238&lt;&gt;$I239,$L238-$L239&gt;25),IF(ABS($I238)&gt;10,$I238/POW(10,$J238),$J238/POW(10,$I238))*MAXIFS(Token!$C:$C,Token!$A:$A,$K238)&gt;0.01),$L238/86400+DATE(1970,1,1)+$G$6,)</f>
        <v/>
      </c>
      <c r="B238" s="27" t="str">
        <f t="shared" si="1"/>
        <v/>
      </c>
      <c r="C238" s="14" t="str">
        <f>IF($A238&lt;&gt;"",MINIFS(Merchant!$A:$A,Merchant!$B:$B,$G$2),)</f>
        <v/>
      </c>
      <c r="D238" s="14" t="str">
        <f t="shared" si="2"/>
        <v/>
      </c>
      <c r="E238" s="14" t="str">
        <f t="shared" si="3"/>
        <v/>
      </c>
      <c r="F238" s="7" t="str">
        <f>IF($A238&lt;&gt;"",MAXIFS(Token!$C:$C,Token!$A:$A,$D238),)</f>
        <v/>
      </c>
    </row>
    <row r="239">
      <c r="A239" s="39" t="str">
        <f>IF(AND($L239*1&gt;=$G$3,$L239*1&lt;=$G$4,$I239*$J239&gt;0,OR($I239&lt;&gt;$I240,$L239-$L240&gt;25),IF(ABS($I239)&gt;10,$I239/POW(10,$J239),$J239/POW(10,$I239))*MAXIFS(Token!$C:$C,Token!$A:$A,$K239)&gt;0.01),$L239/86400+DATE(1970,1,1)+$G$6,)</f>
        <v/>
      </c>
      <c r="B239" s="27" t="str">
        <f t="shared" si="1"/>
        <v/>
      </c>
      <c r="C239" s="14" t="str">
        <f>IF($A239&lt;&gt;"",MINIFS(Merchant!$A:$A,Merchant!$B:$B,$G$2),)</f>
        <v/>
      </c>
      <c r="D239" s="14" t="str">
        <f t="shared" si="2"/>
        <v/>
      </c>
      <c r="E239" s="14" t="str">
        <f t="shared" si="3"/>
        <v/>
      </c>
      <c r="F239" s="7" t="str">
        <f>IF($A239&lt;&gt;"",MAXIFS(Token!$C:$C,Token!$A:$A,$D239),)</f>
        <v/>
      </c>
    </row>
    <row r="240">
      <c r="A240" s="39" t="str">
        <f>IF(AND($L240*1&gt;=$G$3,$L240*1&lt;=$G$4,$I240*$J240&gt;0,OR($I240&lt;&gt;$I241,$L240-$L241&gt;25),IF(ABS($I240)&gt;10,$I240/POW(10,$J240),$J240/POW(10,$I240))*MAXIFS(Token!$C:$C,Token!$A:$A,$K240)&gt;0.01),$L240/86400+DATE(1970,1,1)+$G$6,)</f>
        <v/>
      </c>
      <c r="B240" s="27" t="str">
        <f t="shared" si="1"/>
        <v/>
      </c>
      <c r="C240" s="14" t="str">
        <f>IF($A240&lt;&gt;"",MINIFS(Merchant!$A:$A,Merchant!$B:$B,$G$2),)</f>
        <v/>
      </c>
      <c r="D240" s="14" t="str">
        <f t="shared" si="2"/>
        <v/>
      </c>
      <c r="E240" s="14" t="str">
        <f t="shared" si="3"/>
        <v/>
      </c>
      <c r="F240" s="7" t="str">
        <f>IF($A240&lt;&gt;"",MAXIFS(Token!$C:$C,Token!$A:$A,$D240),)</f>
        <v/>
      </c>
    </row>
    <row r="241">
      <c r="A241" s="39" t="str">
        <f>IF(AND($L241*1&gt;=$G$3,$L241*1&lt;=$G$4,$I241*$J241&gt;0,OR($I241&lt;&gt;$I242,$L241-$L242&gt;25),IF(ABS($I241)&gt;10,$I241/POW(10,$J241),$J241/POW(10,$I241))*MAXIFS(Token!$C:$C,Token!$A:$A,$K241)&gt;0.01),$L241/86400+DATE(1970,1,1)+$G$6,)</f>
        <v/>
      </c>
      <c r="B241" s="27" t="str">
        <f t="shared" si="1"/>
        <v/>
      </c>
      <c r="C241" s="14" t="str">
        <f>IF($A241&lt;&gt;"",MINIFS(Merchant!$A:$A,Merchant!$B:$B,$G$2),)</f>
        <v/>
      </c>
      <c r="D241" s="14" t="str">
        <f t="shared" si="2"/>
        <v/>
      </c>
      <c r="E241" s="14" t="str">
        <f t="shared" si="3"/>
        <v/>
      </c>
      <c r="F241" s="7" t="str">
        <f>IF($A241&lt;&gt;"",MAXIFS(Token!$C:$C,Token!$A:$A,$D241),)</f>
        <v/>
      </c>
    </row>
    <row r="242">
      <c r="A242" s="39" t="str">
        <f>IF(AND($L242*1&gt;=$G$3,$L242*1&lt;=$G$4,$I242*$J242&gt;0,OR($I242&lt;&gt;$I243,$L242-$L243&gt;25),IF(ABS($I242)&gt;10,$I242/POW(10,$J242),$J242/POW(10,$I242))*MAXIFS(Token!$C:$C,Token!$A:$A,$K242)&gt;0.01),$L242/86400+DATE(1970,1,1)+$G$6,)</f>
        <v/>
      </c>
      <c r="B242" s="27" t="str">
        <f t="shared" si="1"/>
        <v/>
      </c>
      <c r="C242" s="14" t="str">
        <f>IF($A242&lt;&gt;"",MINIFS(Merchant!$A:$A,Merchant!$B:$B,$G$2),)</f>
        <v/>
      </c>
      <c r="D242" s="14" t="str">
        <f t="shared" si="2"/>
        <v/>
      </c>
      <c r="E242" s="14" t="str">
        <f t="shared" si="3"/>
        <v/>
      </c>
      <c r="F242" s="7" t="str">
        <f>IF($A242&lt;&gt;"",MAXIFS(Token!$C:$C,Token!$A:$A,$D242),)</f>
        <v/>
      </c>
    </row>
    <row r="243">
      <c r="A243" s="39" t="str">
        <f>IF(AND($L243*1&gt;=$G$3,$L243*1&lt;=$G$4,$I243*$J243&gt;0,OR($I243&lt;&gt;$I244,$L243-$L244&gt;25),IF(ABS($I243)&gt;10,$I243/POW(10,$J243),$J243/POW(10,$I243))*MAXIFS(Token!$C:$C,Token!$A:$A,$K243)&gt;0.01),$L243/86400+DATE(1970,1,1)+$G$6,)</f>
        <v/>
      </c>
      <c r="B243" s="27" t="str">
        <f t="shared" si="1"/>
        <v/>
      </c>
      <c r="C243" s="14" t="str">
        <f>IF($A243&lt;&gt;"",MINIFS(Merchant!$A:$A,Merchant!$B:$B,$G$2),)</f>
        <v/>
      </c>
      <c r="D243" s="14" t="str">
        <f t="shared" si="2"/>
        <v/>
      </c>
      <c r="E243" s="14" t="str">
        <f t="shared" si="3"/>
        <v/>
      </c>
      <c r="F243" s="7" t="str">
        <f>IF($A243&lt;&gt;"",MAXIFS(Token!$C:$C,Token!$A:$A,$D243),)</f>
        <v/>
      </c>
    </row>
    <row r="244">
      <c r="A244" s="39" t="str">
        <f>IF(AND($L244*1&gt;=$G$3,$L244*1&lt;=$G$4,$I244*$J244&gt;0,OR($I244&lt;&gt;$I245,$L244-$L245&gt;25),IF(ABS($I244)&gt;10,$I244/POW(10,$J244),$J244/POW(10,$I244))*MAXIFS(Token!$C:$C,Token!$A:$A,$K244)&gt;0.01),$L244/86400+DATE(1970,1,1)+$G$6,)</f>
        <v/>
      </c>
      <c r="B244" s="27" t="str">
        <f t="shared" si="1"/>
        <v/>
      </c>
      <c r="C244" s="14" t="str">
        <f>IF($A244&lt;&gt;"",MINIFS(Merchant!$A:$A,Merchant!$B:$B,$G$2),)</f>
        <v/>
      </c>
      <c r="D244" s="14" t="str">
        <f t="shared" si="2"/>
        <v/>
      </c>
      <c r="E244" s="14" t="str">
        <f t="shared" si="3"/>
        <v/>
      </c>
      <c r="F244" s="7" t="str">
        <f>IF($A244&lt;&gt;"",MAXIFS(Token!$C:$C,Token!$A:$A,$D244),)</f>
        <v/>
      </c>
    </row>
    <row r="245">
      <c r="A245" s="39" t="str">
        <f>IF(AND($L245*1&gt;=$G$3,$L245*1&lt;=$G$4,$I245*$J245&gt;0,OR($I245&lt;&gt;$I246,$L245-$L246&gt;25),IF(ABS($I245)&gt;10,$I245/POW(10,$J245),$J245/POW(10,$I245))*MAXIFS(Token!$C:$C,Token!$A:$A,$K245)&gt;0.01),$L245/86400+DATE(1970,1,1)+$G$6,)</f>
        <v/>
      </c>
      <c r="B245" s="27" t="str">
        <f t="shared" si="1"/>
        <v/>
      </c>
      <c r="C245" s="14" t="str">
        <f>IF($A245&lt;&gt;"",MINIFS(Merchant!$A:$A,Merchant!$B:$B,$G$2),)</f>
        <v/>
      </c>
      <c r="D245" s="14" t="str">
        <f t="shared" si="2"/>
        <v/>
      </c>
      <c r="E245" s="14" t="str">
        <f t="shared" si="3"/>
        <v/>
      </c>
      <c r="F245" s="7" t="str">
        <f>IF($A245&lt;&gt;"",MAXIFS(Token!$C:$C,Token!$A:$A,$D245),)</f>
        <v/>
      </c>
    </row>
    <row r="246">
      <c r="A246" s="39" t="str">
        <f>IF(AND($L246*1&gt;=$G$3,$L246*1&lt;=$G$4,$I246*$J246&gt;0,OR($I246&lt;&gt;$I247,$L246-$L247&gt;25),IF(ABS($I246)&gt;10,$I246/POW(10,$J246),$J246/POW(10,$I246))*MAXIFS(Token!$C:$C,Token!$A:$A,$K246)&gt;0.01),$L246/86400+DATE(1970,1,1)+$G$6,)</f>
        <v/>
      </c>
      <c r="B246" s="27" t="str">
        <f t="shared" si="1"/>
        <v/>
      </c>
      <c r="C246" s="14" t="str">
        <f>IF($A246&lt;&gt;"",MINIFS(Merchant!$A:$A,Merchant!$B:$B,$G$2),)</f>
        <v/>
      </c>
      <c r="D246" s="14" t="str">
        <f t="shared" si="2"/>
        <v/>
      </c>
      <c r="E246" s="14" t="str">
        <f t="shared" si="3"/>
        <v/>
      </c>
      <c r="F246" s="7" t="str">
        <f>IF($A246&lt;&gt;"",MAXIFS(Token!$C:$C,Token!$A:$A,$D246),)</f>
        <v/>
      </c>
    </row>
    <row r="247">
      <c r="A247" s="39" t="str">
        <f>IF(AND($L247*1&gt;=$G$3,$L247*1&lt;=$G$4,$I247*$J247&gt;0,OR($I247&lt;&gt;$I248,$L247-$L248&gt;25),IF(ABS($I247)&gt;10,$I247/POW(10,$J247),$J247/POW(10,$I247))*MAXIFS(Token!$C:$C,Token!$A:$A,$K247)&gt;0.01),$L247/86400+DATE(1970,1,1)+$G$6,)</f>
        <v/>
      </c>
      <c r="B247" s="27" t="str">
        <f t="shared" si="1"/>
        <v/>
      </c>
      <c r="C247" s="14" t="str">
        <f>IF($A247&lt;&gt;"",MINIFS(Merchant!$A:$A,Merchant!$B:$B,$G$2),)</f>
        <v/>
      </c>
      <c r="D247" s="14" t="str">
        <f t="shared" si="2"/>
        <v/>
      </c>
      <c r="E247" s="14" t="str">
        <f t="shared" si="3"/>
        <v/>
      </c>
      <c r="F247" s="7" t="str">
        <f>IF($A247&lt;&gt;"",MAXIFS(Token!$C:$C,Token!$A:$A,$D247),)</f>
        <v/>
      </c>
    </row>
    <row r="248">
      <c r="A248" s="39" t="str">
        <f>IF(AND($L248*1&gt;=$G$3,$L248*1&lt;=$G$4,$I248*$J248&gt;0,OR($I248&lt;&gt;$I249,$L248-$L249&gt;25),IF(ABS($I248)&gt;10,$I248/POW(10,$J248),$J248/POW(10,$I248))*MAXIFS(Token!$C:$C,Token!$A:$A,$K248)&gt;0.01),$L248/86400+DATE(1970,1,1)+$G$6,)</f>
        <v/>
      </c>
      <c r="B248" s="27" t="str">
        <f t="shared" si="1"/>
        <v/>
      </c>
      <c r="C248" s="14" t="str">
        <f>IF($A248&lt;&gt;"",MINIFS(Merchant!$A:$A,Merchant!$B:$B,$G$2),)</f>
        <v/>
      </c>
      <c r="D248" s="14" t="str">
        <f t="shared" si="2"/>
        <v/>
      </c>
      <c r="E248" s="14" t="str">
        <f t="shared" si="3"/>
        <v/>
      </c>
      <c r="F248" s="7" t="str">
        <f>IF($A248&lt;&gt;"",MAXIFS(Token!$C:$C,Token!$A:$A,$D248),)</f>
        <v/>
      </c>
    </row>
    <row r="249">
      <c r="A249" s="39" t="str">
        <f>IF(AND($L249*1&gt;=$G$3,$L249*1&lt;=$G$4,$I249*$J249&gt;0,OR($I249&lt;&gt;$I250,$L249-$L250&gt;25),IF(ABS($I249)&gt;10,$I249/POW(10,$J249),$J249/POW(10,$I249))*MAXIFS(Token!$C:$C,Token!$A:$A,$K249)&gt;0.01),$L249/86400+DATE(1970,1,1)+$G$6,)</f>
        <v/>
      </c>
      <c r="B249" s="27" t="str">
        <f t="shared" si="1"/>
        <v/>
      </c>
      <c r="C249" s="14" t="str">
        <f>IF($A249&lt;&gt;"",MINIFS(Merchant!$A:$A,Merchant!$B:$B,$G$2),)</f>
        <v/>
      </c>
      <c r="D249" s="14" t="str">
        <f t="shared" si="2"/>
        <v/>
      </c>
      <c r="E249" s="14" t="str">
        <f t="shared" si="3"/>
        <v/>
      </c>
      <c r="F249" s="7" t="str">
        <f>IF($A249&lt;&gt;"",MAXIFS(Token!$C:$C,Token!$A:$A,$D249),)</f>
        <v/>
      </c>
    </row>
    <row r="250">
      <c r="A250" s="39" t="str">
        <f>IF(AND($L250*1&gt;=$G$3,$L250*1&lt;=$G$4,$I250*$J250&gt;0,OR($I250&lt;&gt;$I251,$L250-$L251&gt;25),IF(ABS($I250)&gt;10,$I250/POW(10,$J250),$J250/POW(10,$I250))*MAXIFS(Token!$C:$C,Token!$A:$A,$K250)&gt;0.01),$L250/86400+DATE(1970,1,1)+$G$6,)</f>
        <v/>
      </c>
      <c r="B250" s="27" t="str">
        <f t="shared" si="1"/>
        <v/>
      </c>
      <c r="C250" s="14" t="str">
        <f>IF($A250&lt;&gt;"",MINIFS(Merchant!$A:$A,Merchant!$B:$B,$G$2),)</f>
        <v/>
      </c>
      <c r="D250" s="14" t="str">
        <f t="shared" si="2"/>
        <v/>
      </c>
      <c r="E250" s="14" t="str">
        <f t="shared" si="3"/>
        <v/>
      </c>
      <c r="F250" s="7" t="str">
        <f>IF($A250&lt;&gt;"",MAXIFS(Token!$C:$C,Token!$A:$A,$D250),)</f>
        <v/>
      </c>
    </row>
    <row r="251">
      <c r="A251" s="39" t="str">
        <f>IF(AND($L251*1&gt;=$G$3,$L251*1&lt;=$G$4,$I251*$J251&gt;0,OR($I251&lt;&gt;$I252,$L251-$L252&gt;25),IF(ABS($I251)&gt;10,$I251/POW(10,$J251),$J251/POW(10,$I251))*MAXIFS(Token!$C:$C,Token!$A:$A,$K251)&gt;0.01),$L251/86400+DATE(1970,1,1)+$G$6,)</f>
        <v/>
      </c>
      <c r="B251" s="27" t="str">
        <f t="shared" si="1"/>
        <v/>
      </c>
      <c r="C251" s="14" t="str">
        <f>IF($A251&lt;&gt;"",MINIFS(Merchant!$A:$A,Merchant!$B:$B,$G$2),)</f>
        <v/>
      </c>
      <c r="D251" s="14" t="str">
        <f t="shared" si="2"/>
        <v/>
      </c>
      <c r="E251" s="14" t="str">
        <f t="shared" si="3"/>
        <v/>
      </c>
      <c r="F251" s="7" t="str">
        <f>IF($A251&lt;&gt;"",MAXIFS(Token!$C:$C,Token!$A:$A,$D251),)</f>
        <v/>
      </c>
    </row>
    <row r="252">
      <c r="A252" s="39" t="str">
        <f>IF(AND($L252*1&gt;=$G$3,$L252*1&lt;=$G$4,$I252*$J252&gt;0,OR($I252&lt;&gt;$I253,$L252-$L253&gt;25),IF(ABS($I252)&gt;10,$I252/POW(10,$J252),$J252/POW(10,$I252))*MAXIFS(Token!$C:$C,Token!$A:$A,$K252)&gt;0.01),$L252/86400+DATE(1970,1,1)+$G$6,)</f>
        <v/>
      </c>
      <c r="B252" s="27" t="str">
        <f t="shared" si="1"/>
        <v/>
      </c>
      <c r="C252" s="14" t="str">
        <f>IF($A252&lt;&gt;"",MINIFS(Merchant!$A:$A,Merchant!$B:$B,$G$2),)</f>
        <v/>
      </c>
      <c r="D252" s="14" t="str">
        <f t="shared" si="2"/>
        <v/>
      </c>
      <c r="E252" s="14" t="str">
        <f t="shared" si="3"/>
        <v/>
      </c>
      <c r="F252" s="7" t="str">
        <f>IF($A252&lt;&gt;"",MAXIFS(Token!$C:$C,Token!$A:$A,$D252),)</f>
        <v/>
      </c>
    </row>
    <row r="253">
      <c r="A253" s="39" t="str">
        <f>IF(AND($L253*1&gt;=$G$3,$L253*1&lt;=$G$4,$I253*$J253&gt;0,OR($I253&lt;&gt;$I254,$L253-$L254&gt;25),IF(ABS($I253)&gt;10,$I253/POW(10,$J253),$J253/POW(10,$I253))*MAXIFS(Token!$C:$C,Token!$A:$A,$K253)&gt;0.01),$L253/86400+DATE(1970,1,1)+$G$6,)</f>
        <v/>
      </c>
      <c r="B253" s="27" t="str">
        <f t="shared" si="1"/>
        <v/>
      </c>
      <c r="C253" s="14" t="str">
        <f>IF($A253&lt;&gt;"",MINIFS(Merchant!$A:$A,Merchant!$B:$B,$G$2),)</f>
        <v/>
      </c>
      <c r="D253" s="14" t="str">
        <f t="shared" si="2"/>
        <v/>
      </c>
      <c r="E253" s="14" t="str">
        <f t="shared" si="3"/>
        <v/>
      </c>
      <c r="F253" s="7" t="str">
        <f>IF($A253&lt;&gt;"",MAXIFS(Token!$C:$C,Token!$A:$A,$D253),)</f>
        <v/>
      </c>
    </row>
    <row r="254">
      <c r="A254" s="39" t="str">
        <f>IF(AND($L254*1&gt;=$G$3,$L254*1&lt;=$G$4,$I254*$J254&gt;0,OR($I254&lt;&gt;$I255,$L254-$L255&gt;25),IF(ABS($I254)&gt;10,$I254/POW(10,$J254),$J254/POW(10,$I254))*MAXIFS(Token!$C:$C,Token!$A:$A,$K254)&gt;0.01),$L254/86400+DATE(1970,1,1)+$G$6,)</f>
        <v/>
      </c>
      <c r="B254" s="27" t="str">
        <f t="shared" si="1"/>
        <v/>
      </c>
      <c r="C254" s="14" t="str">
        <f>IF($A254&lt;&gt;"",MINIFS(Merchant!$A:$A,Merchant!$B:$B,$G$2),)</f>
        <v/>
      </c>
      <c r="D254" s="14" t="str">
        <f t="shared" si="2"/>
        <v/>
      </c>
      <c r="E254" s="14" t="str">
        <f t="shared" si="3"/>
        <v/>
      </c>
      <c r="F254" s="7" t="str">
        <f>IF($A254&lt;&gt;"",MAXIFS(Token!$C:$C,Token!$A:$A,$D254),)</f>
        <v/>
      </c>
    </row>
    <row r="255">
      <c r="A255" s="39" t="str">
        <f>IF(AND($L255*1&gt;=$G$3,$L255*1&lt;=$G$4,$I255*$J255&gt;0,OR($I255&lt;&gt;$I256,$L255-$L256&gt;25),IF(ABS($I255)&gt;10,$I255/POW(10,$J255),$J255/POW(10,$I255))*MAXIFS(Token!$C:$C,Token!$A:$A,$K255)&gt;0.01),$L255/86400+DATE(1970,1,1)+$G$6,)</f>
        <v/>
      </c>
      <c r="B255" s="27" t="str">
        <f t="shared" si="1"/>
        <v/>
      </c>
      <c r="C255" s="14" t="str">
        <f>IF($A255&lt;&gt;"",MINIFS(Merchant!$A:$A,Merchant!$B:$B,$G$2),)</f>
        <v/>
      </c>
      <c r="D255" s="14" t="str">
        <f t="shared" si="2"/>
        <v/>
      </c>
      <c r="E255" s="14" t="str">
        <f t="shared" si="3"/>
        <v/>
      </c>
      <c r="F255" s="7" t="str">
        <f>IF($A255&lt;&gt;"",MAXIFS(Token!$C:$C,Token!$A:$A,$D255),)</f>
        <v/>
      </c>
    </row>
    <row r="256">
      <c r="A256" s="39" t="str">
        <f>IF(AND($L256*1&gt;=$G$3,$L256*1&lt;=$G$4,$I256*$J256&gt;0,OR($I256&lt;&gt;$I257,$L256-$L257&gt;25),IF(ABS($I256)&gt;10,$I256/POW(10,$J256),$J256/POW(10,$I256))*MAXIFS(Token!$C:$C,Token!$A:$A,$K256)&gt;0.01),$L256/86400+DATE(1970,1,1)+$G$6,)</f>
        <v/>
      </c>
      <c r="B256" s="27" t="str">
        <f t="shared" si="1"/>
        <v/>
      </c>
      <c r="C256" s="14" t="str">
        <f>IF($A256&lt;&gt;"",MINIFS(Merchant!$A:$A,Merchant!$B:$B,$G$2),)</f>
        <v/>
      </c>
      <c r="D256" s="14" t="str">
        <f t="shared" si="2"/>
        <v/>
      </c>
      <c r="E256" s="14" t="str">
        <f t="shared" si="3"/>
        <v/>
      </c>
      <c r="F256" s="7" t="str">
        <f>IF($A256&lt;&gt;"",MAXIFS(Token!$C:$C,Token!$A:$A,$D256),)</f>
        <v/>
      </c>
    </row>
    <row r="257">
      <c r="A257" s="39" t="str">
        <f>IF(AND($L257*1&gt;=$G$3,$L257*1&lt;=$G$4,$I257*$J257&gt;0,OR($I257&lt;&gt;$I258,$L257-$L258&gt;25),IF(ABS($I257)&gt;10,$I257/POW(10,$J257),$J257/POW(10,$I257))*MAXIFS(Token!$C:$C,Token!$A:$A,$K257)&gt;0.01),$L257/86400+DATE(1970,1,1)+$G$6,)</f>
        <v/>
      </c>
      <c r="B257" s="27" t="str">
        <f t="shared" si="1"/>
        <v/>
      </c>
      <c r="C257" s="14" t="str">
        <f>IF($A257&lt;&gt;"",MINIFS(Merchant!$A:$A,Merchant!$B:$B,$G$2),)</f>
        <v/>
      </c>
      <c r="D257" s="14" t="str">
        <f t="shared" si="2"/>
        <v/>
      </c>
      <c r="E257" s="14" t="str">
        <f t="shared" si="3"/>
        <v/>
      </c>
      <c r="F257" s="7" t="str">
        <f>IF($A257&lt;&gt;"",MAXIFS(Token!$C:$C,Token!$A:$A,$D257),)</f>
        <v/>
      </c>
    </row>
    <row r="258">
      <c r="A258" s="39" t="str">
        <f>IF(AND($L258*1&gt;=$G$3,$L258*1&lt;=$G$4,$I258*$J258&gt;0,OR($I258&lt;&gt;$I259,$L258-$L259&gt;25),IF(ABS($I258)&gt;10,$I258/POW(10,$J258),$J258/POW(10,$I258))*MAXIFS(Token!$C:$C,Token!$A:$A,$K258)&gt;0.01),$L258/86400+DATE(1970,1,1)+$G$6,)</f>
        <v/>
      </c>
      <c r="B258" s="27" t="str">
        <f t="shared" si="1"/>
        <v/>
      </c>
      <c r="C258" s="14" t="str">
        <f>IF($A258&lt;&gt;"",MINIFS(Merchant!$A:$A,Merchant!$B:$B,$G$2),)</f>
        <v/>
      </c>
      <c r="D258" s="14" t="str">
        <f t="shared" si="2"/>
        <v/>
      </c>
      <c r="E258" s="14" t="str">
        <f t="shared" si="3"/>
        <v/>
      </c>
      <c r="F258" s="7" t="str">
        <f>IF($A258&lt;&gt;"",MAXIFS(Token!$C:$C,Token!$A:$A,$D258),)</f>
        <v/>
      </c>
    </row>
    <row r="259">
      <c r="A259" s="39" t="str">
        <f>IF(AND($L259*1&gt;=$G$3,$L259*1&lt;=$G$4,$I259*$J259&gt;0,OR($I259&lt;&gt;$I260,$L259-$L260&gt;25),IF(ABS($I259)&gt;10,$I259/POW(10,$J259),$J259/POW(10,$I259))*MAXIFS(Token!$C:$C,Token!$A:$A,$K259)&gt;0.01),$L259/86400+DATE(1970,1,1)+$G$6,)</f>
        <v/>
      </c>
      <c r="B259" s="27" t="str">
        <f t="shared" si="1"/>
        <v/>
      </c>
      <c r="C259" s="14" t="str">
        <f>IF($A259&lt;&gt;"",MINIFS(Merchant!$A:$A,Merchant!$B:$B,$G$2),)</f>
        <v/>
      </c>
      <c r="D259" s="14" t="str">
        <f t="shared" si="2"/>
        <v/>
      </c>
      <c r="E259" s="14" t="str">
        <f t="shared" si="3"/>
        <v/>
      </c>
      <c r="F259" s="7" t="str">
        <f>IF($A259&lt;&gt;"",MAXIFS(Token!$C:$C,Token!$A:$A,$D259),)</f>
        <v/>
      </c>
    </row>
    <row r="260">
      <c r="A260" s="39" t="str">
        <f>IF(AND($L260*1&gt;=$G$3,$L260*1&lt;=$G$4,$I260*$J260&gt;0,OR($I260&lt;&gt;$I261,$L260-$L261&gt;25),IF(ABS($I260)&gt;10,$I260/POW(10,$J260),$J260/POW(10,$I260))*MAXIFS(Token!$C:$C,Token!$A:$A,$K260)&gt;0.01),$L260/86400+DATE(1970,1,1)+$G$6,)</f>
        <v/>
      </c>
      <c r="B260" s="27" t="str">
        <f t="shared" si="1"/>
        <v/>
      </c>
      <c r="C260" s="14" t="str">
        <f>IF($A260&lt;&gt;"",MINIFS(Merchant!$A:$A,Merchant!$B:$B,$G$2),)</f>
        <v/>
      </c>
      <c r="D260" s="14" t="str">
        <f t="shared" si="2"/>
        <v/>
      </c>
      <c r="E260" s="14" t="str">
        <f t="shared" si="3"/>
        <v/>
      </c>
      <c r="F260" s="7" t="str">
        <f>IF($A260&lt;&gt;"",MAXIFS(Token!$C:$C,Token!$A:$A,$D260),)</f>
        <v/>
      </c>
    </row>
    <row r="261">
      <c r="A261" s="39" t="str">
        <f>IF(AND($L261*1&gt;=$G$3,$L261*1&lt;=$G$4,$I261*$J261&gt;0,OR($I261&lt;&gt;$I262,$L261-$L262&gt;25),IF(ABS($I261)&gt;10,$I261/POW(10,$J261),$J261/POW(10,$I261))*MAXIFS(Token!$C:$C,Token!$A:$A,$K261)&gt;0.01),$L261/86400+DATE(1970,1,1)+$G$6,)</f>
        <v/>
      </c>
      <c r="B261" s="27" t="str">
        <f t="shared" si="1"/>
        <v/>
      </c>
      <c r="C261" s="14" t="str">
        <f>IF($A261&lt;&gt;"",MINIFS(Merchant!$A:$A,Merchant!$B:$B,$G$2),)</f>
        <v/>
      </c>
      <c r="D261" s="14" t="str">
        <f t="shared" si="2"/>
        <v/>
      </c>
      <c r="E261" s="14" t="str">
        <f t="shared" si="3"/>
        <v/>
      </c>
      <c r="F261" s="7" t="str">
        <f>IF($A261&lt;&gt;"",MAXIFS(Token!$C:$C,Token!$A:$A,$D261),)</f>
        <v/>
      </c>
    </row>
    <row r="262">
      <c r="A262" s="39" t="str">
        <f>IF(AND($L262*1&gt;=$G$3,$L262*1&lt;=$G$4,$I262*$J262&gt;0,OR($I262&lt;&gt;$I263,$L262-$L263&gt;25),IF(ABS($I262)&gt;10,$I262/POW(10,$J262),$J262/POW(10,$I262))*MAXIFS(Token!$C:$C,Token!$A:$A,$K262)&gt;0.01),$L262/86400+DATE(1970,1,1)+$G$6,)</f>
        <v/>
      </c>
      <c r="B262" s="27" t="str">
        <f t="shared" si="1"/>
        <v/>
      </c>
      <c r="C262" s="14" t="str">
        <f>IF($A262&lt;&gt;"",MINIFS(Merchant!$A:$A,Merchant!$B:$B,$G$2),)</f>
        <v/>
      </c>
      <c r="D262" s="14" t="str">
        <f t="shared" si="2"/>
        <v/>
      </c>
      <c r="E262" s="14" t="str">
        <f t="shared" si="3"/>
        <v/>
      </c>
      <c r="F262" s="7" t="str">
        <f>IF($A262&lt;&gt;"",MAXIFS(Token!$C:$C,Token!$A:$A,$D262),)</f>
        <v/>
      </c>
    </row>
    <row r="263">
      <c r="A263" s="39" t="str">
        <f>IF(AND($L263*1&gt;=$G$3,$L263*1&lt;=$G$4,$I263*$J263&gt;0,OR($I263&lt;&gt;$I264,$L263-$L264&gt;25),IF(ABS($I263)&gt;10,$I263/POW(10,$J263),$J263/POW(10,$I263))*MAXIFS(Token!$C:$C,Token!$A:$A,$K263)&gt;0.01),$L263/86400+DATE(1970,1,1)+$G$6,)</f>
        <v/>
      </c>
      <c r="B263" s="27" t="str">
        <f t="shared" si="1"/>
        <v/>
      </c>
      <c r="C263" s="14" t="str">
        <f>IF($A263&lt;&gt;"",MINIFS(Merchant!$A:$A,Merchant!$B:$B,$G$2),)</f>
        <v/>
      </c>
      <c r="D263" s="14" t="str">
        <f t="shared" si="2"/>
        <v/>
      </c>
      <c r="E263" s="14" t="str">
        <f t="shared" si="3"/>
        <v/>
      </c>
      <c r="F263" s="7" t="str">
        <f>IF($A263&lt;&gt;"",MAXIFS(Token!$C:$C,Token!$A:$A,$D263),)</f>
        <v/>
      </c>
    </row>
    <row r="264">
      <c r="A264" s="39" t="str">
        <f>IF(AND($L264*1&gt;=$G$3,$L264*1&lt;=$G$4,$I264*$J264&gt;0,OR($I264&lt;&gt;$I265,$L264-$L265&gt;25),IF(ABS($I264)&gt;10,$I264/POW(10,$J264),$J264/POW(10,$I264))*MAXIFS(Token!$C:$C,Token!$A:$A,$K264)&gt;0.01),$L264/86400+DATE(1970,1,1)+$G$6,)</f>
        <v/>
      </c>
      <c r="B264" s="27" t="str">
        <f t="shared" si="1"/>
        <v/>
      </c>
      <c r="C264" s="14" t="str">
        <f>IF($A264&lt;&gt;"",MINIFS(Merchant!$A:$A,Merchant!$B:$B,$G$2),)</f>
        <v/>
      </c>
      <c r="D264" s="14" t="str">
        <f t="shared" si="2"/>
        <v/>
      </c>
      <c r="E264" s="14" t="str">
        <f t="shared" si="3"/>
        <v/>
      </c>
      <c r="F264" s="7" t="str">
        <f>IF($A264&lt;&gt;"",MAXIFS(Token!$C:$C,Token!$A:$A,$D264),)</f>
        <v/>
      </c>
    </row>
    <row r="265">
      <c r="A265" s="39" t="str">
        <f>IF(AND($L265*1&gt;=$G$3,$L265*1&lt;=$G$4,$I265*$J265&gt;0,OR($I265&lt;&gt;$I266,$L265-$L266&gt;25),IF(ABS($I265)&gt;10,$I265/POW(10,$J265),$J265/POW(10,$I265))*MAXIFS(Token!$C:$C,Token!$A:$A,$K265)&gt;0.01),$L265/86400+DATE(1970,1,1)+$G$6,)</f>
        <v/>
      </c>
      <c r="B265" s="27" t="str">
        <f t="shared" si="1"/>
        <v/>
      </c>
      <c r="C265" s="14" t="str">
        <f>IF($A265&lt;&gt;"",MINIFS(Merchant!$A:$A,Merchant!$B:$B,$G$2),)</f>
        <v/>
      </c>
      <c r="D265" s="14" t="str">
        <f t="shared" si="2"/>
        <v/>
      </c>
      <c r="E265" s="14" t="str">
        <f t="shared" si="3"/>
        <v/>
      </c>
      <c r="F265" s="7" t="str">
        <f>IF($A265&lt;&gt;"",MAXIFS(Token!$C:$C,Token!$A:$A,$D265),)</f>
        <v/>
      </c>
    </row>
    <row r="266">
      <c r="A266" s="39" t="str">
        <f>IF(AND($L266*1&gt;=$G$3,$L266*1&lt;=$G$4,$I266*$J266&gt;0,OR($I266&lt;&gt;$I267,$L266-$L267&gt;25),IF(ABS($I266)&gt;10,$I266/POW(10,$J266),$J266/POW(10,$I266))*MAXIFS(Token!$C:$C,Token!$A:$A,$K266)&gt;0.01),$L266/86400+DATE(1970,1,1)+$G$6,)</f>
        <v/>
      </c>
      <c r="B266" s="27" t="str">
        <f t="shared" si="1"/>
        <v/>
      </c>
      <c r="C266" s="14" t="str">
        <f>IF($A266&lt;&gt;"",MINIFS(Merchant!$A:$A,Merchant!$B:$B,$G$2),)</f>
        <v/>
      </c>
      <c r="D266" s="14" t="str">
        <f t="shared" si="2"/>
        <v/>
      </c>
      <c r="E266" s="14" t="str">
        <f t="shared" si="3"/>
        <v/>
      </c>
      <c r="F266" s="7" t="str">
        <f>IF($A266&lt;&gt;"",MAXIFS(Token!$C:$C,Token!$A:$A,$D266),)</f>
        <v/>
      </c>
    </row>
    <row r="267">
      <c r="A267" s="39" t="str">
        <f>IF(AND($L267*1&gt;=$G$3,$L267*1&lt;=$G$4,$I267*$J267&gt;0,OR($I267&lt;&gt;$I268,$L267-$L268&gt;25),IF(ABS($I267)&gt;10,$I267/POW(10,$J267),$J267/POW(10,$I267))*MAXIFS(Token!$C:$C,Token!$A:$A,$K267)&gt;0.01),$L267/86400+DATE(1970,1,1)+$G$6,)</f>
        <v/>
      </c>
      <c r="B267" s="27" t="str">
        <f t="shared" si="1"/>
        <v/>
      </c>
      <c r="C267" s="14" t="str">
        <f>IF($A267&lt;&gt;"",MINIFS(Merchant!$A:$A,Merchant!$B:$B,$G$2),)</f>
        <v/>
      </c>
      <c r="D267" s="14" t="str">
        <f t="shared" si="2"/>
        <v/>
      </c>
      <c r="E267" s="14" t="str">
        <f t="shared" si="3"/>
        <v/>
      </c>
      <c r="F267" s="7" t="str">
        <f>IF($A267&lt;&gt;"",MAXIFS(Token!$C:$C,Token!$A:$A,$D267),)</f>
        <v/>
      </c>
    </row>
    <row r="268">
      <c r="A268" s="39" t="str">
        <f>IF(AND($L268*1&gt;=$G$3,$L268*1&lt;=$G$4,$I268*$J268&gt;0,OR($I268&lt;&gt;$I269,$L268-$L269&gt;25),IF(ABS($I268)&gt;10,$I268/POW(10,$J268),$J268/POW(10,$I268))*MAXIFS(Token!$C:$C,Token!$A:$A,$K268)&gt;0.01),$L268/86400+DATE(1970,1,1)+$G$6,)</f>
        <v/>
      </c>
      <c r="B268" s="27" t="str">
        <f t="shared" si="1"/>
        <v/>
      </c>
      <c r="C268" s="14" t="str">
        <f>IF($A268&lt;&gt;"",MINIFS(Merchant!$A:$A,Merchant!$B:$B,$G$2),)</f>
        <v/>
      </c>
      <c r="D268" s="14" t="str">
        <f t="shared" si="2"/>
        <v/>
      </c>
      <c r="E268" s="14" t="str">
        <f t="shared" si="3"/>
        <v/>
      </c>
      <c r="F268" s="7" t="str">
        <f>IF($A268&lt;&gt;"",MAXIFS(Token!$C:$C,Token!$A:$A,$D268),)</f>
        <v/>
      </c>
    </row>
    <row r="269">
      <c r="A269" s="39" t="str">
        <f>IF(AND($L269*1&gt;=$G$3,$L269*1&lt;=$G$4,$I269*$J269&gt;0,OR($I269&lt;&gt;$I270,$L269-$L270&gt;25),IF(ABS($I269)&gt;10,$I269/POW(10,$J269),$J269/POW(10,$I269))*MAXIFS(Token!$C:$C,Token!$A:$A,$K269)&gt;0.01),$L269/86400+DATE(1970,1,1)+$G$6,)</f>
        <v/>
      </c>
      <c r="B269" s="27" t="str">
        <f t="shared" si="1"/>
        <v/>
      </c>
      <c r="C269" s="14" t="str">
        <f>IF($A269&lt;&gt;"",MINIFS(Merchant!$A:$A,Merchant!$B:$B,$G$2),)</f>
        <v/>
      </c>
      <c r="D269" s="14" t="str">
        <f t="shared" si="2"/>
        <v/>
      </c>
      <c r="E269" s="14" t="str">
        <f t="shared" si="3"/>
        <v/>
      </c>
      <c r="F269" s="7" t="str">
        <f>IF($A269&lt;&gt;"",MAXIFS(Token!$C:$C,Token!$A:$A,$D269),)</f>
        <v/>
      </c>
    </row>
    <row r="270">
      <c r="A270" s="39" t="str">
        <f>IF(AND($L270*1&gt;=$G$3,$L270*1&lt;=$G$4,$I270*$J270&gt;0,OR($I270&lt;&gt;$I271,$L270-$L271&gt;25),IF(ABS($I270)&gt;10,$I270/POW(10,$J270),$J270/POW(10,$I270))*MAXIFS(Token!$C:$C,Token!$A:$A,$K270)&gt;0.01),$L270/86400+DATE(1970,1,1)+$G$6,)</f>
        <v/>
      </c>
      <c r="B270" s="27" t="str">
        <f t="shared" si="1"/>
        <v/>
      </c>
      <c r="C270" s="14" t="str">
        <f>IF($A270&lt;&gt;"",MINIFS(Merchant!$A:$A,Merchant!$B:$B,$G$2),)</f>
        <v/>
      </c>
      <c r="D270" s="14" t="str">
        <f t="shared" si="2"/>
        <v/>
      </c>
      <c r="E270" s="14" t="str">
        <f t="shared" si="3"/>
        <v/>
      </c>
      <c r="F270" s="7" t="str">
        <f>IF($A270&lt;&gt;"",MAXIFS(Token!$C:$C,Token!$A:$A,$D270),)</f>
        <v/>
      </c>
    </row>
    <row r="271">
      <c r="A271" s="39" t="str">
        <f>IF(AND($L271*1&gt;=$G$3,$L271*1&lt;=$G$4,$I271*$J271&gt;0,OR($I271&lt;&gt;$I272,$L271-$L272&gt;25),IF(ABS($I271)&gt;10,$I271/POW(10,$J271),$J271/POW(10,$I271))*MAXIFS(Token!$C:$C,Token!$A:$A,$K271)&gt;0.01),$L271/86400+DATE(1970,1,1)+$G$6,)</f>
        <v/>
      </c>
      <c r="B271" s="27" t="str">
        <f t="shared" si="1"/>
        <v/>
      </c>
      <c r="C271" s="14" t="str">
        <f>IF($A271&lt;&gt;"",MINIFS(Merchant!$A:$A,Merchant!$B:$B,$G$2),)</f>
        <v/>
      </c>
      <c r="D271" s="14" t="str">
        <f t="shared" si="2"/>
        <v/>
      </c>
      <c r="E271" s="14" t="str">
        <f t="shared" si="3"/>
        <v/>
      </c>
      <c r="F271" s="7" t="str">
        <f>IF($A271&lt;&gt;"",MAXIFS(Token!$C:$C,Token!$A:$A,$D271),)</f>
        <v/>
      </c>
    </row>
    <row r="272">
      <c r="A272" s="39" t="str">
        <f>IF(AND($L272*1&gt;=$G$3,$L272*1&lt;=$G$4,$I272*$J272&gt;0,OR($I272&lt;&gt;$I273,$L272-$L273&gt;25),IF(ABS($I272)&gt;10,$I272/POW(10,$J272),$J272/POW(10,$I272))*MAXIFS(Token!$C:$C,Token!$A:$A,$K272)&gt;0.01),$L272/86400+DATE(1970,1,1)+$G$6,)</f>
        <v/>
      </c>
      <c r="B272" s="27" t="str">
        <f t="shared" si="1"/>
        <v/>
      </c>
      <c r="C272" s="14" t="str">
        <f>IF($A272&lt;&gt;"",MINIFS(Merchant!$A:$A,Merchant!$B:$B,$G$2),)</f>
        <v/>
      </c>
      <c r="D272" s="14" t="str">
        <f t="shared" si="2"/>
        <v/>
      </c>
      <c r="E272" s="14" t="str">
        <f t="shared" si="3"/>
        <v/>
      </c>
      <c r="F272" s="7" t="str">
        <f>IF($A272&lt;&gt;"",MAXIFS(Token!$C:$C,Token!$A:$A,$D272),)</f>
        <v/>
      </c>
    </row>
    <row r="273">
      <c r="A273" s="39" t="str">
        <f>IF(AND($L273*1&gt;=$G$3,$L273*1&lt;=$G$4,$I273*$J273&gt;0,OR($I273&lt;&gt;$I274,$L273-$L274&gt;25),IF(ABS($I273)&gt;10,$I273/POW(10,$J273),$J273/POW(10,$I273))*MAXIFS(Token!$C:$C,Token!$A:$A,$K273)&gt;0.01),$L273/86400+DATE(1970,1,1)+$G$6,)</f>
        <v/>
      </c>
      <c r="B273" s="27" t="str">
        <f t="shared" si="1"/>
        <v/>
      </c>
      <c r="C273" s="14" t="str">
        <f>IF($A273&lt;&gt;"",MINIFS(Merchant!$A:$A,Merchant!$B:$B,$G$2),)</f>
        <v/>
      </c>
      <c r="D273" s="14" t="str">
        <f t="shared" si="2"/>
        <v/>
      </c>
      <c r="E273" s="14" t="str">
        <f t="shared" si="3"/>
        <v/>
      </c>
      <c r="F273" s="7" t="str">
        <f>IF($A273&lt;&gt;"",MAXIFS(Token!$C:$C,Token!$A:$A,$D273),)</f>
        <v/>
      </c>
    </row>
    <row r="274">
      <c r="A274" s="39" t="str">
        <f>IF(AND($L274*1&gt;=$G$3,$L274*1&lt;=$G$4,$I274*$J274&gt;0,OR($I274&lt;&gt;$I275,$L274-$L275&gt;25),IF(ABS($I274)&gt;10,$I274/POW(10,$J274),$J274/POW(10,$I274))*MAXIFS(Token!$C:$C,Token!$A:$A,$K274)&gt;0.01),$L274/86400+DATE(1970,1,1)+$G$6,)</f>
        <v/>
      </c>
      <c r="B274" s="27" t="str">
        <f t="shared" si="1"/>
        <v/>
      </c>
      <c r="C274" s="14" t="str">
        <f>IF($A274&lt;&gt;"",MINIFS(Merchant!$A:$A,Merchant!$B:$B,$G$2),)</f>
        <v/>
      </c>
      <c r="D274" s="14" t="str">
        <f t="shared" si="2"/>
        <v/>
      </c>
      <c r="E274" s="14" t="str">
        <f t="shared" si="3"/>
        <v/>
      </c>
      <c r="F274" s="7" t="str">
        <f>IF($A274&lt;&gt;"",MAXIFS(Token!$C:$C,Token!$A:$A,$D274),)</f>
        <v/>
      </c>
    </row>
    <row r="275">
      <c r="A275" s="39" t="str">
        <f>IF(AND($L275*1&gt;=$G$3,$L275*1&lt;=$G$4,$I275*$J275&gt;0,OR($I275&lt;&gt;$I276,$L275-$L276&gt;25),IF(ABS($I275)&gt;10,$I275/POW(10,$J275),$J275/POW(10,$I275))*MAXIFS(Token!$C:$C,Token!$A:$A,$K275)&gt;0.01),$L275/86400+DATE(1970,1,1)+$G$6,)</f>
        <v/>
      </c>
      <c r="B275" s="27" t="str">
        <f t="shared" si="1"/>
        <v/>
      </c>
      <c r="C275" s="14" t="str">
        <f>IF($A275&lt;&gt;"",MINIFS(Merchant!$A:$A,Merchant!$B:$B,$G$2),)</f>
        <v/>
      </c>
      <c r="D275" s="14" t="str">
        <f t="shared" si="2"/>
        <v/>
      </c>
      <c r="E275" s="14" t="str">
        <f t="shared" si="3"/>
        <v/>
      </c>
      <c r="F275" s="7" t="str">
        <f>IF($A275&lt;&gt;"",MAXIFS(Token!$C:$C,Token!$A:$A,$D275),)</f>
        <v/>
      </c>
    </row>
    <row r="276">
      <c r="A276" s="39" t="str">
        <f>IF(AND($L276*1&gt;=$G$3,$L276*1&lt;=$G$4,$I276*$J276&gt;0,OR($I276&lt;&gt;$I277,$L276-$L277&gt;25),IF(ABS($I276)&gt;10,$I276/POW(10,$J276),$J276/POW(10,$I276))*MAXIFS(Token!$C:$C,Token!$A:$A,$K276)&gt;0.01),$L276/86400+DATE(1970,1,1)+$G$6,)</f>
        <v/>
      </c>
      <c r="B276" s="27" t="str">
        <f t="shared" si="1"/>
        <v/>
      </c>
      <c r="C276" s="14" t="str">
        <f>IF($A276&lt;&gt;"",MINIFS(Merchant!$A:$A,Merchant!$B:$B,$G$2),)</f>
        <v/>
      </c>
      <c r="D276" s="14" t="str">
        <f t="shared" si="2"/>
        <v/>
      </c>
      <c r="E276" s="14" t="str">
        <f t="shared" si="3"/>
        <v/>
      </c>
      <c r="F276" s="7" t="str">
        <f>IF($A276&lt;&gt;"",MAXIFS(Token!$C:$C,Token!$A:$A,$D276),)</f>
        <v/>
      </c>
    </row>
    <row r="277">
      <c r="A277" s="39" t="str">
        <f>IF(AND($L277*1&gt;=$G$3,$L277*1&lt;=$G$4,$I277*$J277&gt;0,OR($I277&lt;&gt;$I278,$L277-$L278&gt;25),IF(ABS($I277)&gt;10,$I277/POW(10,$J277),$J277/POW(10,$I277))*MAXIFS(Token!$C:$C,Token!$A:$A,$K277)&gt;0.01),$L277/86400+DATE(1970,1,1)+$G$6,)</f>
        <v/>
      </c>
      <c r="B277" s="27" t="str">
        <f t="shared" si="1"/>
        <v/>
      </c>
      <c r="C277" s="14" t="str">
        <f>IF($A277&lt;&gt;"",MINIFS(Merchant!$A:$A,Merchant!$B:$B,$G$2),)</f>
        <v/>
      </c>
      <c r="D277" s="14" t="str">
        <f t="shared" si="2"/>
        <v/>
      </c>
      <c r="E277" s="14" t="str">
        <f t="shared" si="3"/>
        <v/>
      </c>
      <c r="F277" s="7" t="str">
        <f>IF($A277&lt;&gt;"",MAXIFS(Token!$C:$C,Token!$A:$A,$D277),)</f>
        <v/>
      </c>
    </row>
    <row r="278">
      <c r="A278" s="39" t="str">
        <f>IF(AND($L278*1&gt;=$G$3,$L278*1&lt;=$G$4,$I278*$J278&gt;0,OR($I278&lt;&gt;$I279,$L278-$L279&gt;25),IF(ABS($I278)&gt;10,$I278/POW(10,$J278),$J278/POW(10,$I278))*MAXIFS(Token!$C:$C,Token!$A:$A,$K278)&gt;0.01),$L278/86400+DATE(1970,1,1)+$G$6,)</f>
        <v/>
      </c>
      <c r="B278" s="27" t="str">
        <f t="shared" si="1"/>
        <v/>
      </c>
      <c r="C278" s="14" t="str">
        <f>IF($A278&lt;&gt;"",MINIFS(Merchant!$A:$A,Merchant!$B:$B,$G$2),)</f>
        <v/>
      </c>
      <c r="D278" s="14" t="str">
        <f t="shared" si="2"/>
        <v/>
      </c>
      <c r="E278" s="14" t="str">
        <f t="shared" si="3"/>
        <v/>
      </c>
      <c r="F278" s="7" t="str">
        <f>IF($A278&lt;&gt;"",MAXIFS(Token!$C:$C,Token!$A:$A,$D278),)</f>
        <v/>
      </c>
    </row>
    <row r="279">
      <c r="A279" s="39" t="str">
        <f>IF(AND($L279*1&gt;=$G$3,$L279*1&lt;=$G$4,$I279*$J279&gt;0,OR($I279&lt;&gt;$I280,$L279-$L280&gt;25),IF(ABS($I279)&gt;10,$I279/POW(10,$J279),$J279/POW(10,$I279))*MAXIFS(Token!$C:$C,Token!$A:$A,$K279)&gt;0.01),$L279/86400+DATE(1970,1,1)+$G$6,)</f>
        <v/>
      </c>
      <c r="B279" s="27" t="str">
        <f t="shared" si="1"/>
        <v/>
      </c>
      <c r="C279" s="14" t="str">
        <f>IF($A279&lt;&gt;"",MINIFS(Merchant!$A:$A,Merchant!$B:$B,$G$2),)</f>
        <v/>
      </c>
      <c r="D279" s="14" t="str">
        <f t="shared" si="2"/>
        <v/>
      </c>
      <c r="E279" s="14" t="str">
        <f t="shared" si="3"/>
        <v/>
      </c>
      <c r="F279" s="7" t="str">
        <f>IF($A279&lt;&gt;"",MAXIFS(Token!$C:$C,Token!$A:$A,$D279),)</f>
        <v/>
      </c>
    </row>
    <row r="280">
      <c r="A280" s="39" t="str">
        <f>IF(AND($L280*1&gt;=$G$3,$L280*1&lt;=$G$4,$I280*$J280&gt;0,OR($I280&lt;&gt;$I281,$L280-$L281&gt;25),IF(ABS($I280)&gt;10,$I280/POW(10,$J280),$J280/POW(10,$I280))*MAXIFS(Token!$C:$C,Token!$A:$A,$K280)&gt;0.01),$L280/86400+DATE(1970,1,1)+$G$6,)</f>
        <v/>
      </c>
      <c r="B280" s="27" t="str">
        <f t="shared" si="1"/>
        <v/>
      </c>
      <c r="C280" s="14" t="str">
        <f>IF($A280&lt;&gt;"",MINIFS(Merchant!$A:$A,Merchant!$B:$B,$G$2),)</f>
        <v/>
      </c>
      <c r="D280" s="14" t="str">
        <f t="shared" si="2"/>
        <v/>
      </c>
      <c r="E280" s="14" t="str">
        <f t="shared" si="3"/>
        <v/>
      </c>
      <c r="F280" s="7" t="str">
        <f>IF($A280&lt;&gt;"",MAXIFS(Token!$C:$C,Token!$A:$A,$D280),)</f>
        <v/>
      </c>
    </row>
    <row r="281">
      <c r="A281" s="39" t="str">
        <f>IF(AND($L281*1&gt;=$G$3,$L281*1&lt;=$G$4,$I281*$J281&gt;0,OR($I281&lt;&gt;$I282,$L281-$L282&gt;25),IF(ABS($I281)&gt;10,$I281/POW(10,$J281),$J281/POW(10,$I281))*MAXIFS(Token!$C:$C,Token!$A:$A,$K281)&gt;0.01),$L281/86400+DATE(1970,1,1)+$G$6,)</f>
        <v/>
      </c>
      <c r="B281" s="27" t="str">
        <f t="shared" si="1"/>
        <v/>
      </c>
      <c r="C281" s="14" t="str">
        <f>IF($A281&lt;&gt;"",MINIFS(Merchant!$A:$A,Merchant!$B:$B,$G$2),)</f>
        <v/>
      </c>
      <c r="D281" s="14" t="str">
        <f t="shared" si="2"/>
        <v/>
      </c>
      <c r="E281" s="14" t="str">
        <f t="shared" si="3"/>
        <v/>
      </c>
      <c r="F281" s="7" t="str">
        <f>IF($A281&lt;&gt;"",MAXIFS(Token!$C:$C,Token!$A:$A,$D281),)</f>
        <v/>
      </c>
    </row>
    <row r="282">
      <c r="A282" s="39" t="str">
        <f>IF(AND($L282*1&gt;=$G$3,$L282*1&lt;=$G$4,$I282*$J282&gt;0,OR($I282&lt;&gt;$I283,$L282-$L283&gt;25),IF(ABS($I282)&gt;10,$I282/POW(10,$J282),$J282/POW(10,$I282))*MAXIFS(Token!$C:$C,Token!$A:$A,$K282)&gt;0.01),$L282/86400+DATE(1970,1,1)+$G$6,)</f>
        <v/>
      </c>
      <c r="B282" s="27" t="str">
        <f t="shared" si="1"/>
        <v/>
      </c>
      <c r="C282" s="14" t="str">
        <f>IF($A282&lt;&gt;"",MINIFS(Merchant!$A:$A,Merchant!$B:$B,$G$2),)</f>
        <v/>
      </c>
      <c r="D282" s="14" t="str">
        <f t="shared" si="2"/>
        <v/>
      </c>
      <c r="E282" s="14" t="str">
        <f t="shared" si="3"/>
        <v/>
      </c>
      <c r="F282" s="7" t="str">
        <f>IF($A282&lt;&gt;"",MAXIFS(Token!$C:$C,Token!$A:$A,$D282),)</f>
        <v/>
      </c>
    </row>
    <row r="283">
      <c r="A283" s="39" t="str">
        <f>IF(AND($L283*1&gt;=$G$3,$L283*1&lt;=$G$4,$I283*$J283&gt;0,OR($I283&lt;&gt;$I284,$L283-$L284&gt;25),IF(ABS($I283)&gt;10,$I283/POW(10,$J283),$J283/POW(10,$I283))*MAXIFS(Token!$C:$C,Token!$A:$A,$K283)&gt;0.01),$L283/86400+DATE(1970,1,1)+$G$6,)</f>
        <v/>
      </c>
      <c r="B283" s="27" t="str">
        <f t="shared" si="1"/>
        <v/>
      </c>
      <c r="C283" s="14" t="str">
        <f>IF($A283&lt;&gt;"",MINIFS(Merchant!$A:$A,Merchant!$B:$B,$G$2),)</f>
        <v/>
      </c>
      <c r="D283" s="14" t="str">
        <f t="shared" si="2"/>
        <v/>
      </c>
      <c r="E283" s="14" t="str">
        <f t="shared" si="3"/>
        <v/>
      </c>
      <c r="F283" s="7" t="str">
        <f>IF($A283&lt;&gt;"",MAXIFS(Token!$C:$C,Token!$A:$A,$D283),)</f>
        <v/>
      </c>
    </row>
    <row r="284">
      <c r="A284" s="39" t="str">
        <f>IF(AND($L284*1&gt;=$G$3,$L284*1&lt;=$G$4,$I284*$J284&gt;0,OR($I284&lt;&gt;$I285,$L284-$L285&gt;25),IF(ABS($I284)&gt;10,$I284/POW(10,$J284),$J284/POW(10,$I284))*MAXIFS(Token!$C:$C,Token!$A:$A,$K284)&gt;0.01),$L284/86400+DATE(1970,1,1)+$G$6,)</f>
        <v/>
      </c>
      <c r="B284" s="27" t="str">
        <f t="shared" si="1"/>
        <v/>
      </c>
      <c r="C284" s="14" t="str">
        <f>IF($A284&lt;&gt;"",MINIFS(Merchant!$A:$A,Merchant!$B:$B,$G$2),)</f>
        <v/>
      </c>
      <c r="D284" s="14" t="str">
        <f t="shared" si="2"/>
        <v/>
      </c>
      <c r="E284" s="14" t="str">
        <f t="shared" si="3"/>
        <v/>
      </c>
      <c r="F284" s="7" t="str">
        <f>IF($A284&lt;&gt;"",MAXIFS(Token!$C:$C,Token!$A:$A,$D284),)</f>
        <v/>
      </c>
    </row>
    <row r="285">
      <c r="A285" s="39" t="str">
        <f>IF(AND($L285*1&gt;=$G$3,$L285*1&lt;=$G$4,$I285*$J285&gt;0,OR($I285&lt;&gt;$I286,$L285-$L286&gt;25),IF(ABS($I285)&gt;10,$I285/POW(10,$J285),$J285/POW(10,$I285))*MAXIFS(Token!$C:$C,Token!$A:$A,$K285)&gt;0.01),$L285/86400+DATE(1970,1,1)+$G$6,)</f>
        <v/>
      </c>
      <c r="B285" s="27" t="str">
        <f t="shared" si="1"/>
        <v/>
      </c>
      <c r="C285" s="14" t="str">
        <f>IF($A285&lt;&gt;"",MINIFS(Merchant!$A:$A,Merchant!$B:$B,$G$2),)</f>
        <v/>
      </c>
      <c r="D285" s="14" t="str">
        <f t="shared" si="2"/>
        <v/>
      </c>
      <c r="E285" s="14" t="str">
        <f t="shared" si="3"/>
        <v/>
      </c>
      <c r="F285" s="7" t="str">
        <f>IF($A285&lt;&gt;"",MAXIFS(Token!$C:$C,Token!$A:$A,$D285),)</f>
        <v/>
      </c>
    </row>
    <row r="286">
      <c r="A286" s="39" t="str">
        <f>IF(AND($L286*1&gt;=$G$3,$L286*1&lt;=$G$4,$I286*$J286&gt;0,OR($I286&lt;&gt;$I287,$L286-$L287&gt;25),IF(ABS($I286)&gt;10,$I286/POW(10,$J286),$J286/POW(10,$I286))*MAXIFS(Token!$C:$C,Token!$A:$A,$K286)&gt;0.01),$L286/86400+DATE(1970,1,1)+$G$6,)</f>
        <v/>
      </c>
      <c r="B286" s="27" t="str">
        <f t="shared" si="1"/>
        <v/>
      </c>
      <c r="C286" s="14" t="str">
        <f>IF($A286&lt;&gt;"",MINIFS(Merchant!$A:$A,Merchant!$B:$B,$G$2),)</f>
        <v/>
      </c>
      <c r="D286" s="14" t="str">
        <f t="shared" si="2"/>
        <v/>
      </c>
      <c r="E286" s="14" t="str">
        <f t="shared" si="3"/>
        <v/>
      </c>
      <c r="F286" s="7" t="str">
        <f>IF($A286&lt;&gt;"",MAXIFS(Token!$C:$C,Token!$A:$A,$D286),)</f>
        <v/>
      </c>
    </row>
    <row r="287">
      <c r="A287" s="39" t="str">
        <f>IF(AND($L287*1&gt;=$G$3,$L287*1&lt;=$G$4,$I287*$J287&gt;0,OR($I287&lt;&gt;$I288,$L287-$L288&gt;25),IF(ABS($I287)&gt;10,$I287/POW(10,$J287),$J287/POW(10,$I287))*MAXIFS(Token!$C:$C,Token!$A:$A,$K287)&gt;0.01),$L287/86400+DATE(1970,1,1)+$G$6,)</f>
        <v/>
      </c>
      <c r="B287" s="27" t="str">
        <f t="shared" si="1"/>
        <v/>
      </c>
      <c r="C287" s="14" t="str">
        <f>IF($A287&lt;&gt;"",MINIFS(Merchant!$A:$A,Merchant!$B:$B,$G$2),)</f>
        <v/>
      </c>
      <c r="D287" s="14" t="str">
        <f t="shared" si="2"/>
        <v/>
      </c>
      <c r="E287" s="14" t="str">
        <f t="shared" si="3"/>
        <v/>
      </c>
      <c r="F287" s="7" t="str">
        <f>IF($A287&lt;&gt;"",MAXIFS(Token!$C:$C,Token!$A:$A,$D287),)</f>
        <v/>
      </c>
    </row>
    <row r="288">
      <c r="A288" s="39" t="str">
        <f>IF(AND($L288*1&gt;=$G$3,$L288*1&lt;=$G$4,$I288*$J288&gt;0,OR($I288&lt;&gt;$I289,$L288-$L289&gt;25),IF(ABS($I288)&gt;10,$I288/POW(10,$J288),$J288/POW(10,$I288))*MAXIFS(Token!$C:$C,Token!$A:$A,$K288)&gt;0.01),$L288/86400+DATE(1970,1,1)+$G$6,)</f>
        <v/>
      </c>
      <c r="B288" s="27" t="str">
        <f t="shared" si="1"/>
        <v/>
      </c>
      <c r="C288" s="14" t="str">
        <f>IF($A288&lt;&gt;"",MINIFS(Merchant!$A:$A,Merchant!$B:$B,$G$2),)</f>
        <v/>
      </c>
      <c r="D288" s="14" t="str">
        <f t="shared" si="2"/>
        <v/>
      </c>
      <c r="E288" s="14" t="str">
        <f t="shared" si="3"/>
        <v/>
      </c>
      <c r="F288" s="7" t="str">
        <f>IF($A288&lt;&gt;"",MAXIFS(Token!$C:$C,Token!$A:$A,$D288),)</f>
        <v/>
      </c>
    </row>
    <row r="289">
      <c r="A289" s="39" t="str">
        <f>IF(AND($L289*1&gt;=$G$3,$L289*1&lt;=$G$4,$I289*$J289&gt;0,OR($I289&lt;&gt;$I290,$L289-$L290&gt;25),IF(ABS($I289)&gt;10,$I289/POW(10,$J289),$J289/POW(10,$I289))*MAXIFS(Token!$C:$C,Token!$A:$A,$K289)&gt;0.01),$L289/86400+DATE(1970,1,1)+$G$6,)</f>
        <v/>
      </c>
      <c r="B289" s="27" t="str">
        <f t="shared" si="1"/>
        <v/>
      </c>
      <c r="C289" s="14" t="str">
        <f>IF($A289&lt;&gt;"",MINIFS(Merchant!$A:$A,Merchant!$B:$B,$G$2),)</f>
        <v/>
      </c>
      <c r="D289" s="14" t="str">
        <f t="shared" si="2"/>
        <v/>
      </c>
      <c r="E289" s="14" t="str">
        <f t="shared" si="3"/>
        <v/>
      </c>
      <c r="F289" s="7" t="str">
        <f>IF($A289&lt;&gt;"",MAXIFS(Token!$C:$C,Token!$A:$A,$D289),)</f>
        <v/>
      </c>
    </row>
    <row r="290">
      <c r="A290" s="39" t="str">
        <f>IF(AND($L290*1&gt;=$G$3,$L290*1&lt;=$G$4,$I290*$J290&gt;0,OR($I290&lt;&gt;$I291,$L290-$L291&gt;25),IF(ABS($I290)&gt;10,$I290/POW(10,$J290),$J290/POW(10,$I290))*MAXIFS(Token!$C:$C,Token!$A:$A,$K290)&gt;0.01),$L290/86400+DATE(1970,1,1)+$G$6,)</f>
        <v/>
      </c>
      <c r="B290" s="27" t="str">
        <f t="shared" si="1"/>
        <v/>
      </c>
      <c r="C290" s="14" t="str">
        <f>IF($A290&lt;&gt;"",MINIFS(Merchant!$A:$A,Merchant!$B:$B,$G$2),)</f>
        <v/>
      </c>
      <c r="D290" s="14" t="str">
        <f t="shared" si="2"/>
        <v/>
      </c>
      <c r="E290" s="14" t="str">
        <f t="shared" si="3"/>
        <v/>
      </c>
      <c r="F290" s="7" t="str">
        <f>IF($A290&lt;&gt;"",MAXIFS(Token!$C:$C,Token!$A:$A,$D290),)</f>
        <v/>
      </c>
    </row>
    <row r="291">
      <c r="A291" s="39" t="str">
        <f>IF(AND($L291*1&gt;=$G$3,$L291*1&lt;=$G$4,$I291*$J291&gt;0,OR($I291&lt;&gt;$I292,$L291-$L292&gt;25),IF(ABS($I291)&gt;10,$I291/POW(10,$J291),$J291/POW(10,$I291))*MAXIFS(Token!$C:$C,Token!$A:$A,$K291)&gt;0.01),$L291/86400+DATE(1970,1,1)+$G$6,)</f>
        <v/>
      </c>
      <c r="B291" s="27" t="str">
        <f t="shared" si="1"/>
        <v/>
      </c>
      <c r="C291" s="14" t="str">
        <f>IF($A291&lt;&gt;"",MINIFS(Merchant!$A:$A,Merchant!$B:$B,$G$2),)</f>
        <v/>
      </c>
      <c r="D291" s="14" t="str">
        <f t="shared" si="2"/>
        <v/>
      </c>
      <c r="E291" s="14" t="str">
        <f t="shared" si="3"/>
        <v/>
      </c>
      <c r="F291" s="7" t="str">
        <f>IF($A291&lt;&gt;"",MAXIFS(Token!$C:$C,Token!$A:$A,$D291),)</f>
        <v/>
      </c>
    </row>
    <row r="292">
      <c r="A292" s="39" t="str">
        <f>IF(AND($L292*1&gt;=$G$3,$L292*1&lt;=$G$4,$I292*$J292&gt;0,OR($I292&lt;&gt;$I293,$L292-$L293&gt;25),IF(ABS($I292)&gt;10,$I292/POW(10,$J292),$J292/POW(10,$I292))*MAXIFS(Token!$C:$C,Token!$A:$A,$K292)&gt;0.01),$L292/86400+DATE(1970,1,1)+$G$6,)</f>
        <v/>
      </c>
      <c r="B292" s="27" t="str">
        <f t="shared" si="1"/>
        <v/>
      </c>
      <c r="C292" s="14" t="str">
        <f>IF($A292&lt;&gt;"",MINIFS(Merchant!$A:$A,Merchant!$B:$B,$G$2),)</f>
        <v/>
      </c>
      <c r="D292" s="14" t="str">
        <f t="shared" si="2"/>
        <v/>
      </c>
      <c r="E292" s="14" t="str">
        <f t="shared" si="3"/>
        <v/>
      </c>
      <c r="F292" s="7" t="str">
        <f>IF($A292&lt;&gt;"",MAXIFS(Token!$C:$C,Token!$A:$A,$D292),)</f>
        <v/>
      </c>
    </row>
    <row r="293">
      <c r="A293" s="39" t="str">
        <f>IF(AND($L293*1&gt;=$G$3,$L293*1&lt;=$G$4,$I293*$J293&gt;0,OR($I293&lt;&gt;$I294,$L293-$L294&gt;25),IF(ABS($I293)&gt;10,$I293/POW(10,$J293),$J293/POW(10,$I293))*MAXIFS(Token!$C:$C,Token!$A:$A,$K293)&gt;0.01),$L293/86400+DATE(1970,1,1)+$G$6,)</f>
        <v/>
      </c>
      <c r="B293" s="27" t="str">
        <f t="shared" si="1"/>
        <v/>
      </c>
      <c r="C293" s="14" t="str">
        <f>IF($A293&lt;&gt;"",MINIFS(Merchant!$A:$A,Merchant!$B:$B,$G$2),)</f>
        <v/>
      </c>
      <c r="D293" s="14" t="str">
        <f t="shared" si="2"/>
        <v/>
      </c>
      <c r="E293" s="14" t="str">
        <f t="shared" si="3"/>
        <v/>
      </c>
      <c r="F293" s="7" t="str">
        <f>IF($A293&lt;&gt;"",MAXIFS(Token!$C:$C,Token!$A:$A,$D293),)</f>
        <v/>
      </c>
    </row>
    <row r="294">
      <c r="A294" s="39" t="str">
        <f>IF(AND($L294*1&gt;=$G$3,$L294*1&lt;=$G$4,$I294*$J294&gt;0,OR($I294&lt;&gt;$I295,$L294-$L295&gt;25),IF(ABS($I294)&gt;10,$I294/POW(10,$J294),$J294/POW(10,$I294))*MAXIFS(Token!$C:$C,Token!$A:$A,$K294)&gt;0.01),$L294/86400+DATE(1970,1,1)+$G$6,)</f>
        <v/>
      </c>
      <c r="B294" s="27" t="str">
        <f t="shared" si="1"/>
        <v/>
      </c>
      <c r="C294" s="14" t="str">
        <f>IF($A294&lt;&gt;"",MINIFS(Merchant!$A:$A,Merchant!$B:$B,$G$2),)</f>
        <v/>
      </c>
      <c r="D294" s="14" t="str">
        <f t="shared" si="2"/>
        <v/>
      </c>
      <c r="E294" s="14" t="str">
        <f t="shared" si="3"/>
        <v/>
      </c>
      <c r="F294" s="7" t="str">
        <f>IF($A294&lt;&gt;"",MAXIFS(Token!$C:$C,Token!$A:$A,$D294),)</f>
        <v/>
      </c>
    </row>
    <row r="295">
      <c r="A295" s="39" t="str">
        <f>IF(AND($L295*1&gt;=$G$3,$L295*1&lt;=$G$4,$I295*$J295&gt;0,OR($I295&lt;&gt;$I296,$L295-$L296&gt;25),IF(ABS($I295)&gt;10,$I295/POW(10,$J295),$J295/POW(10,$I295))*MAXIFS(Token!$C:$C,Token!$A:$A,$K295)&gt;0.01),$L295/86400+DATE(1970,1,1)+$G$6,)</f>
        <v/>
      </c>
      <c r="B295" s="27" t="str">
        <f t="shared" si="1"/>
        <v/>
      </c>
      <c r="C295" s="14" t="str">
        <f>IF($A295&lt;&gt;"",MINIFS(Merchant!$A:$A,Merchant!$B:$B,$G$2),)</f>
        <v/>
      </c>
      <c r="D295" s="14" t="str">
        <f t="shared" si="2"/>
        <v/>
      </c>
      <c r="E295" s="14" t="str">
        <f t="shared" si="3"/>
        <v/>
      </c>
      <c r="F295" s="7" t="str">
        <f>IF($A295&lt;&gt;"",MAXIFS(Token!$C:$C,Token!$A:$A,$D295),)</f>
        <v/>
      </c>
    </row>
    <row r="296">
      <c r="A296" s="39" t="str">
        <f>IF(AND($L296*1&gt;=$G$3,$L296*1&lt;=$G$4,$I296*$J296&gt;0,OR($I296&lt;&gt;$I297,$L296-$L297&gt;25),IF(ABS($I296)&gt;10,$I296/POW(10,$J296),$J296/POW(10,$I296))*MAXIFS(Token!$C:$C,Token!$A:$A,$K296)&gt;0.01),$L296/86400+DATE(1970,1,1)+$G$6,)</f>
        <v/>
      </c>
      <c r="B296" s="27" t="str">
        <f t="shared" si="1"/>
        <v/>
      </c>
      <c r="C296" s="14" t="str">
        <f>IF($A296&lt;&gt;"",MINIFS(Merchant!$A:$A,Merchant!$B:$B,$G$2),)</f>
        <v/>
      </c>
      <c r="D296" s="14" t="str">
        <f t="shared" si="2"/>
        <v/>
      </c>
      <c r="E296" s="14" t="str">
        <f t="shared" si="3"/>
        <v/>
      </c>
      <c r="F296" s="7" t="str">
        <f>IF($A296&lt;&gt;"",MAXIFS(Token!$C:$C,Token!$A:$A,$D296),)</f>
        <v/>
      </c>
    </row>
    <row r="297">
      <c r="A297" s="39" t="str">
        <f>IF(AND($L297*1&gt;=$G$3,$L297*1&lt;=$G$4,$I297*$J297&gt;0,OR($I297&lt;&gt;$I298,$L297-$L298&gt;25),IF(ABS($I297)&gt;10,$I297/POW(10,$J297),$J297/POW(10,$I297))*MAXIFS(Token!$C:$C,Token!$A:$A,$K297)&gt;0.01),$L297/86400+DATE(1970,1,1)+$G$6,)</f>
        <v/>
      </c>
      <c r="B297" s="27" t="str">
        <f t="shared" si="1"/>
        <v/>
      </c>
      <c r="C297" s="14" t="str">
        <f>IF($A297&lt;&gt;"",MINIFS(Merchant!$A:$A,Merchant!$B:$B,$G$2),)</f>
        <v/>
      </c>
      <c r="D297" s="14" t="str">
        <f t="shared" si="2"/>
        <v/>
      </c>
      <c r="E297" s="14" t="str">
        <f t="shared" si="3"/>
        <v/>
      </c>
      <c r="F297" s="7" t="str">
        <f>IF($A297&lt;&gt;"",MAXIFS(Token!$C:$C,Token!$A:$A,$D297),)</f>
        <v/>
      </c>
    </row>
    <row r="298">
      <c r="A298" s="39" t="str">
        <f>IF(AND($L298*1&gt;=$G$3,$L298*1&lt;=$G$4,$I298*$J298&gt;0,OR($I298&lt;&gt;$I299,$L298-$L299&gt;25),IF(ABS($I298)&gt;10,$I298/POW(10,$J298),$J298/POW(10,$I298))*MAXIFS(Token!$C:$C,Token!$A:$A,$K298)&gt;0.01),$L298/86400+DATE(1970,1,1)+$G$6,)</f>
        <v/>
      </c>
      <c r="B298" s="27" t="str">
        <f t="shared" si="1"/>
        <v/>
      </c>
      <c r="C298" s="14" t="str">
        <f>IF($A298&lt;&gt;"",MINIFS(Merchant!$A:$A,Merchant!$B:$B,$G$2),)</f>
        <v/>
      </c>
      <c r="D298" s="14" t="str">
        <f t="shared" si="2"/>
        <v/>
      </c>
      <c r="E298" s="14" t="str">
        <f t="shared" si="3"/>
        <v/>
      </c>
      <c r="F298" s="7" t="str">
        <f>IF($A298&lt;&gt;"",MAXIFS(Token!$C:$C,Token!$A:$A,$D298),)</f>
        <v/>
      </c>
    </row>
    <row r="299">
      <c r="A299" s="39" t="str">
        <f>IF(AND($L299*1&gt;=$G$3,$L299*1&lt;=$G$4,$I299*$J299&gt;0,OR($I299&lt;&gt;$I300,$L299-$L300&gt;25),IF(ABS($I299)&gt;10,$I299/POW(10,$J299),$J299/POW(10,$I299))*MAXIFS(Token!$C:$C,Token!$A:$A,$K299)&gt;0.01),$L299/86400+DATE(1970,1,1)+$G$6,)</f>
        <v/>
      </c>
      <c r="B299" s="27" t="str">
        <f t="shared" si="1"/>
        <v/>
      </c>
      <c r="C299" s="14" t="str">
        <f>IF($A299&lt;&gt;"",MINIFS(Merchant!$A:$A,Merchant!$B:$B,$G$2),)</f>
        <v/>
      </c>
      <c r="D299" s="14" t="str">
        <f t="shared" si="2"/>
        <v/>
      </c>
      <c r="E299" s="14" t="str">
        <f t="shared" si="3"/>
        <v/>
      </c>
      <c r="F299" s="7" t="str">
        <f>IF($A299&lt;&gt;"",MAXIFS(Token!$C:$C,Token!$A:$A,$D299),)</f>
        <v/>
      </c>
    </row>
    <row r="300">
      <c r="A300" s="39" t="str">
        <f>IF(AND($L300*1&gt;=$G$3,$L300*1&lt;=$G$4,$I300*$J300&gt;0,OR($I300&lt;&gt;$I301,$L300-$L301&gt;25),IF(ABS($I300)&gt;10,$I300/POW(10,$J300),$J300/POW(10,$I300))*MAXIFS(Token!$C:$C,Token!$A:$A,$K300)&gt;0.01),$L300/86400+DATE(1970,1,1)+$G$6,)</f>
        <v/>
      </c>
      <c r="B300" s="27" t="str">
        <f t="shared" si="1"/>
        <v/>
      </c>
      <c r="C300" s="14" t="str">
        <f>IF($A300&lt;&gt;"",MINIFS(Merchant!$A:$A,Merchant!$B:$B,$G$2),)</f>
        <v/>
      </c>
      <c r="D300" s="14" t="str">
        <f t="shared" si="2"/>
        <v/>
      </c>
      <c r="E300" s="14" t="str">
        <f t="shared" si="3"/>
        <v/>
      </c>
      <c r="F300" s="7" t="str">
        <f>IF($A300&lt;&gt;"",MAXIFS(Token!$C:$C,Token!$A:$A,$D300),)</f>
        <v/>
      </c>
    </row>
    <row r="301">
      <c r="A301" s="39" t="str">
        <f>IF(AND($L301*1&gt;=$G$3,$L301*1&lt;=$G$4,$I301*$J301&gt;0,OR($I301&lt;&gt;$I302,$L301-$L302&gt;25),IF(ABS($I301)&gt;10,$I301/POW(10,$J301),$J301/POW(10,$I301))*MAXIFS(Token!$C:$C,Token!$A:$A,$K301)&gt;0.01),$L301/86400+DATE(1970,1,1)+$G$6,)</f>
        <v/>
      </c>
      <c r="B301" s="27" t="str">
        <f t="shared" si="1"/>
        <v/>
      </c>
      <c r="C301" s="14" t="str">
        <f>IF($A301&lt;&gt;"",MINIFS(Merchant!$A:$A,Merchant!$B:$B,$G$2),)</f>
        <v/>
      </c>
      <c r="D301" s="14" t="str">
        <f t="shared" si="2"/>
        <v/>
      </c>
      <c r="E301" s="14" t="str">
        <f t="shared" si="3"/>
        <v/>
      </c>
      <c r="F301" s="7" t="str">
        <f>IF($A301&lt;&gt;"",MAXIFS(Token!$C:$C,Token!$A:$A,$D301),)</f>
        <v/>
      </c>
    </row>
    <row r="302">
      <c r="A302" s="39" t="str">
        <f>IF(AND($L302*1&gt;=$G$3,$L302*1&lt;=$G$4,$I302*$J302&gt;0,OR($I302&lt;&gt;$I303,$L302-$L303&gt;25),IF(ABS($I302)&gt;10,$I302/POW(10,$J302),$J302/POW(10,$I302))*MAXIFS(Token!$C:$C,Token!$A:$A,$K302)&gt;0.01),$L302/86400+DATE(1970,1,1)+$G$6,)</f>
        <v/>
      </c>
      <c r="B302" s="27" t="str">
        <f t="shared" si="1"/>
        <v/>
      </c>
      <c r="C302" s="14" t="str">
        <f>IF($A302&lt;&gt;"",MINIFS(Merchant!$A:$A,Merchant!$B:$B,$G$2),)</f>
        <v/>
      </c>
      <c r="D302" s="14" t="str">
        <f t="shared" si="2"/>
        <v/>
      </c>
      <c r="E302" s="14" t="str">
        <f t="shared" si="3"/>
        <v/>
      </c>
      <c r="F302" s="7" t="str">
        <f>IF($A302&lt;&gt;"",MAXIFS(Token!$C:$C,Token!$A:$A,$D302),)</f>
        <v/>
      </c>
    </row>
    <row r="303">
      <c r="A303" s="39" t="str">
        <f>IF(AND($L303*1&gt;=$G$3,$L303*1&lt;=$G$4,$I303*$J303&gt;0,OR($I303&lt;&gt;$I304,$L303-$L304&gt;25),IF(ABS($I303)&gt;10,$I303/POW(10,$J303),$J303/POW(10,$I303))*MAXIFS(Token!$C:$C,Token!$A:$A,$K303)&gt;0.01),$L303/86400+DATE(1970,1,1)+$G$6,)</f>
        <v/>
      </c>
      <c r="B303" s="27" t="str">
        <f t="shared" si="1"/>
        <v/>
      </c>
      <c r="C303" s="14" t="str">
        <f>IF($A303&lt;&gt;"",MINIFS(Merchant!$A:$A,Merchant!$B:$B,$G$2),)</f>
        <v/>
      </c>
      <c r="D303" s="14" t="str">
        <f t="shared" si="2"/>
        <v/>
      </c>
      <c r="E303" s="14" t="str">
        <f t="shared" si="3"/>
        <v/>
      </c>
      <c r="F303" s="7" t="str">
        <f>IF($A303&lt;&gt;"",MAXIFS(Token!$C:$C,Token!$A:$A,$D303),)</f>
        <v/>
      </c>
    </row>
    <row r="304">
      <c r="A304" s="39" t="str">
        <f>IF(AND($L304*1&gt;=$G$3,$L304*1&lt;=$G$4,$I304*$J304&gt;0,OR($I304&lt;&gt;$I305,$L304-$L305&gt;25),IF(ABS($I304)&gt;10,$I304/POW(10,$J304),$J304/POW(10,$I304))*MAXIFS(Token!$C:$C,Token!$A:$A,$K304)&gt;0.01),$L304/86400+DATE(1970,1,1)+$G$6,)</f>
        <v/>
      </c>
      <c r="B304" s="27" t="str">
        <f t="shared" si="1"/>
        <v/>
      </c>
      <c r="C304" s="14" t="str">
        <f>IF($A304&lt;&gt;"",MINIFS(Merchant!$A:$A,Merchant!$B:$B,$G$2),)</f>
        <v/>
      </c>
      <c r="D304" s="14" t="str">
        <f t="shared" si="2"/>
        <v/>
      </c>
      <c r="E304" s="14" t="str">
        <f t="shared" si="3"/>
        <v/>
      </c>
      <c r="F304" s="7" t="str">
        <f>IF($A304&lt;&gt;"",MAXIFS(Token!$C:$C,Token!$A:$A,$D304),)</f>
        <v/>
      </c>
    </row>
    <row r="305">
      <c r="A305" s="39" t="str">
        <f>IF(AND($L305*1&gt;=$G$3,$L305*1&lt;=$G$4,$I305*$J305&gt;0,OR($I305&lt;&gt;$I306,$L305-$L306&gt;25),IF(ABS($I305)&gt;10,$I305/POW(10,$J305),$J305/POW(10,$I305))*MAXIFS(Token!$C:$C,Token!$A:$A,$K305)&gt;0.01),$L305/86400+DATE(1970,1,1)+$G$6,)</f>
        <v/>
      </c>
      <c r="B305" s="27" t="str">
        <f t="shared" si="1"/>
        <v/>
      </c>
      <c r="C305" s="14" t="str">
        <f>IF($A305&lt;&gt;"",MINIFS(Merchant!$A:$A,Merchant!$B:$B,$G$2),)</f>
        <v/>
      </c>
      <c r="D305" s="14" t="str">
        <f t="shared" si="2"/>
        <v/>
      </c>
      <c r="E305" s="14" t="str">
        <f t="shared" si="3"/>
        <v/>
      </c>
      <c r="F305" s="7" t="str">
        <f>IF($A305&lt;&gt;"",MAXIFS(Token!$C:$C,Token!$A:$A,$D305),)</f>
        <v/>
      </c>
    </row>
    <row r="306">
      <c r="A306" s="39" t="str">
        <f>IF(AND($L306*1&gt;=$G$3,$L306*1&lt;=$G$4,$I306*$J306&gt;0,OR($I306&lt;&gt;$I307,$L306-$L307&gt;25),IF(ABS($I306)&gt;10,$I306/POW(10,$J306),$J306/POW(10,$I306))*MAXIFS(Token!$C:$C,Token!$A:$A,$K306)&gt;0.01),$L306/86400+DATE(1970,1,1)+$G$6,)</f>
        <v/>
      </c>
      <c r="B306" s="27" t="str">
        <f t="shared" si="1"/>
        <v/>
      </c>
      <c r="C306" s="14" t="str">
        <f>IF($A306&lt;&gt;"",MINIFS(Merchant!$A:$A,Merchant!$B:$B,$G$2),)</f>
        <v/>
      </c>
      <c r="D306" s="14" t="str">
        <f t="shared" si="2"/>
        <v/>
      </c>
      <c r="E306" s="14" t="str">
        <f t="shared" si="3"/>
        <v/>
      </c>
      <c r="F306" s="7" t="str">
        <f>IF($A306&lt;&gt;"",MAXIFS(Token!$C:$C,Token!$A:$A,$D306),)</f>
        <v/>
      </c>
    </row>
    <row r="307">
      <c r="A307" s="39" t="str">
        <f>IF(AND($L307*1&gt;=$G$3,$L307*1&lt;=$G$4,$I307*$J307&gt;0,OR($I307&lt;&gt;$I308,$L307-$L308&gt;25),IF(ABS($I307)&gt;10,$I307/POW(10,$J307),$J307/POW(10,$I307))*MAXIFS(Token!$C:$C,Token!$A:$A,$K307)&gt;0.01),$L307/86400+DATE(1970,1,1)+$G$6,)</f>
        <v/>
      </c>
      <c r="B307" s="27" t="str">
        <f t="shared" si="1"/>
        <v/>
      </c>
      <c r="C307" s="14" t="str">
        <f>IF($A307&lt;&gt;"",MINIFS(Merchant!$A:$A,Merchant!$B:$B,$G$2),)</f>
        <v/>
      </c>
      <c r="D307" s="14" t="str">
        <f t="shared" si="2"/>
        <v/>
      </c>
      <c r="E307" s="14" t="str">
        <f t="shared" si="3"/>
        <v/>
      </c>
      <c r="F307" s="7" t="str">
        <f>IF($A307&lt;&gt;"",MAXIFS(Token!$C:$C,Token!$A:$A,$D307),)</f>
        <v/>
      </c>
    </row>
    <row r="308">
      <c r="A308" s="39" t="str">
        <f>IF(AND($L308*1&gt;=$G$3,$L308*1&lt;=$G$4,$I308*$J308&gt;0,OR($I308&lt;&gt;$I309,$L308-$L309&gt;25),IF(ABS($I308)&gt;10,$I308/POW(10,$J308),$J308/POW(10,$I308))*MAXIFS(Token!$C:$C,Token!$A:$A,$K308)&gt;0.01),$L308/86400+DATE(1970,1,1)+$G$6,)</f>
        <v/>
      </c>
      <c r="B308" s="27" t="str">
        <f t="shared" si="1"/>
        <v/>
      </c>
      <c r="C308" s="14" t="str">
        <f>IF($A308&lt;&gt;"",MINIFS(Merchant!$A:$A,Merchant!$B:$B,$G$2),)</f>
        <v/>
      </c>
      <c r="D308" s="14" t="str">
        <f t="shared" si="2"/>
        <v/>
      </c>
      <c r="E308" s="14" t="str">
        <f t="shared" si="3"/>
        <v/>
      </c>
      <c r="F308" s="7" t="str">
        <f>IF($A308&lt;&gt;"",MAXIFS(Token!$C:$C,Token!$A:$A,$D308),)</f>
        <v/>
      </c>
    </row>
    <row r="309">
      <c r="A309" s="39" t="str">
        <f>IF(AND($L309*1&gt;=$G$3,$L309*1&lt;=$G$4,$I309*$J309&gt;0,OR($I309&lt;&gt;$I310,$L309-$L310&gt;25),IF(ABS($I309)&gt;10,$I309/POW(10,$J309),$J309/POW(10,$I309))*MAXIFS(Token!$C:$C,Token!$A:$A,$K309)&gt;0.01),$L309/86400+DATE(1970,1,1)+$G$6,)</f>
        <v/>
      </c>
      <c r="B309" s="27" t="str">
        <f t="shared" si="1"/>
        <v/>
      </c>
      <c r="C309" s="14" t="str">
        <f>IF($A309&lt;&gt;"",MINIFS(Merchant!$A:$A,Merchant!$B:$B,$G$2),)</f>
        <v/>
      </c>
      <c r="D309" s="14" t="str">
        <f t="shared" si="2"/>
        <v/>
      </c>
      <c r="E309" s="14" t="str">
        <f t="shared" si="3"/>
        <v/>
      </c>
      <c r="F309" s="7" t="str">
        <f>IF($A309&lt;&gt;"",MAXIFS(Token!$C:$C,Token!$A:$A,$D309),)</f>
        <v/>
      </c>
    </row>
    <row r="310">
      <c r="A310" s="39" t="str">
        <f>IF(AND($L310*1&gt;=$G$3,$L310*1&lt;=$G$4,$I310*$J310&gt;0,OR($I310&lt;&gt;$I311,$L310-$L311&gt;25),IF(ABS($I310)&gt;10,$I310/POW(10,$J310),$J310/POW(10,$I310))*MAXIFS(Token!$C:$C,Token!$A:$A,$K310)&gt;0.01),$L310/86400+DATE(1970,1,1)+$G$6,)</f>
        <v/>
      </c>
      <c r="B310" s="27" t="str">
        <f t="shared" si="1"/>
        <v/>
      </c>
      <c r="C310" s="14" t="str">
        <f>IF($A310&lt;&gt;"",MINIFS(Merchant!$A:$A,Merchant!$B:$B,$G$2),)</f>
        <v/>
      </c>
      <c r="D310" s="14" t="str">
        <f t="shared" si="2"/>
        <v/>
      </c>
      <c r="E310" s="14" t="str">
        <f t="shared" si="3"/>
        <v/>
      </c>
      <c r="F310" s="7" t="str">
        <f>IF($A310&lt;&gt;"",MAXIFS(Token!$C:$C,Token!$A:$A,$D310),)</f>
        <v/>
      </c>
    </row>
    <row r="311">
      <c r="A311" s="39" t="str">
        <f>IF(AND($L311*1&gt;=$G$3,$L311*1&lt;=$G$4,$I311*$J311&gt;0,OR($I311&lt;&gt;$I312,$L311-$L312&gt;25),IF(ABS($I311)&gt;10,$I311/POW(10,$J311),$J311/POW(10,$I311))*MAXIFS(Token!$C:$C,Token!$A:$A,$K311)&gt;0.01),$L311/86400+DATE(1970,1,1)+$G$6,)</f>
        <v/>
      </c>
      <c r="B311" s="27" t="str">
        <f t="shared" si="1"/>
        <v/>
      </c>
      <c r="C311" s="14" t="str">
        <f>IF($A311&lt;&gt;"",MINIFS(Merchant!$A:$A,Merchant!$B:$B,$G$2),)</f>
        <v/>
      </c>
      <c r="D311" s="14" t="str">
        <f t="shared" si="2"/>
        <v/>
      </c>
      <c r="E311" s="14" t="str">
        <f t="shared" si="3"/>
        <v/>
      </c>
      <c r="F311" s="7" t="str">
        <f>IF($A311&lt;&gt;"",MAXIFS(Token!$C:$C,Token!$A:$A,$D311),)</f>
        <v/>
      </c>
    </row>
    <row r="312">
      <c r="A312" s="39" t="str">
        <f>IF(AND($L312*1&gt;=$G$3,$L312*1&lt;=$G$4,$I312*$J312&gt;0,OR($I312&lt;&gt;$I313,$L312-$L313&gt;25),IF(ABS($I312)&gt;10,$I312/POW(10,$J312),$J312/POW(10,$I312))*MAXIFS(Token!$C:$C,Token!$A:$A,$K312)&gt;0.01),$L312/86400+DATE(1970,1,1)+$G$6,)</f>
        <v/>
      </c>
      <c r="B312" s="27" t="str">
        <f t="shared" si="1"/>
        <v/>
      </c>
      <c r="C312" s="14" t="str">
        <f>IF($A312&lt;&gt;"",MINIFS(Merchant!$A:$A,Merchant!$B:$B,$G$2),)</f>
        <v/>
      </c>
      <c r="D312" s="14" t="str">
        <f t="shared" si="2"/>
        <v/>
      </c>
      <c r="E312" s="14" t="str">
        <f t="shared" si="3"/>
        <v/>
      </c>
      <c r="F312" s="7" t="str">
        <f>IF($A312&lt;&gt;"",MAXIFS(Token!$C:$C,Token!$A:$A,$D312),)</f>
        <v/>
      </c>
    </row>
    <row r="313">
      <c r="A313" s="39" t="str">
        <f>IF(AND($L313*1&gt;=$G$3,$L313*1&lt;=$G$4,$I313*$J313&gt;0,OR($I313&lt;&gt;$I314,$L313-$L314&gt;25),IF(ABS($I313)&gt;10,$I313/POW(10,$J313),$J313/POW(10,$I313))*MAXIFS(Token!$C:$C,Token!$A:$A,$K313)&gt;0.01),$L313/86400+DATE(1970,1,1)+$G$6,)</f>
        <v/>
      </c>
      <c r="B313" s="27" t="str">
        <f t="shared" si="1"/>
        <v/>
      </c>
      <c r="C313" s="14" t="str">
        <f>IF($A313&lt;&gt;"",MINIFS(Merchant!$A:$A,Merchant!$B:$B,$G$2),)</f>
        <v/>
      </c>
      <c r="D313" s="14" t="str">
        <f t="shared" si="2"/>
        <v/>
      </c>
      <c r="E313" s="14" t="str">
        <f t="shared" si="3"/>
        <v/>
      </c>
      <c r="F313" s="7" t="str">
        <f>IF($A313&lt;&gt;"",MAXIFS(Token!$C:$C,Token!$A:$A,$D313),)</f>
        <v/>
      </c>
    </row>
    <row r="314">
      <c r="A314" s="39" t="str">
        <f>IF(AND($L314*1&gt;=$G$3,$L314*1&lt;=$G$4,$I314*$J314&gt;0,OR($I314&lt;&gt;$I315,$L314-$L315&gt;25),IF(ABS($I314)&gt;10,$I314/POW(10,$J314),$J314/POW(10,$I314))*MAXIFS(Token!$C:$C,Token!$A:$A,$K314)&gt;0.01),$L314/86400+DATE(1970,1,1)+$G$6,)</f>
        <v/>
      </c>
      <c r="B314" s="27" t="str">
        <f t="shared" si="1"/>
        <v/>
      </c>
      <c r="C314" s="14" t="str">
        <f>IF($A314&lt;&gt;"",MINIFS(Merchant!$A:$A,Merchant!$B:$B,$G$2),)</f>
        <v/>
      </c>
      <c r="D314" s="14" t="str">
        <f t="shared" si="2"/>
        <v/>
      </c>
      <c r="E314" s="14" t="str">
        <f t="shared" si="3"/>
        <v/>
      </c>
      <c r="F314" s="7" t="str">
        <f>IF($A314&lt;&gt;"",MAXIFS(Token!$C:$C,Token!$A:$A,$D314),)</f>
        <v/>
      </c>
    </row>
    <row r="315">
      <c r="A315" s="39" t="str">
        <f>IF(AND($L315*1&gt;=$G$3,$L315*1&lt;=$G$4,$I315*$J315&gt;0,OR($I315&lt;&gt;$I316,$L315-$L316&gt;25),IF(ABS($I315)&gt;10,$I315/POW(10,$J315),$J315/POW(10,$I315))*MAXIFS(Token!$C:$C,Token!$A:$A,$K315)&gt;0.01),$L315/86400+DATE(1970,1,1)+$G$6,)</f>
        <v/>
      </c>
      <c r="B315" s="27" t="str">
        <f t="shared" si="1"/>
        <v/>
      </c>
      <c r="C315" s="14" t="str">
        <f>IF($A315&lt;&gt;"",MINIFS(Merchant!$A:$A,Merchant!$B:$B,$G$2),)</f>
        <v/>
      </c>
      <c r="D315" s="14" t="str">
        <f t="shared" si="2"/>
        <v/>
      </c>
      <c r="E315" s="14" t="str">
        <f t="shared" si="3"/>
        <v/>
      </c>
      <c r="F315" s="7" t="str">
        <f>IF($A315&lt;&gt;"",MAXIFS(Token!$C:$C,Token!$A:$A,$D315),)</f>
        <v/>
      </c>
    </row>
    <row r="316">
      <c r="A316" s="39" t="str">
        <f>IF(AND($L316*1&gt;=$G$3,$L316*1&lt;=$G$4,$I316*$J316&gt;0,OR($I316&lt;&gt;$I317,$L316-$L317&gt;25),IF(ABS($I316)&gt;10,$I316/POW(10,$J316),$J316/POW(10,$I316))*MAXIFS(Token!$C:$C,Token!$A:$A,$K316)&gt;0.01),$L316/86400+DATE(1970,1,1)+$G$6,)</f>
        <v/>
      </c>
      <c r="B316" s="27" t="str">
        <f t="shared" si="1"/>
        <v/>
      </c>
      <c r="C316" s="14" t="str">
        <f>IF($A316&lt;&gt;"",MINIFS(Merchant!$A:$A,Merchant!$B:$B,$G$2),)</f>
        <v/>
      </c>
      <c r="D316" s="14" t="str">
        <f t="shared" si="2"/>
        <v/>
      </c>
      <c r="E316" s="14" t="str">
        <f t="shared" si="3"/>
        <v/>
      </c>
      <c r="F316" s="7" t="str">
        <f>IF($A316&lt;&gt;"",MAXIFS(Token!$C:$C,Token!$A:$A,$D316),)</f>
        <v/>
      </c>
    </row>
    <row r="317">
      <c r="A317" s="39" t="str">
        <f>IF(AND($L317*1&gt;=$G$3,$L317*1&lt;=$G$4,$I317*$J317&gt;0,OR($I317&lt;&gt;$I318,$L317-$L318&gt;25),IF(ABS($I317)&gt;10,$I317/POW(10,$J317),$J317/POW(10,$I317))*MAXIFS(Token!$C:$C,Token!$A:$A,$K317)&gt;0.01),$L317/86400+DATE(1970,1,1)+$G$6,)</f>
        <v/>
      </c>
      <c r="B317" s="27" t="str">
        <f t="shared" si="1"/>
        <v/>
      </c>
      <c r="C317" s="14" t="str">
        <f>IF($A317&lt;&gt;"",MINIFS(Merchant!$A:$A,Merchant!$B:$B,$G$2),)</f>
        <v/>
      </c>
      <c r="D317" s="14" t="str">
        <f t="shared" si="2"/>
        <v/>
      </c>
      <c r="E317" s="14" t="str">
        <f t="shared" si="3"/>
        <v/>
      </c>
      <c r="F317" s="7" t="str">
        <f>IF($A317&lt;&gt;"",MAXIFS(Token!$C:$C,Token!$A:$A,$D317),)</f>
        <v/>
      </c>
    </row>
    <row r="318">
      <c r="A318" s="39" t="str">
        <f>IF(AND($L318*1&gt;=$G$3,$L318*1&lt;=$G$4,$I318*$J318&gt;0,OR($I318&lt;&gt;$I319,$L318-$L319&gt;25),IF(ABS($I318)&gt;10,$I318/POW(10,$J318),$J318/POW(10,$I318))*MAXIFS(Token!$C:$C,Token!$A:$A,$K318)&gt;0.01),$L318/86400+DATE(1970,1,1)+$G$6,)</f>
        <v/>
      </c>
      <c r="B318" s="27" t="str">
        <f t="shared" si="1"/>
        <v/>
      </c>
      <c r="C318" s="14" t="str">
        <f>IF($A318&lt;&gt;"",MINIFS(Merchant!$A:$A,Merchant!$B:$B,$G$2),)</f>
        <v/>
      </c>
      <c r="D318" s="14" t="str">
        <f t="shared" si="2"/>
        <v/>
      </c>
      <c r="E318" s="14" t="str">
        <f t="shared" si="3"/>
        <v/>
      </c>
      <c r="F318" s="7" t="str">
        <f>IF($A318&lt;&gt;"",MAXIFS(Token!$C:$C,Token!$A:$A,$D318),)</f>
        <v/>
      </c>
    </row>
    <row r="319">
      <c r="A319" s="39" t="str">
        <f>IF(AND($L319*1&gt;=$G$3,$L319*1&lt;=$G$4,$I319*$J319&gt;0,OR($I319&lt;&gt;$I320,$L319-$L320&gt;25),IF(ABS($I319)&gt;10,$I319/POW(10,$J319),$J319/POW(10,$I319))*MAXIFS(Token!$C:$C,Token!$A:$A,$K319)&gt;0.01),$L319/86400+DATE(1970,1,1)+$G$6,)</f>
        <v/>
      </c>
      <c r="B319" s="27" t="str">
        <f t="shared" si="1"/>
        <v/>
      </c>
      <c r="C319" s="14" t="str">
        <f>IF($A319&lt;&gt;"",MINIFS(Merchant!$A:$A,Merchant!$B:$B,$G$2),)</f>
        <v/>
      </c>
      <c r="D319" s="14" t="str">
        <f t="shared" si="2"/>
        <v/>
      </c>
      <c r="E319" s="14" t="str">
        <f t="shared" si="3"/>
        <v/>
      </c>
      <c r="F319" s="7" t="str">
        <f>IF($A319&lt;&gt;"",MAXIFS(Token!$C:$C,Token!$A:$A,$D319),)</f>
        <v/>
      </c>
    </row>
    <row r="320">
      <c r="A320" s="39" t="str">
        <f>IF(AND($L320*1&gt;=$G$3,$L320*1&lt;=$G$4,$I320*$J320&gt;0,OR($I320&lt;&gt;$I321,$L320-$L321&gt;25),IF(ABS($I320)&gt;10,$I320/POW(10,$J320),$J320/POW(10,$I320))*MAXIFS(Token!$C:$C,Token!$A:$A,$K320)&gt;0.01),$L320/86400+DATE(1970,1,1)+$G$6,)</f>
        <v/>
      </c>
      <c r="B320" s="27" t="str">
        <f t="shared" si="1"/>
        <v/>
      </c>
      <c r="C320" s="14" t="str">
        <f>IF($A320&lt;&gt;"",MINIFS(Merchant!$A:$A,Merchant!$B:$B,$G$2),)</f>
        <v/>
      </c>
      <c r="D320" s="14" t="str">
        <f t="shared" si="2"/>
        <v/>
      </c>
      <c r="E320" s="14" t="str">
        <f t="shared" si="3"/>
        <v/>
      </c>
      <c r="F320" s="7" t="str">
        <f>IF($A320&lt;&gt;"",MAXIFS(Token!$C:$C,Token!$A:$A,$D320),)</f>
        <v/>
      </c>
    </row>
    <row r="321">
      <c r="A321" s="39" t="str">
        <f>IF(AND($L321*1&gt;=$G$3,$L321*1&lt;=$G$4,$I321*$J321&gt;0,OR($I321&lt;&gt;$I322,$L321-$L322&gt;25),IF(ABS($I321)&gt;10,$I321/POW(10,$J321),$J321/POW(10,$I321))*MAXIFS(Token!$C:$C,Token!$A:$A,$K321)&gt;0.01),$L321/86400+DATE(1970,1,1)+$G$6,)</f>
        <v/>
      </c>
      <c r="B321" s="27" t="str">
        <f t="shared" si="1"/>
        <v/>
      </c>
      <c r="C321" s="14" t="str">
        <f>IF($A321&lt;&gt;"",MINIFS(Merchant!$A:$A,Merchant!$B:$B,$G$2),)</f>
        <v/>
      </c>
      <c r="D321" s="14" t="str">
        <f t="shared" si="2"/>
        <v/>
      </c>
      <c r="E321" s="14" t="str">
        <f t="shared" si="3"/>
        <v/>
      </c>
      <c r="F321" s="7" t="str">
        <f>IF($A321&lt;&gt;"",MAXIFS(Token!$C:$C,Token!$A:$A,$D321),)</f>
        <v/>
      </c>
    </row>
    <row r="322">
      <c r="A322" s="39" t="str">
        <f>IF(AND($L322*1&gt;=$G$3,$L322*1&lt;=$G$4,$I322*$J322&gt;0,OR($I322&lt;&gt;$I323,$L322-$L323&gt;25),IF(ABS($I322)&gt;10,$I322/POW(10,$J322),$J322/POW(10,$I322))*MAXIFS(Token!$C:$C,Token!$A:$A,$K322)&gt;0.01),$L322/86400+DATE(1970,1,1)+$G$6,)</f>
        <v/>
      </c>
      <c r="B322" s="27" t="str">
        <f t="shared" si="1"/>
        <v/>
      </c>
      <c r="C322" s="14" t="str">
        <f>IF($A322&lt;&gt;"",MINIFS(Merchant!$A:$A,Merchant!$B:$B,$G$2),)</f>
        <v/>
      </c>
      <c r="D322" s="14" t="str">
        <f t="shared" si="2"/>
        <v/>
      </c>
      <c r="E322" s="14" t="str">
        <f t="shared" si="3"/>
        <v/>
      </c>
      <c r="F322" s="7" t="str">
        <f>IF($A322&lt;&gt;"",MAXIFS(Token!$C:$C,Token!$A:$A,$D322),)</f>
        <v/>
      </c>
    </row>
    <row r="323">
      <c r="A323" s="39" t="str">
        <f>IF(AND($L323*1&gt;=$G$3,$L323*1&lt;=$G$4,$I323*$J323&gt;0,OR($I323&lt;&gt;$I324,$L323-$L324&gt;25),IF(ABS($I323)&gt;10,$I323/POW(10,$J323),$J323/POW(10,$I323))*MAXIFS(Token!$C:$C,Token!$A:$A,$K323)&gt;0.01),$L323/86400+DATE(1970,1,1)+$G$6,)</f>
        <v/>
      </c>
      <c r="B323" s="27" t="str">
        <f t="shared" si="1"/>
        <v/>
      </c>
      <c r="C323" s="14" t="str">
        <f>IF($A323&lt;&gt;"",MINIFS(Merchant!$A:$A,Merchant!$B:$B,$G$2),)</f>
        <v/>
      </c>
      <c r="D323" s="14" t="str">
        <f t="shared" si="2"/>
        <v/>
      </c>
      <c r="E323" s="14" t="str">
        <f t="shared" si="3"/>
        <v/>
      </c>
      <c r="F323" s="7" t="str">
        <f>IF($A323&lt;&gt;"",MAXIFS(Token!$C:$C,Token!$A:$A,$D323),)</f>
        <v/>
      </c>
    </row>
    <row r="324">
      <c r="A324" s="39" t="str">
        <f>IF(AND($L324*1&gt;=$G$3,$L324*1&lt;=$G$4,$I324*$J324&gt;0,OR($I324&lt;&gt;$I325,$L324-$L325&gt;25),IF(ABS($I324)&gt;10,$I324/POW(10,$J324),$J324/POW(10,$I324))*MAXIFS(Token!$C:$C,Token!$A:$A,$K324)&gt;0.01),$L324/86400+DATE(1970,1,1)+$G$6,)</f>
        <v/>
      </c>
      <c r="B324" s="27" t="str">
        <f t="shared" si="1"/>
        <v/>
      </c>
      <c r="C324" s="14" t="str">
        <f>IF($A324&lt;&gt;"",MINIFS(Merchant!$A:$A,Merchant!$B:$B,$G$2),)</f>
        <v/>
      </c>
      <c r="D324" s="14" t="str">
        <f t="shared" si="2"/>
        <v/>
      </c>
      <c r="E324" s="14" t="str">
        <f t="shared" si="3"/>
        <v/>
      </c>
      <c r="F324" s="7" t="str">
        <f>IF($A324&lt;&gt;"",MAXIFS(Token!$C:$C,Token!$A:$A,$D324),)</f>
        <v/>
      </c>
    </row>
    <row r="325">
      <c r="A325" s="39" t="str">
        <f>IF(AND($L325*1&gt;=$G$3,$L325*1&lt;=$G$4,$I325*$J325&gt;0,OR($I325&lt;&gt;$I326,$L325-$L326&gt;25),IF(ABS($I325)&gt;10,$I325/POW(10,$J325),$J325/POW(10,$I325))*MAXIFS(Token!$C:$C,Token!$A:$A,$K325)&gt;0.01),$L325/86400+DATE(1970,1,1)+$G$6,)</f>
        <v/>
      </c>
      <c r="B325" s="27" t="str">
        <f t="shared" si="1"/>
        <v/>
      </c>
      <c r="C325" s="14" t="str">
        <f>IF($A325&lt;&gt;"",MINIFS(Merchant!$A:$A,Merchant!$B:$B,$G$2),)</f>
        <v/>
      </c>
      <c r="D325" s="14" t="str">
        <f t="shared" si="2"/>
        <v/>
      </c>
      <c r="E325" s="14" t="str">
        <f t="shared" si="3"/>
        <v/>
      </c>
      <c r="F325" s="7" t="str">
        <f>IF($A325&lt;&gt;"",MAXIFS(Token!$C:$C,Token!$A:$A,$D325),)</f>
        <v/>
      </c>
    </row>
    <row r="326">
      <c r="A326" s="39" t="str">
        <f>IF(AND($L326*1&gt;=$G$3,$L326*1&lt;=$G$4,$I326*$J326&gt;0,OR($I326&lt;&gt;$I327,$L326-$L327&gt;25),IF(ABS($I326)&gt;10,$I326/POW(10,$J326),$J326/POW(10,$I326))*MAXIFS(Token!$C:$C,Token!$A:$A,$K326)&gt;0.01),$L326/86400+DATE(1970,1,1)+$G$6,)</f>
        <v/>
      </c>
      <c r="B326" s="27" t="str">
        <f t="shared" si="1"/>
        <v/>
      </c>
      <c r="C326" s="14" t="str">
        <f>IF($A326&lt;&gt;"",MINIFS(Merchant!$A:$A,Merchant!$B:$B,$G$2),)</f>
        <v/>
      </c>
      <c r="D326" s="14" t="str">
        <f t="shared" si="2"/>
        <v/>
      </c>
      <c r="E326" s="14" t="str">
        <f t="shared" si="3"/>
        <v/>
      </c>
      <c r="F326" s="7" t="str">
        <f>IF($A326&lt;&gt;"",MAXIFS(Token!$C:$C,Token!$A:$A,$D326),)</f>
        <v/>
      </c>
    </row>
    <row r="327">
      <c r="A327" s="39" t="str">
        <f>IF(AND($L327*1&gt;=$G$3,$L327*1&lt;=$G$4,$I327*$J327&gt;0,OR($I327&lt;&gt;$I328,$L327-$L328&gt;25),IF(ABS($I327)&gt;10,$I327/POW(10,$J327),$J327/POW(10,$I327))*MAXIFS(Token!$C:$C,Token!$A:$A,$K327)&gt;0.01),$L327/86400+DATE(1970,1,1)+$G$6,)</f>
        <v/>
      </c>
      <c r="B327" s="27" t="str">
        <f t="shared" si="1"/>
        <v/>
      </c>
      <c r="C327" s="14" t="str">
        <f>IF($A327&lt;&gt;"",MINIFS(Merchant!$A:$A,Merchant!$B:$B,$G$2),)</f>
        <v/>
      </c>
      <c r="D327" s="14" t="str">
        <f t="shared" si="2"/>
        <v/>
      </c>
      <c r="E327" s="14" t="str">
        <f t="shared" si="3"/>
        <v/>
      </c>
      <c r="F327" s="7" t="str">
        <f>IF($A327&lt;&gt;"",MAXIFS(Token!$C:$C,Token!$A:$A,$D327),)</f>
        <v/>
      </c>
    </row>
    <row r="328">
      <c r="A328" s="39" t="str">
        <f>IF(AND($L328*1&gt;=$G$3,$L328*1&lt;=$G$4,$I328*$J328&gt;0,OR($I328&lt;&gt;$I329,$L328-$L329&gt;25),IF(ABS($I328)&gt;10,$I328/POW(10,$J328),$J328/POW(10,$I328))*MAXIFS(Token!$C:$C,Token!$A:$A,$K328)&gt;0.01),$L328/86400+DATE(1970,1,1)+$G$6,)</f>
        <v/>
      </c>
      <c r="B328" s="27" t="str">
        <f t="shared" si="1"/>
        <v/>
      </c>
      <c r="C328" s="14" t="str">
        <f>IF($A328&lt;&gt;"",MINIFS(Merchant!$A:$A,Merchant!$B:$B,$G$2),)</f>
        <v/>
      </c>
      <c r="D328" s="14" t="str">
        <f t="shared" si="2"/>
        <v/>
      </c>
      <c r="E328" s="14" t="str">
        <f t="shared" si="3"/>
        <v/>
      </c>
      <c r="F328" s="7" t="str">
        <f>IF($A328&lt;&gt;"",MAXIFS(Token!$C:$C,Token!$A:$A,$D328),)</f>
        <v/>
      </c>
    </row>
    <row r="329">
      <c r="A329" s="39" t="str">
        <f>IF(AND($L329*1&gt;=$G$3,$L329*1&lt;=$G$4,$I329*$J329&gt;0,OR($I329&lt;&gt;$I330,$L329-$L330&gt;25),IF(ABS($I329)&gt;10,$I329/POW(10,$J329),$J329/POW(10,$I329))*MAXIFS(Token!$C:$C,Token!$A:$A,$K329)&gt;0.01),$L329/86400+DATE(1970,1,1)+$G$6,)</f>
        <v/>
      </c>
      <c r="B329" s="27" t="str">
        <f t="shared" si="1"/>
        <v/>
      </c>
      <c r="C329" s="14" t="str">
        <f>IF($A329&lt;&gt;"",MINIFS(Merchant!$A:$A,Merchant!$B:$B,$G$2),)</f>
        <v/>
      </c>
      <c r="D329" s="14" t="str">
        <f t="shared" si="2"/>
        <v/>
      </c>
      <c r="E329" s="14" t="str">
        <f t="shared" si="3"/>
        <v/>
      </c>
      <c r="F329" s="7" t="str">
        <f>IF($A329&lt;&gt;"",MAXIFS(Token!$C:$C,Token!$A:$A,$D329),)</f>
        <v/>
      </c>
    </row>
    <row r="330">
      <c r="A330" s="39" t="str">
        <f>IF(AND($L330*1&gt;=$G$3,$L330*1&lt;=$G$4,$I330*$J330&gt;0,OR($I330&lt;&gt;$I331,$L330-$L331&gt;25),IF(ABS($I330)&gt;10,$I330/POW(10,$J330),$J330/POW(10,$I330))*MAXIFS(Token!$C:$C,Token!$A:$A,$K330)&gt;0.01),$L330/86400+DATE(1970,1,1)+$G$6,)</f>
        <v/>
      </c>
      <c r="B330" s="27" t="str">
        <f t="shared" si="1"/>
        <v/>
      </c>
      <c r="C330" s="14" t="str">
        <f>IF($A330&lt;&gt;"",MINIFS(Merchant!$A:$A,Merchant!$B:$B,$G$2),)</f>
        <v/>
      </c>
      <c r="D330" s="14" t="str">
        <f t="shared" si="2"/>
        <v/>
      </c>
      <c r="E330" s="14" t="str">
        <f t="shared" si="3"/>
        <v/>
      </c>
      <c r="F330" s="7" t="str">
        <f>IF($A330&lt;&gt;"",MAXIFS(Token!$C:$C,Token!$A:$A,$D330),)</f>
        <v/>
      </c>
    </row>
    <row r="331">
      <c r="A331" s="39" t="str">
        <f>IF(AND($L331*1&gt;=$G$3,$L331*1&lt;=$G$4,$I331*$J331&gt;0,OR($I331&lt;&gt;$I332,$L331-$L332&gt;25),IF(ABS($I331)&gt;10,$I331/POW(10,$J331),$J331/POW(10,$I331))*MAXIFS(Token!$C:$C,Token!$A:$A,$K331)&gt;0.01),$L331/86400+DATE(1970,1,1)+$G$6,)</f>
        <v/>
      </c>
      <c r="B331" s="27" t="str">
        <f t="shared" si="1"/>
        <v/>
      </c>
      <c r="C331" s="14" t="str">
        <f>IF($A331&lt;&gt;"",MINIFS(Merchant!$A:$A,Merchant!$B:$B,$G$2),)</f>
        <v/>
      </c>
      <c r="D331" s="14" t="str">
        <f t="shared" si="2"/>
        <v/>
      </c>
      <c r="E331" s="14" t="str">
        <f t="shared" si="3"/>
        <v/>
      </c>
      <c r="F331" s="7" t="str">
        <f>IF($A331&lt;&gt;"",MAXIFS(Token!$C:$C,Token!$A:$A,$D331),)</f>
        <v/>
      </c>
    </row>
    <row r="332">
      <c r="A332" s="39" t="str">
        <f>IF(AND($L332*1&gt;=$G$3,$L332*1&lt;=$G$4,$I332*$J332&gt;0,OR($I332&lt;&gt;$I333,$L332-$L333&gt;25),IF(ABS($I332)&gt;10,$I332/POW(10,$J332),$J332/POW(10,$I332))*MAXIFS(Token!$C:$C,Token!$A:$A,$K332)&gt;0.01),$L332/86400+DATE(1970,1,1)+$G$6,)</f>
        <v/>
      </c>
      <c r="B332" s="27" t="str">
        <f t="shared" si="1"/>
        <v/>
      </c>
      <c r="C332" s="14" t="str">
        <f>IF($A332&lt;&gt;"",MINIFS(Merchant!$A:$A,Merchant!$B:$B,$G$2),)</f>
        <v/>
      </c>
      <c r="D332" s="14" t="str">
        <f t="shared" si="2"/>
        <v/>
      </c>
      <c r="E332" s="14" t="str">
        <f t="shared" si="3"/>
        <v/>
      </c>
      <c r="F332" s="7" t="str">
        <f>IF($A332&lt;&gt;"",MAXIFS(Token!$C:$C,Token!$A:$A,$D332),)</f>
        <v/>
      </c>
    </row>
    <row r="333">
      <c r="A333" s="39" t="str">
        <f>IF(AND($L333*1&gt;=$G$3,$L333*1&lt;=$G$4,$I333*$J333&gt;0,OR($I333&lt;&gt;$I334,$L333-$L334&gt;25),IF(ABS($I333)&gt;10,$I333/POW(10,$J333),$J333/POW(10,$I333))*MAXIFS(Token!$C:$C,Token!$A:$A,$K333)&gt;0.01),$L333/86400+DATE(1970,1,1)+$G$6,)</f>
        <v/>
      </c>
      <c r="B333" s="27" t="str">
        <f t="shared" si="1"/>
        <v/>
      </c>
      <c r="C333" s="14" t="str">
        <f>IF($A333&lt;&gt;"",MINIFS(Merchant!$A:$A,Merchant!$B:$B,$G$2),)</f>
        <v/>
      </c>
      <c r="D333" s="14" t="str">
        <f t="shared" si="2"/>
        <v/>
      </c>
      <c r="E333" s="14" t="str">
        <f t="shared" si="3"/>
        <v/>
      </c>
      <c r="F333" s="7" t="str">
        <f>IF($A333&lt;&gt;"",MAXIFS(Token!$C:$C,Token!$A:$A,$D333),)</f>
        <v/>
      </c>
    </row>
    <row r="334">
      <c r="A334" s="39" t="str">
        <f>IF(AND($L334*1&gt;=$G$3,$L334*1&lt;=$G$4,$I334*$J334&gt;0,OR($I334&lt;&gt;$I335,$L334-$L335&gt;25),IF(ABS($I334)&gt;10,$I334/POW(10,$J334),$J334/POW(10,$I334))*MAXIFS(Token!$C:$C,Token!$A:$A,$K334)&gt;0.01),$L334/86400+DATE(1970,1,1)+$G$6,)</f>
        <v/>
      </c>
      <c r="B334" s="27" t="str">
        <f t="shared" si="1"/>
        <v/>
      </c>
      <c r="C334" s="14" t="str">
        <f>IF($A334&lt;&gt;"",MINIFS(Merchant!$A:$A,Merchant!$B:$B,$G$2),)</f>
        <v/>
      </c>
      <c r="D334" s="14" t="str">
        <f t="shared" si="2"/>
        <v/>
      </c>
      <c r="E334" s="14" t="str">
        <f t="shared" si="3"/>
        <v/>
      </c>
      <c r="F334" s="7" t="str">
        <f>IF($A334&lt;&gt;"",MAXIFS(Token!$C:$C,Token!$A:$A,$D334),)</f>
        <v/>
      </c>
    </row>
    <row r="335">
      <c r="A335" s="39" t="str">
        <f>IF(AND($L335*1&gt;=$G$3,$L335*1&lt;=$G$4,$I335*$J335&gt;0,OR($I335&lt;&gt;$I336,$L335-$L336&gt;25),IF(ABS($I335)&gt;10,$I335/POW(10,$J335),$J335/POW(10,$I335))*MAXIFS(Token!$C:$C,Token!$A:$A,$K335)&gt;0.01),$L335/86400+DATE(1970,1,1)+$G$6,)</f>
        <v/>
      </c>
      <c r="B335" s="27" t="str">
        <f t="shared" si="1"/>
        <v/>
      </c>
      <c r="C335" s="14" t="str">
        <f>IF($A335&lt;&gt;"",MINIFS(Merchant!$A:$A,Merchant!$B:$B,$G$2),)</f>
        <v/>
      </c>
      <c r="D335" s="14" t="str">
        <f t="shared" si="2"/>
        <v/>
      </c>
      <c r="E335" s="14" t="str">
        <f t="shared" si="3"/>
        <v/>
      </c>
      <c r="F335" s="7" t="str">
        <f>IF($A335&lt;&gt;"",MAXIFS(Token!$C:$C,Token!$A:$A,$D335),)</f>
        <v/>
      </c>
    </row>
    <row r="336">
      <c r="A336" s="39" t="str">
        <f>IF(AND($L336*1&gt;=$G$3,$L336*1&lt;=$G$4,$I336*$J336&gt;0,OR($I336&lt;&gt;$I337,$L336-$L337&gt;25),IF(ABS($I336)&gt;10,$I336/POW(10,$J336),$J336/POW(10,$I336))*MAXIFS(Token!$C:$C,Token!$A:$A,$K336)&gt;0.01),$L336/86400+DATE(1970,1,1)+$G$6,)</f>
        <v/>
      </c>
      <c r="B336" s="27" t="str">
        <f t="shared" si="1"/>
        <v/>
      </c>
      <c r="C336" s="14" t="str">
        <f>IF($A336&lt;&gt;"",MINIFS(Merchant!$A:$A,Merchant!$B:$B,$G$2),)</f>
        <v/>
      </c>
      <c r="D336" s="14" t="str">
        <f t="shared" si="2"/>
        <v/>
      </c>
      <c r="E336" s="14" t="str">
        <f t="shared" si="3"/>
        <v/>
      </c>
      <c r="F336" s="7" t="str">
        <f>IF($A336&lt;&gt;"",MAXIFS(Token!$C:$C,Token!$A:$A,$D336),)</f>
        <v/>
      </c>
    </row>
    <row r="337">
      <c r="A337" s="39" t="str">
        <f>IF(AND($L337*1&gt;=$G$3,$L337*1&lt;=$G$4,$I337*$J337&gt;0,OR($I337&lt;&gt;$I338,$L337-$L338&gt;25),IF(ABS($I337)&gt;10,$I337/POW(10,$J337),$J337/POW(10,$I337))*MAXIFS(Token!$C:$C,Token!$A:$A,$K337)&gt;0.01),$L337/86400+DATE(1970,1,1)+$G$6,)</f>
        <v/>
      </c>
      <c r="B337" s="27" t="str">
        <f t="shared" si="1"/>
        <v/>
      </c>
      <c r="C337" s="14" t="str">
        <f>IF($A337&lt;&gt;"",MINIFS(Merchant!$A:$A,Merchant!$B:$B,$G$2),)</f>
        <v/>
      </c>
      <c r="D337" s="14" t="str">
        <f t="shared" si="2"/>
        <v/>
      </c>
      <c r="E337" s="14" t="str">
        <f t="shared" si="3"/>
        <v/>
      </c>
      <c r="F337" s="7" t="str">
        <f>IF($A337&lt;&gt;"",MAXIFS(Token!$C:$C,Token!$A:$A,$D337),)</f>
        <v/>
      </c>
    </row>
    <row r="338">
      <c r="A338" s="39" t="str">
        <f>IF(AND($L338*1&gt;=$G$3,$L338*1&lt;=$G$4,$I338*$J338&gt;0,OR($I338&lt;&gt;$I339,$L338-$L339&gt;25),IF(ABS($I338)&gt;10,$I338/POW(10,$J338),$J338/POW(10,$I338))*MAXIFS(Token!$C:$C,Token!$A:$A,$K338)&gt;0.01),$L338/86400+DATE(1970,1,1)+$G$6,)</f>
        <v/>
      </c>
      <c r="B338" s="27" t="str">
        <f t="shared" si="1"/>
        <v/>
      </c>
      <c r="C338" s="14" t="str">
        <f>IF($A338&lt;&gt;"",MINIFS(Merchant!$A:$A,Merchant!$B:$B,$G$2),)</f>
        <v/>
      </c>
      <c r="D338" s="14" t="str">
        <f t="shared" si="2"/>
        <v/>
      </c>
      <c r="E338" s="14" t="str">
        <f t="shared" si="3"/>
        <v/>
      </c>
      <c r="F338" s="7" t="str">
        <f>IF($A338&lt;&gt;"",MAXIFS(Token!$C:$C,Token!$A:$A,$D338),)</f>
        <v/>
      </c>
    </row>
    <row r="339">
      <c r="A339" s="39" t="str">
        <f>IF(AND($L339*1&gt;=$G$3,$L339*1&lt;=$G$4,$I339*$J339&gt;0,OR($I339&lt;&gt;$I340,$L339-$L340&gt;25),IF(ABS($I339)&gt;10,$I339/POW(10,$J339),$J339/POW(10,$I339))*MAXIFS(Token!$C:$C,Token!$A:$A,$K339)&gt;0.01),$L339/86400+DATE(1970,1,1)+$G$6,)</f>
        <v/>
      </c>
      <c r="B339" s="27" t="str">
        <f t="shared" si="1"/>
        <v/>
      </c>
      <c r="C339" s="14" t="str">
        <f>IF($A339&lt;&gt;"",MINIFS(Merchant!$A:$A,Merchant!$B:$B,$G$2),)</f>
        <v/>
      </c>
      <c r="D339" s="14" t="str">
        <f t="shared" si="2"/>
        <v/>
      </c>
      <c r="E339" s="14" t="str">
        <f t="shared" si="3"/>
        <v/>
      </c>
      <c r="F339" s="7" t="str">
        <f>IF($A339&lt;&gt;"",MAXIFS(Token!$C:$C,Token!$A:$A,$D339),)</f>
        <v/>
      </c>
    </row>
    <row r="340">
      <c r="A340" s="39" t="str">
        <f>IF(AND($L340*1&gt;=$G$3,$L340*1&lt;=$G$4,$I340*$J340&gt;0,OR($I340&lt;&gt;$I341,$L340-$L341&gt;25),IF(ABS($I340)&gt;10,$I340/POW(10,$J340),$J340/POW(10,$I340))*MAXIFS(Token!$C:$C,Token!$A:$A,$K340)&gt;0.01),$L340/86400+DATE(1970,1,1)+$G$6,)</f>
        <v/>
      </c>
      <c r="B340" s="27" t="str">
        <f t="shared" si="1"/>
        <v/>
      </c>
      <c r="C340" s="14" t="str">
        <f>IF($A340&lt;&gt;"",MINIFS(Merchant!$A:$A,Merchant!$B:$B,$G$2),)</f>
        <v/>
      </c>
      <c r="D340" s="14" t="str">
        <f t="shared" si="2"/>
        <v/>
      </c>
      <c r="E340" s="14" t="str">
        <f t="shared" si="3"/>
        <v/>
      </c>
      <c r="F340" s="7" t="str">
        <f>IF($A340&lt;&gt;"",MAXIFS(Token!$C:$C,Token!$A:$A,$D340),)</f>
        <v/>
      </c>
    </row>
    <row r="341">
      <c r="A341" s="39" t="str">
        <f>IF(AND($L341*1&gt;=$G$3,$L341*1&lt;=$G$4,$I341*$J341&gt;0,OR($I341&lt;&gt;$I342,$L341-$L342&gt;25),IF(ABS($I341)&gt;10,$I341/POW(10,$J341),$J341/POW(10,$I341))*MAXIFS(Token!$C:$C,Token!$A:$A,$K341)&gt;0.01),$L341/86400+DATE(1970,1,1)+$G$6,)</f>
        <v/>
      </c>
      <c r="B341" s="27" t="str">
        <f t="shared" si="1"/>
        <v/>
      </c>
      <c r="C341" s="14" t="str">
        <f>IF($A341&lt;&gt;"",MINIFS(Merchant!$A:$A,Merchant!$B:$B,$G$2),)</f>
        <v/>
      </c>
      <c r="D341" s="14" t="str">
        <f t="shared" si="2"/>
        <v/>
      </c>
      <c r="E341" s="14" t="str">
        <f t="shared" si="3"/>
        <v/>
      </c>
      <c r="F341" s="7" t="str">
        <f>IF($A341&lt;&gt;"",MAXIFS(Token!$C:$C,Token!$A:$A,$D341),)</f>
        <v/>
      </c>
    </row>
    <row r="342">
      <c r="A342" s="39" t="str">
        <f>IF(AND($L342*1&gt;=$G$3,$L342*1&lt;=$G$4,$I342*$J342&gt;0,OR($I342&lt;&gt;$I343,$L342-$L343&gt;25),IF(ABS($I342)&gt;10,$I342/POW(10,$J342),$J342/POW(10,$I342))*MAXIFS(Token!$C:$C,Token!$A:$A,$K342)&gt;0.01),$L342/86400+DATE(1970,1,1)+$G$6,)</f>
        <v/>
      </c>
      <c r="B342" s="27" t="str">
        <f t="shared" si="1"/>
        <v/>
      </c>
      <c r="C342" s="14" t="str">
        <f>IF($A342&lt;&gt;"",MINIFS(Merchant!$A:$A,Merchant!$B:$B,$G$2),)</f>
        <v/>
      </c>
      <c r="D342" s="14" t="str">
        <f t="shared" si="2"/>
        <v/>
      </c>
      <c r="E342" s="14" t="str">
        <f t="shared" si="3"/>
        <v/>
      </c>
      <c r="F342" s="7" t="str">
        <f>IF($A342&lt;&gt;"",MAXIFS(Token!$C:$C,Token!$A:$A,$D342),)</f>
        <v/>
      </c>
    </row>
    <row r="343">
      <c r="A343" s="39" t="str">
        <f>IF(AND($L343*1&gt;=$G$3,$L343*1&lt;=$G$4,$I343*$J343&gt;0,OR($I343&lt;&gt;$I344,$L343-$L344&gt;25),IF(ABS($I343)&gt;10,$I343/POW(10,$J343),$J343/POW(10,$I343))*MAXIFS(Token!$C:$C,Token!$A:$A,$K343)&gt;0.01),$L343/86400+DATE(1970,1,1)+$G$6,)</f>
        <v/>
      </c>
      <c r="B343" s="27" t="str">
        <f t="shared" si="1"/>
        <v/>
      </c>
      <c r="C343" s="14" t="str">
        <f>IF($A343&lt;&gt;"",MINIFS(Merchant!$A:$A,Merchant!$B:$B,$G$2),)</f>
        <v/>
      </c>
      <c r="D343" s="14" t="str">
        <f t="shared" si="2"/>
        <v/>
      </c>
      <c r="E343" s="14" t="str">
        <f t="shared" si="3"/>
        <v/>
      </c>
      <c r="F343" s="7" t="str">
        <f>IF($A343&lt;&gt;"",MAXIFS(Token!$C:$C,Token!$A:$A,$D343),)</f>
        <v/>
      </c>
    </row>
    <row r="344">
      <c r="A344" s="39" t="str">
        <f>IF(AND($L344*1&gt;=$G$3,$L344*1&lt;=$G$4,$I344*$J344&gt;0,OR($I344&lt;&gt;$I345,$L344-$L345&gt;25),IF(ABS($I344)&gt;10,$I344/POW(10,$J344),$J344/POW(10,$I344))*MAXIFS(Token!$C:$C,Token!$A:$A,$K344)&gt;0.01),$L344/86400+DATE(1970,1,1)+$G$6,)</f>
        <v/>
      </c>
      <c r="B344" s="27" t="str">
        <f t="shared" si="1"/>
        <v/>
      </c>
      <c r="C344" s="14" t="str">
        <f>IF($A344&lt;&gt;"",MINIFS(Merchant!$A:$A,Merchant!$B:$B,$G$2),)</f>
        <v/>
      </c>
      <c r="D344" s="14" t="str">
        <f t="shared" si="2"/>
        <v/>
      </c>
      <c r="E344" s="14" t="str">
        <f t="shared" si="3"/>
        <v/>
      </c>
      <c r="F344" s="7" t="str">
        <f>IF($A344&lt;&gt;"",MAXIFS(Token!$C:$C,Token!$A:$A,$D344),)</f>
        <v/>
      </c>
    </row>
    <row r="345">
      <c r="A345" s="39" t="str">
        <f>IF(AND($L345*1&gt;=$G$3,$L345*1&lt;=$G$4,$I345*$J345&gt;0,OR($I345&lt;&gt;$I346,$L345-$L346&gt;25),IF(ABS($I345)&gt;10,$I345/POW(10,$J345),$J345/POW(10,$I345))*MAXIFS(Token!$C:$C,Token!$A:$A,$K345)&gt;0.01),$L345/86400+DATE(1970,1,1)+$G$6,)</f>
        <v/>
      </c>
      <c r="B345" s="27" t="str">
        <f t="shared" si="1"/>
        <v/>
      </c>
      <c r="C345" s="14" t="str">
        <f>IF($A345&lt;&gt;"",MINIFS(Merchant!$A:$A,Merchant!$B:$B,$G$2),)</f>
        <v/>
      </c>
      <c r="D345" s="14" t="str">
        <f t="shared" si="2"/>
        <v/>
      </c>
      <c r="E345" s="14" t="str">
        <f t="shared" si="3"/>
        <v/>
      </c>
      <c r="F345" s="7" t="str">
        <f>IF($A345&lt;&gt;"",MAXIFS(Token!$C:$C,Token!$A:$A,$D345),)</f>
        <v/>
      </c>
    </row>
    <row r="346">
      <c r="A346" s="39" t="str">
        <f>IF(AND($L346*1&gt;=$G$3,$L346*1&lt;=$G$4,$I346*$J346&gt;0,OR($I346&lt;&gt;$I347,$L346-$L347&gt;25),IF(ABS($I346)&gt;10,$I346/POW(10,$J346),$J346/POW(10,$I346))*MAXIFS(Token!$C:$C,Token!$A:$A,$K346)&gt;0.01),$L346/86400+DATE(1970,1,1)+$G$6,)</f>
        <v/>
      </c>
      <c r="B346" s="27" t="str">
        <f t="shared" si="1"/>
        <v/>
      </c>
      <c r="C346" s="14" t="str">
        <f>IF($A346&lt;&gt;"",MINIFS(Merchant!$A:$A,Merchant!$B:$B,$G$2),)</f>
        <v/>
      </c>
      <c r="D346" s="14" t="str">
        <f t="shared" si="2"/>
        <v/>
      </c>
      <c r="E346" s="14" t="str">
        <f t="shared" si="3"/>
        <v/>
      </c>
      <c r="F346" s="7" t="str">
        <f>IF($A346&lt;&gt;"",MAXIFS(Token!$C:$C,Token!$A:$A,$D346),)</f>
        <v/>
      </c>
    </row>
    <row r="347">
      <c r="A347" s="39" t="str">
        <f>IF(AND($L347*1&gt;=$G$3,$L347*1&lt;=$G$4,$I347*$J347&gt;0,OR($I347&lt;&gt;$I348,$L347-$L348&gt;25),IF(ABS($I347)&gt;10,$I347/POW(10,$J347),$J347/POW(10,$I347))*MAXIFS(Token!$C:$C,Token!$A:$A,$K347)&gt;0.01),$L347/86400+DATE(1970,1,1)+$G$6,)</f>
        <v/>
      </c>
      <c r="B347" s="27" t="str">
        <f t="shared" si="1"/>
        <v/>
      </c>
      <c r="C347" s="14" t="str">
        <f>IF($A347&lt;&gt;"",MINIFS(Merchant!$A:$A,Merchant!$B:$B,$G$2),)</f>
        <v/>
      </c>
      <c r="D347" s="14" t="str">
        <f t="shared" si="2"/>
        <v/>
      </c>
      <c r="E347" s="14" t="str">
        <f t="shared" si="3"/>
        <v/>
      </c>
      <c r="F347" s="7" t="str">
        <f>IF($A347&lt;&gt;"",MAXIFS(Token!$C:$C,Token!$A:$A,$D347),)</f>
        <v/>
      </c>
    </row>
    <row r="348">
      <c r="A348" s="39" t="str">
        <f>IF(AND($L348*1&gt;=$G$3,$L348*1&lt;=$G$4,$I348*$J348&gt;0,OR($I348&lt;&gt;$I349,$L348-$L349&gt;25),IF(ABS($I348)&gt;10,$I348/POW(10,$J348),$J348/POW(10,$I348))*MAXIFS(Token!$C:$C,Token!$A:$A,$K348)&gt;0.01),$L348/86400+DATE(1970,1,1)+$G$6,)</f>
        <v/>
      </c>
      <c r="B348" s="27" t="str">
        <f t="shared" si="1"/>
        <v/>
      </c>
      <c r="C348" s="14" t="str">
        <f>IF($A348&lt;&gt;"",MINIFS(Merchant!$A:$A,Merchant!$B:$B,$G$2),)</f>
        <v/>
      </c>
      <c r="D348" s="14" t="str">
        <f t="shared" si="2"/>
        <v/>
      </c>
      <c r="E348" s="14" t="str">
        <f t="shared" si="3"/>
        <v/>
      </c>
      <c r="F348" s="7" t="str">
        <f>IF($A348&lt;&gt;"",MAXIFS(Token!$C:$C,Token!$A:$A,$D348),)</f>
        <v/>
      </c>
    </row>
    <row r="349">
      <c r="A349" s="39" t="str">
        <f>IF(AND($L349*1&gt;=$G$3,$L349*1&lt;=$G$4,$I349*$J349&gt;0,OR($I349&lt;&gt;$I350,$L349-$L350&gt;25),IF(ABS($I349)&gt;10,$I349/POW(10,$J349),$J349/POW(10,$I349))*MAXIFS(Token!$C:$C,Token!$A:$A,$K349)&gt;0.01),$L349/86400+DATE(1970,1,1)+$G$6,)</f>
        <v/>
      </c>
      <c r="B349" s="27" t="str">
        <f t="shared" si="1"/>
        <v/>
      </c>
      <c r="C349" s="14" t="str">
        <f>IF($A349&lt;&gt;"",MINIFS(Merchant!$A:$A,Merchant!$B:$B,$G$2),)</f>
        <v/>
      </c>
      <c r="D349" s="14" t="str">
        <f t="shared" si="2"/>
        <v/>
      </c>
      <c r="E349" s="14" t="str">
        <f t="shared" si="3"/>
        <v/>
      </c>
      <c r="F349" s="7" t="str">
        <f>IF($A349&lt;&gt;"",MAXIFS(Token!$C:$C,Token!$A:$A,$D349),)</f>
        <v/>
      </c>
    </row>
    <row r="350">
      <c r="A350" s="39" t="str">
        <f>IF(AND($L350*1&gt;=$G$3,$L350*1&lt;=$G$4,$I350*$J350&gt;0,OR($I350&lt;&gt;$I351,$L350-$L351&gt;25),IF(ABS($I350)&gt;10,$I350/POW(10,$J350),$J350/POW(10,$I350))*MAXIFS(Token!$C:$C,Token!$A:$A,$K350)&gt;0.01),$L350/86400+DATE(1970,1,1)+$G$6,)</f>
        <v/>
      </c>
      <c r="B350" s="27" t="str">
        <f t="shared" si="1"/>
        <v/>
      </c>
      <c r="C350" s="14" t="str">
        <f>IF($A350&lt;&gt;"",MINIFS(Merchant!$A:$A,Merchant!$B:$B,$G$2),)</f>
        <v/>
      </c>
      <c r="D350" s="14" t="str">
        <f t="shared" si="2"/>
        <v/>
      </c>
      <c r="E350" s="14" t="str">
        <f t="shared" si="3"/>
        <v/>
      </c>
      <c r="F350" s="7" t="str">
        <f>IF($A350&lt;&gt;"",MAXIFS(Token!$C:$C,Token!$A:$A,$D350),)</f>
        <v/>
      </c>
    </row>
    <row r="351">
      <c r="A351" s="39" t="str">
        <f>IF(AND($L351*1&gt;=$G$3,$L351*1&lt;=$G$4,$I351*$J351&gt;0,OR($I351&lt;&gt;$I352,$L351-$L352&gt;25),IF(ABS($I351)&gt;10,$I351/POW(10,$J351),$J351/POW(10,$I351))*MAXIFS(Token!$C:$C,Token!$A:$A,$K351)&gt;0.01),$L351/86400+DATE(1970,1,1)+$G$6,)</f>
        <v/>
      </c>
      <c r="B351" s="27" t="str">
        <f t="shared" si="1"/>
        <v/>
      </c>
      <c r="C351" s="14" t="str">
        <f>IF($A351&lt;&gt;"",MINIFS(Merchant!$A:$A,Merchant!$B:$B,$G$2),)</f>
        <v/>
      </c>
      <c r="D351" s="14" t="str">
        <f t="shared" si="2"/>
        <v/>
      </c>
      <c r="E351" s="14" t="str">
        <f t="shared" si="3"/>
        <v/>
      </c>
      <c r="F351" s="7" t="str">
        <f>IF($A351&lt;&gt;"",MAXIFS(Token!$C:$C,Token!$A:$A,$D351),)</f>
        <v/>
      </c>
    </row>
    <row r="352">
      <c r="A352" s="39" t="str">
        <f>IF(AND($L352*1&gt;=$G$3,$L352*1&lt;=$G$4,$I352*$J352&gt;0,OR($I352&lt;&gt;$I353,$L352-$L353&gt;25),IF(ABS($I352)&gt;10,$I352/POW(10,$J352),$J352/POW(10,$I352))*MAXIFS(Token!$C:$C,Token!$A:$A,$K352)&gt;0.01),$L352/86400+DATE(1970,1,1)+$G$6,)</f>
        <v/>
      </c>
      <c r="B352" s="27" t="str">
        <f t="shared" si="1"/>
        <v/>
      </c>
      <c r="C352" s="14" t="str">
        <f>IF($A352&lt;&gt;"",MINIFS(Merchant!$A:$A,Merchant!$B:$B,$G$2),)</f>
        <v/>
      </c>
      <c r="D352" s="14" t="str">
        <f t="shared" si="2"/>
        <v/>
      </c>
      <c r="E352" s="14" t="str">
        <f t="shared" si="3"/>
        <v/>
      </c>
      <c r="F352" s="7" t="str">
        <f>IF($A352&lt;&gt;"",MAXIFS(Token!$C:$C,Token!$A:$A,$D352),)</f>
        <v/>
      </c>
    </row>
    <row r="353">
      <c r="A353" s="39" t="str">
        <f>IF(AND($L353*1&gt;=$G$3,$L353*1&lt;=$G$4,$I353*$J353&gt;0,OR($I353&lt;&gt;$I354,$L353-$L354&gt;25),IF(ABS($I353)&gt;10,$I353/POW(10,$J353),$J353/POW(10,$I353))*MAXIFS(Token!$C:$C,Token!$A:$A,$K353)&gt;0.01),$L353/86400+DATE(1970,1,1)+$G$6,)</f>
        <v/>
      </c>
      <c r="B353" s="27" t="str">
        <f t="shared" si="1"/>
        <v/>
      </c>
      <c r="C353" s="14" t="str">
        <f>IF($A353&lt;&gt;"",MINIFS(Merchant!$A:$A,Merchant!$B:$B,$G$2),)</f>
        <v/>
      </c>
      <c r="D353" s="14" t="str">
        <f t="shared" si="2"/>
        <v/>
      </c>
      <c r="E353" s="14" t="str">
        <f t="shared" si="3"/>
        <v/>
      </c>
      <c r="F353" s="7" t="str">
        <f>IF($A353&lt;&gt;"",MAXIFS(Token!$C:$C,Token!$A:$A,$D353),)</f>
        <v/>
      </c>
    </row>
    <row r="354">
      <c r="A354" s="39" t="str">
        <f>IF(AND($L354*1&gt;=$G$3,$L354*1&lt;=$G$4,$I354*$J354&gt;0,OR($I354&lt;&gt;$I355,$L354-$L355&gt;25),IF(ABS($I354)&gt;10,$I354/POW(10,$J354),$J354/POW(10,$I354))*MAXIFS(Token!$C:$C,Token!$A:$A,$K354)&gt;0.01),$L354/86400+DATE(1970,1,1)+$G$6,)</f>
        <v/>
      </c>
      <c r="B354" s="27" t="str">
        <f t="shared" si="1"/>
        <v/>
      </c>
      <c r="C354" s="14" t="str">
        <f>IF($A354&lt;&gt;"",MINIFS(Merchant!$A:$A,Merchant!$B:$B,$G$2),)</f>
        <v/>
      </c>
      <c r="D354" s="14" t="str">
        <f t="shared" si="2"/>
        <v/>
      </c>
      <c r="E354" s="14" t="str">
        <f t="shared" si="3"/>
        <v/>
      </c>
      <c r="F354" s="7" t="str">
        <f>IF($A354&lt;&gt;"",MAXIFS(Token!$C:$C,Token!$A:$A,$D354),)</f>
        <v/>
      </c>
    </row>
    <row r="355">
      <c r="A355" s="39" t="str">
        <f>IF(AND($L355*1&gt;=$G$3,$L355*1&lt;=$G$4,$I355*$J355&gt;0,OR($I355&lt;&gt;$I356,$L355-$L356&gt;25),IF(ABS($I355)&gt;10,$I355/POW(10,$J355),$J355/POW(10,$I355))*MAXIFS(Token!$C:$C,Token!$A:$A,$K355)&gt;0.01),$L355/86400+DATE(1970,1,1)+$G$6,)</f>
        <v/>
      </c>
      <c r="B355" s="27" t="str">
        <f t="shared" si="1"/>
        <v/>
      </c>
      <c r="C355" s="14" t="str">
        <f>IF($A355&lt;&gt;"",MINIFS(Merchant!$A:$A,Merchant!$B:$B,$G$2),)</f>
        <v/>
      </c>
      <c r="D355" s="14" t="str">
        <f t="shared" si="2"/>
        <v/>
      </c>
      <c r="E355" s="14" t="str">
        <f t="shared" si="3"/>
        <v/>
      </c>
      <c r="F355" s="7" t="str">
        <f>IF($A355&lt;&gt;"",MAXIFS(Token!$C:$C,Token!$A:$A,$D355),)</f>
        <v/>
      </c>
    </row>
    <row r="356">
      <c r="A356" s="39" t="str">
        <f>IF(AND($L356*1&gt;=$G$3,$L356*1&lt;=$G$4,$I356*$J356&gt;0,OR($I356&lt;&gt;$I357,$L356-$L357&gt;25),IF(ABS($I356)&gt;10,$I356/POW(10,$J356),$J356/POW(10,$I356))*MAXIFS(Token!$C:$C,Token!$A:$A,$K356)&gt;0.01),$L356/86400+DATE(1970,1,1)+$G$6,)</f>
        <v/>
      </c>
      <c r="B356" s="27" t="str">
        <f t="shared" si="1"/>
        <v/>
      </c>
      <c r="C356" s="14" t="str">
        <f>IF($A356&lt;&gt;"",MINIFS(Merchant!$A:$A,Merchant!$B:$B,$G$2),)</f>
        <v/>
      </c>
      <c r="D356" s="14" t="str">
        <f t="shared" si="2"/>
        <v/>
      </c>
      <c r="E356" s="14" t="str">
        <f t="shared" si="3"/>
        <v/>
      </c>
      <c r="F356" s="7" t="str">
        <f>IF($A356&lt;&gt;"",MAXIFS(Token!$C:$C,Token!$A:$A,$D356),)</f>
        <v/>
      </c>
    </row>
    <row r="357">
      <c r="A357" s="39" t="str">
        <f>IF(AND($L357*1&gt;=$G$3,$L357*1&lt;=$G$4,$I357*$J357&gt;0,OR($I357&lt;&gt;$I358,$L357-$L358&gt;25),IF(ABS($I357)&gt;10,$I357/POW(10,$J357),$J357/POW(10,$I357))*MAXIFS(Token!$C:$C,Token!$A:$A,$K357)&gt;0.01),$L357/86400+DATE(1970,1,1)+$G$6,)</f>
        <v/>
      </c>
      <c r="B357" s="27" t="str">
        <f t="shared" si="1"/>
        <v/>
      </c>
      <c r="C357" s="14" t="str">
        <f>IF($A357&lt;&gt;"",MINIFS(Merchant!$A:$A,Merchant!$B:$B,$G$2),)</f>
        <v/>
      </c>
      <c r="D357" s="14" t="str">
        <f t="shared" si="2"/>
        <v/>
      </c>
      <c r="E357" s="14" t="str">
        <f t="shared" si="3"/>
        <v/>
      </c>
      <c r="F357" s="7" t="str">
        <f>IF($A357&lt;&gt;"",MAXIFS(Token!$C:$C,Token!$A:$A,$D357),)</f>
        <v/>
      </c>
    </row>
    <row r="358">
      <c r="A358" s="39" t="str">
        <f>IF(AND($L358*1&gt;=$G$3,$L358*1&lt;=$G$4,$I358*$J358&gt;0,OR($I358&lt;&gt;$I359,$L358-$L359&gt;25),IF(ABS($I358)&gt;10,$I358/POW(10,$J358),$J358/POW(10,$I358))*MAXIFS(Token!$C:$C,Token!$A:$A,$K358)&gt;0.01),$L358/86400+DATE(1970,1,1)+$G$6,)</f>
        <v/>
      </c>
      <c r="B358" s="27" t="str">
        <f t="shared" si="1"/>
        <v/>
      </c>
      <c r="C358" s="14" t="str">
        <f>IF($A358&lt;&gt;"",MINIFS(Merchant!$A:$A,Merchant!$B:$B,$G$2),)</f>
        <v/>
      </c>
      <c r="D358" s="14" t="str">
        <f t="shared" si="2"/>
        <v/>
      </c>
      <c r="E358" s="14" t="str">
        <f t="shared" si="3"/>
        <v/>
      </c>
      <c r="F358" s="7" t="str">
        <f>IF($A358&lt;&gt;"",MAXIFS(Token!$C:$C,Token!$A:$A,$D358),)</f>
        <v/>
      </c>
    </row>
    <row r="359">
      <c r="A359" s="39" t="str">
        <f>IF(AND($L359*1&gt;=$G$3,$L359*1&lt;=$G$4,$I359*$J359&gt;0,OR($I359&lt;&gt;$I360,$L359-$L360&gt;25),IF(ABS($I359)&gt;10,$I359/POW(10,$J359),$J359/POW(10,$I359))*MAXIFS(Token!$C:$C,Token!$A:$A,$K359)&gt;0.01),$L359/86400+DATE(1970,1,1)+$G$6,)</f>
        <v/>
      </c>
      <c r="B359" s="27" t="str">
        <f t="shared" si="1"/>
        <v/>
      </c>
      <c r="C359" s="14" t="str">
        <f>IF($A359&lt;&gt;"",MINIFS(Merchant!$A:$A,Merchant!$B:$B,$G$2),)</f>
        <v/>
      </c>
      <c r="D359" s="14" t="str">
        <f t="shared" si="2"/>
        <v/>
      </c>
      <c r="E359" s="14" t="str">
        <f t="shared" si="3"/>
        <v/>
      </c>
      <c r="F359" s="7" t="str">
        <f>IF($A359&lt;&gt;"",MAXIFS(Token!$C:$C,Token!$A:$A,$D359),)</f>
        <v/>
      </c>
    </row>
    <row r="360">
      <c r="A360" s="39" t="str">
        <f>IF(AND($L360*1&gt;=$G$3,$L360*1&lt;=$G$4,$I360*$J360&gt;0,OR($I360&lt;&gt;$I361,$L360-$L361&gt;25),IF(ABS($I360)&gt;10,$I360/POW(10,$J360),$J360/POW(10,$I360))*MAXIFS(Token!$C:$C,Token!$A:$A,$K360)&gt;0.01),$L360/86400+DATE(1970,1,1)+$G$6,)</f>
        <v/>
      </c>
      <c r="B360" s="27" t="str">
        <f t="shared" si="1"/>
        <v/>
      </c>
      <c r="C360" s="14" t="str">
        <f>IF($A360&lt;&gt;"",MINIFS(Merchant!$A:$A,Merchant!$B:$B,$G$2),)</f>
        <v/>
      </c>
      <c r="D360" s="14" t="str">
        <f t="shared" si="2"/>
        <v/>
      </c>
      <c r="E360" s="14" t="str">
        <f t="shared" si="3"/>
        <v/>
      </c>
      <c r="F360" s="7" t="str">
        <f>IF($A360&lt;&gt;"",MAXIFS(Token!$C:$C,Token!$A:$A,$D360),)</f>
        <v/>
      </c>
    </row>
    <row r="361">
      <c r="A361" s="39" t="str">
        <f>IF(AND($L361*1&gt;=$G$3,$L361*1&lt;=$G$4,$I361*$J361&gt;0,OR($I361&lt;&gt;$I362,$L361-$L362&gt;25),IF(ABS($I361)&gt;10,$I361/POW(10,$J361),$J361/POW(10,$I361))*MAXIFS(Token!$C:$C,Token!$A:$A,$K361)&gt;0.01),$L361/86400+DATE(1970,1,1)+$G$6,)</f>
        <v/>
      </c>
      <c r="B361" s="27" t="str">
        <f t="shared" si="1"/>
        <v/>
      </c>
      <c r="C361" s="14" t="str">
        <f>IF($A361&lt;&gt;"",MINIFS(Merchant!$A:$A,Merchant!$B:$B,$G$2),)</f>
        <v/>
      </c>
      <c r="D361" s="14" t="str">
        <f t="shared" si="2"/>
        <v/>
      </c>
      <c r="E361" s="14" t="str">
        <f t="shared" si="3"/>
        <v/>
      </c>
      <c r="F361" s="7" t="str">
        <f>IF($A361&lt;&gt;"",MAXIFS(Token!$C:$C,Token!$A:$A,$D361),)</f>
        <v/>
      </c>
    </row>
    <row r="362">
      <c r="A362" s="39" t="str">
        <f>IF(AND($L362*1&gt;=$G$3,$L362*1&lt;=$G$4,$I362*$J362&gt;0,OR($I362&lt;&gt;$I363,$L362-$L363&gt;25),IF(ABS($I362)&gt;10,$I362/POW(10,$J362),$J362/POW(10,$I362))*MAXIFS(Token!$C:$C,Token!$A:$A,$K362)&gt;0.01),$L362/86400+DATE(1970,1,1)+$G$6,)</f>
        <v/>
      </c>
      <c r="B362" s="27" t="str">
        <f t="shared" si="1"/>
        <v/>
      </c>
      <c r="C362" s="14" t="str">
        <f>IF($A362&lt;&gt;"",MINIFS(Merchant!$A:$A,Merchant!$B:$B,$G$2),)</f>
        <v/>
      </c>
      <c r="D362" s="14" t="str">
        <f t="shared" si="2"/>
        <v/>
      </c>
      <c r="E362" s="14" t="str">
        <f t="shared" si="3"/>
        <v/>
      </c>
      <c r="F362" s="7" t="str">
        <f>IF($A362&lt;&gt;"",MAXIFS(Token!$C:$C,Token!$A:$A,$D362),)</f>
        <v/>
      </c>
    </row>
    <row r="363">
      <c r="A363" s="39" t="str">
        <f>IF(AND($L363*1&gt;=$G$3,$L363*1&lt;=$G$4,$I363*$J363&gt;0,OR($I363&lt;&gt;$I364,$L363-$L364&gt;25),IF(ABS($I363)&gt;10,$I363/POW(10,$J363),$J363/POW(10,$I363))*MAXIFS(Token!$C:$C,Token!$A:$A,$K363)&gt;0.01),$L363/86400+DATE(1970,1,1)+$G$6,)</f>
        <v/>
      </c>
      <c r="B363" s="27" t="str">
        <f t="shared" si="1"/>
        <v/>
      </c>
      <c r="C363" s="14" t="str">
        <f>IF($A363&lt;&gt;"",MINIFS(Merchant!$A:$A,Merchant!$B:$B,$G$2),)</f>
        <v/>
      </c>
      <c r="D363" s="14" t="str">
        <f t="shared" si="2"/>
        <v/>
      </c>
      <c r="E363" s="14" t="str">
        <f t="shared" si="3"/>
        <v/>
      </c>
      <c r="F363" s="7" t="str">
        <f>IF($A363&lt;&gt;"",MAXIFS(Token!$C:$C,Token!$A:$A,$D363),)</f>
        <v/>
      </c>
    </row>
    <row r="364">
      <c r="A364" s="39" t="str">
        <f>IF(AND($L364*1&gt;=$G$3,$L364*1&lt;=$G$4,$I364*$J364&gt;0,OR($I364&lt;&gt;$I365,$L364-$L365&gt;25),IF(ABS($I364)&gt;10,$I364/POW(10,$J364),$J364/POW(10,$I364))*MAXIFS(Token!$C:$C,Token!$A:$A,$K364)&gt;0.01),$L364/86400+DATE(1970,1,1)+$G$6,)</f>
        <v/>
      </c>
      <c r="B364" s="27" t="str">
        <f t="shared" si="1"/>
        <v/>
      </c>
      <c r="C364" s="14" t="str">
        <f>IF($A364&lt;&gt;"",MINIFS(Merchant!$A:$A,Merchant!$B:$B,$G$2),)</f>
        <v/>
      </c>
      <c r="D364" s="14" t="str">
        <f t="shared" si="2"/>
        <v/>
      </c>
      <c r="E364" s="14" t="str">
        <f t="shared" si="3"/>
        <v/>
      </c>
      <c r="F364" s="7" t="str">
        <f>IF($A364&lt;&gt;"",MAXIFS(Token!$C:$C,Token!$A:$A,$D364),)</f>
        <v/>
      </c>
    </row>
    <row r="365">
      <c r="A365" s="39" t="str">
        <f>IF(AND($L365*1&gt;=$G$3,$L365*1&lt;=$G$4,$I365*$J365&gt;0,OR($I365&lt;&gt;$I366,$L365-$L366&gt;25),IF(ABS($I365)&gt;10,$I365/POW(10,$J365),$J365/POW(10,$I365))*MAXIFS(Token!$C:$C,Token!$A:$A,$K365)&gt;0.01),$L365/86400+DATE(1970,1,1)+$G$6,)</f>
        <v/>
      </c>
      <c r="B365" s="27" t="str">
        <f t="shared" si="1"/>
        <v/>
      </c>
      <c r="C365" s="14" t="str">
        <f>IF($A365&lt;&gt;"",MINIFS(Merchant!$A:$A,Merchant!$B:$B,$G$2),)</f>
        <v/>
      </c>
      <c r="D365" s="14" t="str">
        <f t="shared" si="2"/>
        <v/>
      </c>
      <c r="E365" s="14" t="str">
        <f t="shared" si="3"/>
        <v/>
      </c>
      <c r="F365" s="7" t="str">
        <f>IF($A365&lt;&gt;"",MAXIFS(Token!$C:$C,Token!$A:$A,$D365),)</f>
        <v/>
      </c>
    </row>
    <row r="366">
      <c r="A366" s="39" t="str">
        <f>IF(AND($L366*1&gt;=$G$3,$L366*1&lt;=$G$4,$I366*$J366&gt;0,OR($I366&lt;&gt;$I367,$L366-$L367&gt;25),IF(ABS($I366)&gt;10,$I366/POW(10,$J366),$J366/POW(10,$I366))*MAXIFS(Token!$C:$C,Token!$A:$A,$K366)&gt;0.01),$L366/86400+DATE(1970,1,1)+$G$6,)</f>
        <v/>
      </c>
      <c r="B366" s="27" t="str">
        <f t="shared" si="1"/>
        <v/>
      </c>
      <c r="C366" s="14" t="str">
        <f>IF($A366&lt;&gt;"",MINIFS(Merchant!$A:$A,Merchant!$B:$B,$G$2),)</f>
        <v/>
      </c>
      <c r="D366" s="14" t="str">
        <f t="shared" si="2"/>
        <v/>
      </c>
      <c r="E366" s="14" t="str">
        <f t="shared" si="3"/>
        <v/>
      </c>
      <c r="F366" s="7" t="str">
        <f>IF($A366&lt;&gt;"",MAXIFS(Token!$C:$C,Token!$A:$A,$D366),)</f>
        <v/>
      </c>
    </row>
    <row r="367">
      <c r="A367" s="39" t="str">
        <f>IF(AND($L367*1&gt;=$G$3,$L367*1&lt;=$G$4,$I367*$J367&gt;0,OR($I367&lt;&gt;$I368,$L367-$L368&gt;25),IF(ABS($I367)&gt;10,$I367/POW(10,$J367),$J367/POW(10,$I367))*MAXIFS(Token!$C:$C,Token!$A:$A,$K367)&gt;0.01),$L367/86400+DATE(1970,1,1)+$G$6,)</f>
        <v/>
      </c>
      <c r="B367" s="27" t="str">
        <f t="shared" si="1"/>
        <v/>
      </c>
      <c r="C367" s="14" t="str">
        <f>IF($A367&lt;&gt;"",MINIFS(Merchant!$A:$A,Merchant!$B:$B,$G$2),)</f>
        <v/>
      </c>
      <c r="D367" s="14" t="str">
        <f t="shared" si="2"/>
        <v/>
      </c>
      <c r="E367" s="14" t="str">
        <f t="shared" si="3"/>
        <v/>
      </c>
      <c r="F367" s="7" t="str">
        <f>IF($A367&lt;&gt;"",MAXIFS(Token!$C:$C,Token!$A:$A,$D367),)</f>
        <v/>
      </c>
    </row>
    <row r="368">
      <c r="A368" s="39" t="str">
        <f>IF(AND($L368*1&gt;=$G$3,$L368*1&lt;=$G$4,$I368*$J368&gt;0,OR($I368&lt;&gt;$I369,$L368-$L369&gt;25),IF(ABS($I368)&gt;10,$I368/POW(10,$J368),$J368/POW(10,$I368))*MAXIFS(Token!$C:$C,Token!$A:$A,$K368)&gt;0.01),$L368/86400+DATE(1970,1,1)+$G$6,)</f>
        <v/>
      </c>
      <c r="B368" s="27" t="str">
        <f t="shared" si="1"/>
        <v/>
      </c>
      <c r="C368" s="14" t="str">
        <f>IF($A368&lt;&gt;"",MINIFS(Merchant!$A:$A,Merchant!$B:$B,$G$2),)</f>
        <v/>
      </c>
      <c r="D368" s="14" t="str">
        <f t="shared" si="2"/>
        <v/>
      </c>
      <c r="E368" s="14" t="str">
        <f t="shared" si="3"/>
        <v/>
      </c>
      <c r="F368" s="7" t="str">
        <f>IF($A368&lt;&gt;"",MAXIFS(Token!$C:$C,Token!$A:$A,$D368),)</f>
        <v/>
      </c>
    </row>
    <row r="369">
      <c r="A369" s="39" t="str">
        <f>IF(AND($L369*1&gt;=$G$3,$L369*1&lt;=$G$4,$I369*$J369&gt;0,OR($I369&lt;&gt;$I370,$L369-$L370&gt;25),IF(ABS($I369)&gt;10,$I369/POW(10,$J369),$J369/POW(10,$I369))*MAXIFS(Token!$C:$C,Token!$A:$A,$K369)&gt;0.01),$L369/86400+DATE(1970,1,1)+$G$6,)</f>
        <v/>
      </c>
      <c r="B369" s="27" t="str">
        <f t="shared" si="1"/>
        <v/>
      </c>
      <c r="C369" s="14" t="str">
        <f>IF($A369&lt;&gt;"",MINIFS(Merchant!$A:$A,Merchant!$B:$B,$G$2),)</f>
        <v/>
      </c>
      <c r="D369" s="14" t="str">
        <f t="shared" si="2"/>
        <v/>
      </c>
      <c r="E369" s="14" t="str">
        <f t="shared" si="3"/>
        <v/>
      </c>
      <c r="F369" s="7" t="str">
        <f>IF($A369&lt;&gt;"",MAXIFS(Token!$C:$C,Token!$A:$A,$D369),)</f>
        <v/>
      </c>
    </row>
    <row r="370">
      <c r="A370" s="39" t="str">
        <f>IF(AND($L370*1&gt;=$G$3,$L370*1&lt;=$G$4,$I370*$J370&gt;0,OR($I370&lt;&gt;$I371,$L370-$L371&gt;25),IF(ABS($I370)&gt;10,$I370/POW(10,$J370),$J370/POW(10,$I370))*MAXIFS(Token!$C:$C,Token!$A:$A,$K370)&gt;0.01),$L370/86400+DATE(1970,1,1)+$G$6,)</f>
        <v/>
      </c>
      <c r="B370" s="27" t="str">
        <f t="shared" si="1"/>
        <v/>
      </c>
      <c r="C370" s="14" t="str">
        <f>IF($A370&lt;&gt;"",MINIFS(Merchant!$A:$A,Merchant!$B:$B,$G$2),)</f>
        <v/>
      </c>
      <c r="D370" s="14" t="str">
        <f t="shared" si="2"/>
        <v/>
      </c>
      <c r="E370" s="14" t="str">
        <f t="shared" si="3"/>
        <v/>
      </c>
      <c r="F370" s="7" t="str">
        <f>IF($A370&lt;&gt;"",MAXIFS(Token!$C:$C,Token!$A:$A,$D370),)</f>
        <v/>
      </c>
    </row>
    <row r="371">
      <c r="A371" s="39" t="str">
        <f>IF(AND($L371*1&gt;=$G$3,$L371*1&lt;=$G$4,$I371*$J371&gt;0,OR($I371&lt;&gt;$I372,$L371-$L372&gt;25),IF(ABS($I371)&gt;10,$I371/POW(10,$J371),$J371/POW(10,$I371))*MAXIFS(Token!$C:$C,Token!$A:$A,$K371)&gt;0.01),$L371/86400+DATE(1970,1,1)+$G$6,)</f>
        <v/>
      </c>
      <c r="B371" s="27" t="str">
        <f t="shared" si="1"/>
        <v/>
      </c>
      <c r="C371" s="14" t="str">
        <f>IF($A371&lt;&gt;"",MINIFS(Merchant!$A:$A,Merchant!$B:$B,$G$2),)</f>
        <v/>
      </c>
      <c r="D371" s="14" t="str">
        <f t="shared" si="2"/>
        <v/>
      </c>
      <c r="E371" s="14" t="str">
        <f t="shared" si="3"/>
        <v/>
      </c>
      <c r="F371" s="7" t="str">
        <f>IF($A371&lt;&gt;"",MAXIFS(Token!$C:$C,Token!$A:$A,$D371),)</f>
        <v/>
      </c>
    </row>
    <row r="372">
      <c r="A372" s="39" t="str">
        <f>IF(AND($L372*1&gt;=$G$3,$L372*1&lt;=$G$4,$I372*$J372&gt;0,OR($I372&lt;&gt;$I373,$L372-$L373&gt;25),IF(ABS($I372)&gt;10,$I372/POW(10,$J372),$J372/POW(10,$I372))*MAXIFS(Token!$C:$C,Token!$A:$A,$K372)&gt;0.01),$L372/86400+DATE(1970,1,1)+$G$6,)</f>
        <v/>
      </c>
      <c r="B372" s="27" t="str">
        <f t="shared" si="1"/>
        <v/>
      </c>
      <c r="C372" s="14" t="str">
        <f>IF($A372&lt;&gt;"",MINIFS(Merchant!$A:$A,Merchant!$B:$B,$G$2),)</f>
        <v/>
      </c>
      <c r="D372" s="14" t="str">
        <f t="shared" si="2"/>
        <v/>
      </c>
      <c r="E372" s="14" t="str">
        <f t="shared" si="3"/>
        <v/>
      </c>
      <c r="F372" s="7" t="str">
        <f>IF($A372&lt;&gt;"",MAXIFS(Token!$C:$C,Token!$A:$A,$D372),)</f>
        <v/>
      </c>
    </row>
    <row r="373">
      <c r="A373" s="39" t="str">
        <f>IF(AND($L373*1&gt;=$G$3,$L373*1&lt;=$G$4,$I373*$J373&gt;0,OR($I373&lt;&gt;$I374,$L373-$L374&gt;25),IF(ABS($I373)&gt;10,$I373/POW(10,$J373),$J373/POW(10,$I373))*MAXIFS(Token!$C:$C,Token!$A:$A,$K373)&gt;0.01),$L373/86400+DATE(1970,1,1)+$G$6,)</f>
        <v/>
      </c>
      <c r="B373" s="27" t="str">
        <f t="shared" si="1"/>
        <v/>
      </c>
      <c r="C373" s="14" t="str">
        <f>IF($A373&lt;&gt;"",MINIFS(Merchant!$A:$A,Merchant!$B:$B,$G$2),)</f>
        <v/>
      </c>
      <c r="D373" s="14" t="str">
        <f t="shared" si="2"/>
        <v/>
      </c>
      <c r="E373" s="14" t="str">
        <f t="shared" si="3"/>
        <v/>
      </c>
      <c r="F373" s="7" t="str">
        <f>IF($A373&lt;&gt;"",MAXIFS(Token!$C:$C,Token!$A:$A,$D373),)</f>
        <v/>
      </c>
    </row>
    <row r="374">
      <c r="A374" s="39" t="str">
        <f>IF(AND($L374*1&gt;=$G$3,$L374*1&lt;=$G$4,$I374*$J374&gt;0,OR($I374&lt;&gt;$I375,$L374-$L375&gt;25),IF(ABS($I374)&gt;10,$I374/POW(10,$J374),$J374/POW(10,$I374))*MAXIFS(Token!$C:$C,Token!$A:$A,$K374)&gt;0.01),$L374/86400+DATE(1970,1,1)+$G$6,)</f>
        <v/>
      </c>
      <c r="B374" s="27" t="str">
        <f t="shared" si="1"/>
        <v/>
      </c>
      <c r="C374" s="14" t="str">
        <f>IF($A374&lt;&gt;"",MINIFS(Merchant!$A:$A,Merchant!$B:$B,$G$2),)</f>
        <v/>
      </c>
      <c r="D374" s="14" t="str">
        <f t="shared" si="2"/>
        <v/>
      </c>
      <c r="E374" s="14" t="str">
        <f t="shared" si="3"/>
        <v/>
      </c>
      <c r="F374" s="7" t="str">
        <f>IF($A374&lt;&gt;"",MAXIFS(Token!$C:$C,Token!$A:$A,$D374),)</f>
        <v/>
      </c>
    </row>
    <row r="375">
      <c r="A375" s="39" t="str">
        <f>IF(AND($L375*1&gt;=$G$3,$L375*1&lt;=$G$4,$I375*$J375&gt;0,OR($I375&lt;&gt;$I376,$L375-$L376&gt;25),IF(ABS($I375)&gt;10,$I375/POW(10,$J375),$J375/POW(10,$I375))*MAXIFS(Token!$C:$C,Token!$A:$A,$K375)&gt;0.01),$L375/86400+DATE(1970,1,1)+$G$6,)</f>
        <v/>
      </c>
      <c r="B375" s="27" t="str">
        <f t="shared" si="1"/>
        <v/>
      </c>
      <c r="C375" s="14" t="str">
        <f>IF($A375&lt;&gt;"",MINIFS(Merchant!$A:$A,Merchant!$B:$B,$G$2),)</f>
        <v/>
      </c>
      <c r="D375" s="14" t="str">
        <f t="shared" si="2"/>
        <v/>
      </c>
      <c r="E375" s="14" t="str">
        <f t="shared" si="3"/>
        <v/>
      </c>
      <c r="F375" s="7" t="str">
        <f>IF($A375&lt;&gt;"",MAXIFS(Token!$C:$C,Token!$A:$A,$D375),)</f>
        <v/>
      </c>
    </row>
    <row r="376">
      <c r="A376" s="39" t="str">
        <f>IF(AND($L376*1&gt;=$G$3,$L376*1&lt;=$G$4,$I376*$J376&gt;0,OR($I376&lt;&gt;$I377,$L376-$L377&gt;25),IF(ABS($I376)&gt;10,$I376/POW(10,$J376),$J376/POW(10,$I376))*MAXIFS(Token!$C:$C,Token!$A:$A,$K376)&gt;0.01),$L376/86400+DATE(1970,1,1)+$G$6,)</f>
        <v/>
      </c>
      <c r="B376" s="27" t="str">
        <f t="shared" si="1"/>
        <v/>
      </c>
      <c r="C376" s="14" t="str">
        <f>IF($A376&lt;&gt;"",MINIFS(Merchant!$A:$A,Merchant!$B:$B,$G$2),)</f>
        <v/>
      </c>
      <c r="D376" s="14" t="str">
        <f t="shared" si="2"/>
        <v/>
      </c>
      <c r="E376" s="14" t="str">
        <f t="shared" si="3"/>
        <v/>
      </c>
      <c r="F376" s="7" t="str">
        <f>IF($A376&lt;&gt;"",MAXIFS(Token!$C:$C,Token!$A:$A,$D376),)</f>
        <v/>
      </c>
    </row>
    <row r="377">
      <c r="A377" s="39" t="str">
        <f>IF(AND($L377*1&gt;=$G$3,$L377*1&lt;=$G$4,$I377*$J377&gt;0,OR($I377&lt;&gt;$I378,$L377-$L378&gt;25),IF(ABS($I377)&gt;10,$I377/POW(10,$J377),$J377/POW(10,$I377))*MAXIFS(Token!$C:$C,Token!$A:$A,$K377)&gt;0.01),$L377/86400+DATE(1970,1,1)+$G$6,)</f>
        <v/>
      </c>
      <c r="B377" s="27" t="str">
        <f t="shared" si="1"/>
        <v/>
      </c>
      <c r="C377" s="14" t="str">
        <f>IF($A377&lt;&gt;"",MINIFS(Merchant!$A:$A,Merchant!$B:$B,$G$2),)</f>
        <v/>
      </c>
      <c r="D377" s="14" t="str">
        <f t="shared" si="2"/>
        <v/>
      </c>
      <c r="E377" s="14" t="str">
        <f t="shared" si="3"/>
        <v/>
      </c>
      <c r="F377" s="7" t="str">
        <f>IF($A377&lt;&gt;"",MAXIFS(Token!$C:$C,Token!$A:$A,$D377),)</f>
        <v/>
      </c>
    </row>
    <row r="378">
      <c r="A378" s="39" t="str">
        <f>IF(AND($L378*1&gt;=$G$3,$L378*1&lt;=$G$4,$I378*$J378&gt;0,OR($I378&lt;&gt;$I379,$L378-$L379&gt;25),IF(ABS($I378)&gt;10,$I378/POW(10,$J378),$J378/POW(10,$I378))*MAXIFS(Token!$C:$C,Token!$A:$A,$K378)&gt;0.01),$L378/86400+DATE(1970,1,1)+$G$6,)</f>
        <v/>
      </c>
      <c r="B378" s="27" t="str">
        <f t="shared" si="1"/>
        <v/>
      </c>
      <c r="C378" s="14" t="str">
        <f>IF($A378&lt;&gt;"",MINIFS(Merchant!$A:$A,Merchant!$B:$B,$G$2),)</f>
        <v/>
      </c>
      <c r="D378" s="14" t="str">
        <f t="shared" si="2"/>
        <v/>
      </c>
      <c r="E378" s="14" t="str">
        <f t="shared" si="3"/>
        <v/>
      </c>
      <c r="F378" s="7" t="str">
        <f>IF($A378&lt;&gt;"",MAXIFS(Token!$C:$C,Token!$A:$A,$D378),)</f>
        <v/>
      </c>
    </row>
    <row r="379">
      <c r="A379" s="39" t="str">
        <f>IF(AND($L379*1&gt;=$G$3,$L379*1&lt;=$G$4,$I379*$J379&gt;0,OR($I379&lt;&gt;$I380,$L379-$L380&gt;25),IF(ABS($I379)&gt;10,$I379/POW(10,$J379),$J379/POW(10,$I379))*MAXIFS(Token!$C:$C,Token!$A:$A,$K379)&gt;0.01),$L379/86400+DATE(1970,1,1)+$G$6,)</f>
        <v/>
      </c>
      <c r="B379" s="27" t="str">
        <f t="shared" si="1"/>
        <v/>
      </c>
      <c r="C379" s="14" t="str">
        <f>IF($A379&lt;&gt;"",MINIFS(Merchant!$A:$A,Merchant!$B:$B,$G$2),)</f>
        <v/>
      </c>
      <c r="D379" s="14" t="str">
        <f t="shared" si="2"/>
        <v/>
      </c>
      <c r="E379" s="14" t="str">
        <f t="shared" si="3"/>
        <v/>
      </c>
      <c r="F379" s="7" t="str">
        <f>IF($A379&lt;&gt;"",MAXIFS(Token!$C:$C,Token!$A:$A,$D379),)</f>
        <v/>
      </c>
    </row>
    <row r="380">
      <c r="A380" s="39" t="str">
        <f>IF(AND($L380*1&gt;=$G$3,$L380*1&lt;=$G$4,$I380*$J380&gt;0,OR($I380&lt;&gt;$I381,$L380-$L381&gt;25),IF(ABS($I380)&gt;10,$I380/POW(10,$J380),$J380/POW(10,$I380))*MAXIFS(Token!$C:$C,Token!$A:$A,$K380)&gt;0.01),$L380/86400+DATE(1970,1,1)+$G$6,)</f>
        <v/>
      </c>
      <c r="B380" s="27" t="str">
        <f t="shared" si="1"/>
        <v/>
      </c>
      <c r="C380" s="14" t="str">
        <f>IF($A380&lt;&gt;"",MINIFS(Merchant!$A:$A,Merchant!$B:$B,$G$2),)</f>
        <v/>
      </c>
      <c r="D380" s="14" t="str">
        <f t="shared" si="2"/>
        <v/>
      </c>
      <c r="E380" s="14" t="str">
        <f t="shared" si="3"/>
        <v/>
      </c>
      <c r="F380" s="7" t="str">
        <f>IF($A380&lt;&gt;"",MAXIFS(Token!$C:$C,Token!$A:$A,$D380),)</f>
        <v/>
      </c>
    </row>
    <row r="381">
      <c r="A381" s="39" t="str">
        <f>IF(AND($L381*1&gt;=$G$3,$L381*1&lt;=$G$4,$I381*$J381&gt;0,OR($I381&lt;&gt;$I382,$L381-$L382&gt;25),IF(ABS($I381)&gt;10,$I381/POW(10,$J381),$J381/POW(10,$I381))*MAXIFS(Token!$C:$C,Token!$A:$A,$K381)&gt;0.01),$L381/86400+DATE(1970,1,1)+$G$6,)</f>
        <v/>
      </c>
      <c r="B381" s="27" t="str">
        <f t="shared" si="1"/>
        <v/>
      </c>
      <c r="C381" s="14" t="str">
        <f>IF($A381&lt;&gt;"",MINIFS(Merchant!$A:$A,Merchant!$B:$B,$G$2),)</f>
        <v/>
      </c>
      <c r="D381" s="14" t="str">
        <f t="shared" si="2"/>
        <v/>
      </c>
      <c r="E381" s="14" t="str">
        <f t="shared" si="3"/>
        <v/>
      </c>
      <c r="F381" s="7" t="str">
        <f>IF($A381&lt;&gt;"",MAXIFS(Token!$C:$C,Token!$A:$A,$D381),)</f>
        <v/>
      </c>
    </row>
    <row r="382">
      <c r="A382" s="39" t="str">
        <f>IF(AND($L382*1&gt;=$G$3,$L382*1&lt;=$G$4,$I382*$J382&gt;0,OR($I382&lt;&gt;$I383,$L382-$L383&gt;25),IF(ABS($I382)&gt;10,$I382/POW(10,$J382),$J382/POW(10,$I382))*MAXIFS(Token!$C:$C,Token!$A:$A,$K382)&gt;0.01),$L382/86400+DATE(1970,1,1)+$G$6,)</f>
        <v/>
      </c>
      <c r="B382" s="27" t="str">
        <f t="shared" si="1"/>
        <v/>
      </c>
      <c r="C382" s="14" t="str">
        <f>IF($A382&lt;&gt;"",MINIFS(Merchant!$A:$A,Merchant!$B:$B,$G$2),)</f>
        <v/>
      </c>
      <c r="D382" s="14" t="str">
        <f t="shared" si="2"/>
        <v/>
      </c>
      <c r="E382" s="14" t="str">
        <f t="shared" si="3"/>
        <v/>
      </c>
      <c r="F382" s="7" t="str">
        <f>IF($A382&lt;&gt;"",MAXIFS(Token!$C:$C,Token!$A:$A,$D382),)</f>
        <v/>
      </c>
    </row>
    <row r="383">
      <c r="A383" s="39" t="str">
        <f>IF(AND($L383*1&gt;=$G$3,$L383*1&lt;=$G$4,$I383*$J383&gt;0,OR($I383&lt;&gt;$I384,$L383-$L384&gt;25),IF(ABS($I383)&gt;10,$I383/POW(10,$J383),$J383/POW(10,$I383))*MAXIFS(Token!$C:$C,Token!$A:$A,$K383)&gt;0.01),$L383/86400+DATE(1970,1,1)+$G$6,)</f>
        <v/>
      </c>
      <c r="B383" s="27" t="str">
        <f t="shared" si="1"/>
        <v/>
      </c>
      <c r="C383" s="14" t="str">
        <f>IF($A383&lt;&gt;"",MINIFS(Merchant!$A:$A,Merchant!$B:$B,$G$2),)</f>
        <v/>
      </c>
      <c r="D383" s="14" t="str">
        <f t="shared" si="2"/>
        <v/>
      </c>
      <c r="E383" s="14" t="str">
        <f t="shared" si="3"/>
        <v/>
      </c>
      <c r="F383" s="7" t="str">
        <f>IF($A383&lt;&gt;"",MAXIFS(Token!$C:$C,Token!$A:$A,$D383),)</f>
        <v/>
      </c>
    </row>
    <row r="384">
      <c r="A384" s="39" t="str">
        <f>IF(AND($L384*1&gt;=$G$3,$L384*1&lt;=$G$4,$I384*$J384&gt;0,OR($I384&lt;&gt;$I385,$L384-$L385&gt;25),IF(ABS($I384)&gt;10,$I384/POW(10,$J384),$J384/POW(10,$I384))*MAXIFS(Token!$C:$C,Token!$A:$A,$K384)&gt;0.01),$L384/86400+DATE(1970,1,1)+$G$6,)</f>
        <v/>
      </c>
      <c r="B384" s="27" t="str">
        <f t="shared" si="1"/>
        <v/>
      </c>
      <c r="C384" s="14" t="str">
        <f>IF($A384&lt;&gt;"",MINIFS(Merchant!$A:$A,Merchant!$B:$B,$G$2),)</f>
        <v/>
      </c>
      <c r="D384" s="14" t="str">
        <f t="shared" si="2"/>
        <v/>
      </c>
      <c r="E384" s="14" t="str">
        <f t="shared" si="3"/>
        <v/>
      </c>
      <c r="F384" s="7" t="str">
        <f>IF($A384&lt;&gt;"",MAXIFS(Token!$C:$C,Token!$A:$A,$D384),)</f>
        <v/>
      </c>
    </row>
    <row r="385">
      <c r="A385" s="39" t="str">
        <f>IF(AND($L385*1&gt;=$G$3,$L385*1&lt;=$G$4,$I385*$J385&gt;0,OR($I385&lt;&gt;$I386,$L385-$L386&gt;25),IF(ABS($I385)&gt;10,$I385/POW(10,$J385),$J385/POW(10,$I385))*MAXIFS(Token!$C:$C,Token!$A:$A,$K385)&gt;0.01),$L385/86400+DATE(1970,1,1)+$G$6,)</f>
        <v/>
      </c>
      <c r="B385" s="27" t="str">
        <f t="shared" si="1"/>
        <v/>
      </c>
      <c r="C385" s="14" t="str">
        <f>IF($A385&lt;&gt;"",MINIFS(Merchant!$A:$A,Merchant!$B:$B,$G$2),)</f>
        <v/>
      </c>
      <c r="D385" s="14" t="str">
        <f t="shared" si="2"/>
        <v/>
      </c>
      <c r="E385" s="14" t="str">
        <f t="shared" si="3"/>
        <v/>
      </c>
      <c r="F385" s="7" t="str">
        <f>IF($A385&lt;&gt;"",MAXIFS(Token!$C:$C,Token!$A:$A,$D385),)</f>
        <v/>
      </c>
    </row>
    <row r="386">
      <c r="A386" s="39" t="str">
        <f>IF(AND($L386*1&gt;=$G$3,$L386*1&lt;=$G$4,$I386*$J386&gt;0,OR($I386&lt;&gt;$I387,$L386-$L387&gt;25),IF(ABS($I386)&gt;10,$I386/POW(10,$J386),$J386/POW(10,$I386))*MAXIFS(Token!$C:$C,Token!$A:$A,$K386)&gt;0.01),$L386/86400+DATE(1970,1,1)+$G$6,)</f>
        <v/>
      </c>
      <c r="B386" s="27" t="str">
        <f t="shared" si="1"/>
        <v/>
      </c>
      <c r="C386" s="14" t="str">
        <f>IF($A386&lt;&gt;"",MINIFS(Merchant!$A:$A,Merchant!$B:$B,$G$2),)</f>
        <v/>
      </c>
      <c r="D386" s="14" t="str">
        <f t="shared" si="2"/>
        <v/>
      </c>
      <c r="E386" s="14" t="str">
        <f t="shared" si="3"/>
        <v/>
      </c>
      <c r="F386" s="7" t="str">
        <f>IF($A386&lt;&gt;"",MAXIFS(Token!$C:$C,Token!$A:$A,$D386),)</f>
        <v/>
      </c>
    </row>
    <row r="387">
      <c r="A387" s="39" t="str">
        <f>IF(AND($L387*1&gt;=$G$3,$L387*1&lt;=$G$4,$I387*$J387&gt;0,OR($I387&lt;&gt;$I388,$L387-$L388&gt;25),IF(ABS($I387)&gt;10,$I387/POW(10,$J387),$J387/POW(10,$I387))*MAXIFS(Token!$C:$C,Token!$A:$A,$K387)&gt;0.01),$L387/86400+DATE(1970,1,1)+$G$6,)</f>
        <v/>
      </c>
      <c r="B387" s="27" t="str">
        <f t="shared" si="1"/>
        <v/>
      </c>
      <c r="C387" s="14" t="str">
        <f>IF($A387&lt;&gt;"",MINIFS(Merchant!$A:$A,Merchant!$B:$B,$G$2),)</f>
        <v/>
      </c>
      <c r="D387" s="14" t="str">
        <f t="shared" si="2"/>
        <v/>
      </c>
      <c r="E387" s="14" t="str">
        <f t="shared" si="3"/>
        <v/>
      </c>
      <c r="F387" s="7" t="str">
        <f>IF($A387&lt;&gt;"",MAXIFS(Token!$C:$C,Token!$A:$A,$D387),)</f>
        <v/>
      </c>
    </row>
    <row r="388">
      <c r="A388" s="39" t="str">
        <f>IF(AND($L388*1&gt;=$G$3,$L388*1&lt;=$G$4,$I388*$J388&gt;0,OR($I388&lt;&gt;$I389,$L388-$L389&gt;25),IF(ABS($I388)&gt;10,$I388/POW(10,$J388),$J388/POW(10,$I388))*MAXIFS(Token!$C:$C,Token!$A:$A,$K388)&gt;0.01),$L388/86400+DATE(1970,1,1)+$G$6,)</f>
        <v/>
      </c>
      <c r="B388" s="27" t="str">
        <f t="shared" si="1"/>
        <v/>
      </c>
      <c r="C388" s="14" t="str">
        <f>IF($A388&lt;&gt;"",MINIFS(Merchant!$A:$A,Merchant!$B:$B,$G$2),)</f>
        <v/>
      </c>
      <c r="D388" s="14" t="str">
        <f t="shared" si="2"/>
        <v/>
      </c>
      <c r="E388" s="14" t="str">
        <f t="shared" si="3"/>
        <v/>
      </c>
      <c r="F388" s="7" t="str">
        <f>IF($A388&lt;&gt;"",MAXIFS(Token!$C:$C,Token!$A:$A,$D388),)</f>
        <v/>
      </c>
    </row>
    <row r="389">
      <c r="A389" s="39" t="str">
        <f>IF(AND($L389*1&gt;=$G$3,$L389*1&lt;=$G$4,$I389*$J389&gt;0,OR($I389&lt;&gt;$I390,$L389-$L390&gt;25),IF(ABS($I389)&gt;10,$I389/POW(10,$J389),$J389/POW(10,$I389))*MAXIFS(Token!$C:$C,Token!$A:$A,$K389)&gt;0.01),$L389/86400+DATE(1970,1,1)+$G$6,)</f>
        <v/>
      </c>
      <c r="B389" s="27" t="str">
        <f t="shared" si="1"/>
        <v/>
      </c>
      <c r="C389" s="14" t="str">
        <f>IF($A389&lt;&gt;"",MINIFS(Merchant!$A:$A,Merchant!$B:$B,$G$2),)</f>
        <v/>
      </c>
      <c r="D389" s="14" t="str">
        <f t="shared" si="2"/>
        <v/>
      </c>
      <c r="E389" s="14" t="str">
        <f t="shared" si="3"/>
        <v/>
      </c>
      <c r="F389" s="7" t="str">
        <f>IF($A389&lt;&gt;"",MAXIFS(Token!$C:$C,Token!$A:$A,$D389),)</f>
        <v/>
      </c>
    </row>
    <row r="390">
      <c r="A390" s="39" t="str">
        <f>IF(AND($L390*1&gt;=$G$3,$L390*1&lt;=$G$4,$I390*$J390&gt;0,OR($I390&lt;&gt;$I391,$L390-$L391&gt;25),IF(ABS($I390)&gt;10,$I390/POW(10,$J390),$J390/POW(10,$I390))*MAXIFS(Token!$C:$C,Token!$A:$A,$K390)&gt;0.01),$L390/86400+DATE(1970,1,1)+$G$6,)</f>
        <v/>
      </c>
      <c r="B390" s="27" t="str">
        <f t="shared" si="1"/>
        <v/>
      </c>
      <c r="C390" s="14" t="str">
        <f>IF($A390&lt;&gt;"",MINIFS(Merchant!$A:$A,Merchant!$B:$B,$G$2),)</f>
        <v/>
      </c>
      <c r="D390" s="14" t="str">
        <f t="shared" si="2"/>
        <v/>
      </c>
      <c r="E390" s="14" t="str">
        <f t="shared" si="3"/>
        <v/>
      </c>
      <c r="F390" s="7" t="str">
        <f>IF($A390&lt;&gt;"",MAXIFS(Token!$C:$C,Token!$A:$A,$D390),)</f>
        <v/>
      </c>
    </row>
    <row r="391">
      <c r="A391" s="39" t="str">
        <f>IF(AND($L391*1&gt;=$G$3,$L391*1&lt;=$G$4,$I391*$J391&gt;0,OR($I391&lt;&gt;$I392,$L391-$L392&gt;25),IF(ABS($I391)&gt;10,$I391/POW(10,$J391),$J391/POW(10,$I391))*MAXIFS(Token!$C:$C,Token!$A:$A,$K391)&gt;0.01),$L391/86400+DATE(1970,1,1)+$G$6,)</f>
        <v/>
      </c>
      <c r="B391" s="27" t="str">
        <f t="shared" si="1"/>
        <v/>
      </c>
      <c r="C391" s="14" t="str">
        <f>IF($A391&lt;&gt;"",MINIFS(Merchant!$A:$A,Merchant!$B:$B,$G$2),)</f>
        <v/>
      </c>
      <c r="D391" s="14" t="str">
        <f t="shared" si="2"/>
        <v/>
      </c>
      <c r="E391" s="14" t="str">
        <f t="shared" si="3"/>
        <v/>
      </c>
      <c r="F391" s="7" t="str">
        <f>IF($A391&lt;&gt;"",MAXIFS(Token!$C:$C,Token!$A:$A,$D391),)</f>
        <v/>
      </c>
    </row>
    <row r="392">
      <c r="A392" s="39" t="str">
        <f>IF(AND($L392*1&gt;=$G$3,$L392*1&lt;=$G$4,$I392*$J392&gt;0,OR($I392&lt;&gt;$I393,$L392-$L393&gt;25),IF(ABS($I392)&gt;10,$I392/POW(10,$J392),$J392/POW(10,$I392))*MAXIFS(Token!$C:$C,Token!$A:$A,$K392)&gt;0.01),$L392/86400+DATE(1970,1,1)+$G$6,)</f>
        <v/>
      </c>
      <c r="B392" s="27" t="str">
        <f t="shared" si="1"/>
        <v/>
      </c>
      <c r="C392" s="14" t="str">
        <f>IF($A392&lt;&gt;"",MINIFS(Merchant!$A:$A,Merchant!$B:$B,$G$2),)</f>
        <v/>
      </c>
      <c r="D392" s="14" t="str">
        <f t="shared" si="2"/>
        <v/>
      </c>
      <c r="E392" s="14" t="str">
        <f t="shared" si="3"/>
        <v/>
      </c>
      <c r="F392" s="7" t="str">
        <f>IF($A392&lt;&gt;"",MAXIFS(Token!$C:$C,Token!$A:$A,$D392),)</f>
        <v/>
      </c>
    </row>
    <row r="393">
      <c r="A393" s="39" t="str">
        <f>IF(AND($L393*1&gt;=$G$3,$L393*1&lt;=$G$4,$I393*$J393&gt;0,OR($I393&lt;&gt;$I394,$L393-$L394&gt;25),IF(ABS($I393)&gt;10,$I393/POW(10,$J393),$J393/POW(10,$I393))*MAXIFS(Token!$C:$C,Token!$A:$A,$K393)&gt;0.01),$L393/86400+DATE(1970,1,1)+$G$6,)</f>
        <v/>
      </c>
      <c r="B393" s="27" t="str">
        <f t="shared" si="1"/>
        <v/>
      </c>
      <c r="C393" s="14" t="str">
        <f>IF($A393&lt;&gt;"",MINIFS(Merchant!$A:$A,Merchant!$B:$B,$G$2),)</f>
        <v/>
      </c>
      <c r="D393" s="14" t="str">
        <f t="shared" si="2"/>
        <v/>
      </c>
      <c r="E393" s="14" t="str">
        <f t="shared" si="3"/>
        <v/>
      </c>
      <c r="F393" s="7" t="str">
        <f>IF($A393&lt;&gt;"",MAXIFS(Token!$C:$C,Token!$A:$A,$D393),)</f>
        <v/>
      </c>
    </row>
    <row r="394">
      <c r="A394" s="39" t="str">
        <f>IF(AND($L394*1&gt;=$G$3,$L394*1&lt;=$G$4,$I394*$J394&gt;0,OR($I394&lt;&gt;$I395,$L394-$L395&gt;25),IF(ABS($I394)&gt;10,$I394/POW(10,$J394),$J394/POW(10,$I394))*MAXIFS(Token!$C:$C,Token!$A:$A,$K394)&gt;0.01),$L394/86400+DATE(1970,1,1)+$G$6,)</f>
        <v/>
      </c>
      <c r="B394" s="27" t="str">
        <f t="shared" si="1"/>
        <v/>
      </c>
      <c r="C394" s="14" t="str">
        <f>IF($A394&lt;&gt;"",MINIFS(Merchant!$A:$A,Merchant!$B:$B,$G$2),)</f>
        <v/>
      </c>
      <c r="D394" s="14" t="str">
        <f t="shared" si="2"/>
        <v/>
      </c>
      <c r="E394" s="14" t="str">
        <f t="shared" si="3"/>
        <v/>
      </c>
      <c r="F394" s="7" t="str">
        <f>IF($A394&lt;&gt;"",MAXIFS(Token!$C:$C,Token!$A:$A,$D394),)</f>
        <v/>
      </c>
    </row>
    <row r="395">
      <c r="A395" s="39" t="str">
        <f>IF(AND($L395*1&gt;=$G$3,$L395*1&lt;=$G$4,$I395*$J395&gt;0,OR($I395&lt;&gt;$I396,$L395-$L396&gt;25),IF(ABS($I395)&gt;10,$I395/POW(10,$J395),$J395/POW(10,$I395))*MAXIFS(Token!$C:$C,Token!$A:$A,$K395)&gt;0.01),$L395/86400+DATE(1970,1,1)+$G$6,)</f>
        <v/>
      </c>
      <c r="B395" s="27" t="str">
        <f t="shared" si="1"/>
        <v/>
      </c>
      <c r="C395" s="14" t="str">
        <f>IF($A395&lt;&gt;"",MINIFS(Merchant!$A:$A,Merchant!$B:$B,$G$2),)</f>
        <v/>
      </c>
      <c r="D395" s="14" t="str">
        <f t="shared" si="2"/>
        <v/>
      </c>
      <c r="E395" s="14" t="str">
        <f t="shared" si="3"/>
        <v/>
      </c>
      <c r="F395" s="7" t="str">
        <f>IF($A395&lt;&gt;"",MAXIFS(Token!$C:$C,Token!$A:$A,$D395),)</f>
        <v/>
      </c>
    </row>
    <row r="396">
      <c r="A396" s="39" t="str">
        <f>IF(AND($L396*1&gt;=$G$3,$L396*1&lt;=$G$4,$I396*$J396&gt;0,OR($I396&lt;&gt;$I397,$L396-$L397&gt;25),IF(ABS($I396)&gt;10,$I396/POW(10,$J396),$J396/POW(10,$I396))*MAXIFS(Token!$C:$C,Token!$A:$A,$K396)&gt;0.01),$L396/86400+DATE(1970,1,1)+$G$6,)</f>
        <v/>
      </c>
      <c r="B396" s="27" t="str">
        <f t="shared" si="1"/>
        <v/>
      </c>
      <c r="C396" s="14" t="str">
        <f>IF($A396&lt;&gt;"",MINIFS(Merchant!$A:$A,Merchant!$B:$B,$G$2),)</f>
        <v/>
      </c>
      <c r="D396" s="14" t="str">
        <f t="shared" si="2"/>
        <v/>
      </c>
      <c r="E396" s="14" t="str">
        <f t="shared" si="3"/>
        <v/>
      </c>
      <c r="F396" s="7" t="str">
        <f>IF($A396&lt;&gt;"",MAXIFS(Token!$C:$C,Token!$A:$A,$D396),)</f>
        <v/>
      </c>
    </row>
    <row r="397">
      <c r="A397" s="39" t="str">
        <f>IF(AND($L397*1&gt;=$G$3,$L397*1&lt;=$G$4,$I397*$J397&gt;0,OR($I397&lt;&gt;$I398,$L397-$L398&gt;25),IF(ABS($I397)&gt;10,$I397/POW(10,$J397),$J397/POW(10,$I397))*MAXIFS(Token!$C:$C,Token!$A:$A,$K397)&gt;0.01),$L397/86400+DATE(1970,1,1)+$G$6,)</f>
        <v/>
      </c>
      <c r="B397" s="27" t="str">
        <f t="shared" si="1"/>
        <v/>
      </c>
      <c r="C397" s="14" t="str">
        <f>IF($A397&lt;&gt;"",MINIFS(Merchant!$A:$A,Merchant!$B:$B,$G$2),)</f>
        <v/>
      </c>
      <c r="D397" s="14" t="str">
        <f t="shared" si="2"/>
        <v/>
      </c>
      <c r="E397" s="14" t="str">
        <f t="shared" si="3"/>
        <v/>
      </c>
      <c r="F397" s="7" t="str">
        <f>IF($A397&lt;&gt;"",MAXIFS(Token!$C:$C,Token!$A:$A,$D397),)</f>
        <v/>
      </c>
    </row>
    <row r="398">
      <c r="A398" s="39" t="str">
        <f>IF(AND($L398*1&gt;=$G$3,$L398*1&lt;=$G$4,$I398*$J398&gt;0,OR($I398&lt;&gt;$I399,$L398-$L399&gt;25),IF(ABS($I398)&gt;10,$I398/POW(10,$J398),$J398/POW(10,$I398))*MAXIFS(Token!$C:$C,Token!$A:$A,$K398)&gt;0.01),$L398/86400+DATE(1970,1,1)+$G$6,)</f>
        <v/>
      </c>
      <c r="B398" s="27" t="str">
        <f t="shared" si="1"/>
        <v/>
      </c>
      <c r="C398" s="14" t="str">
        <f>IF($A398&lt;&gt;"",MINIFS(Merchant!$A:$A,Merchant!$B:$B,$G$2),)</f>
        <v/>
      </c>
      <c r="D398" s="14" t="str">
        <f t="shared" si="2"/>
        <v/>
      </c>
      <c r="E398" s="14" t="str">
        <f t="shared" si="3"/>
        <v/>
      </c>
      <c r="F398" s="7" t="str">
        <f>IF($A398&lt;&gt;"",MAXIFS(Token!$C:$C,Token!$A:$A,$D398),)</f>
        <v/>
      </c>
    </row>
    <row r="399">
      <c r="A399" s="39" t="str">
        <f>IF(AND($L399*1&gt;=$G$3,$L399*1&lt;=$G$4,$I399*$J399&gt;0,OR($I399&lt;&gt;$I400,$L399-$L400&gt;25),IF(ABS($I399)&gt;10,$I399/POW(10,$J399),$J399/POW(10,$I399))*MAXIFS(Token!$C:$C,Token!$A:$A,$K399)&gt;0.01),$L399/86400+DATE(1970,1,1)+$G$6,)</f>
        <v/>
      </c>
      <c r="B399" s="27" t="str">
        <f t="shared" si="1"/>
        <v/>
      </c>
      <c r="C399" s="14" t="str">
        <f>IF($A399&lt;&gt;"",MINIFS(Merchant!$A:$A,Merchant!$B:$B,$G$2),)</f>
        <v/>
      </c>
      <c r="D399" s="14" t="str">
        <f t="shared" si="2"/>
        <v/>
      </c>
      <c r="E399" s="14" t="str">
        <f t="shared" si="3"/>
        <v/>
      </c>
      <c r="F399" s="7" t="str">
        <f>IF($A399&lt;&gt;"",MAXIFS(Token!$C:$C,Token!$A:$A,$D399),)</f>
        <v/>
      </c>
    </row>
    <row r="400">
      <c r="A400" s="39" t="str">
        <f>IF(AND($L400*1&gt;=$G$3,$L400*1&lt;=$G$4,$I400*$J400&gt;0,OR($I400&lt;&gt;$I401,$L400-$L401&gt;25),IF(ABS($I400)&gt;10,$I400/POW(10,$J400),$J400/POW(10,$I400))*MAXIFS(Token!$C:$C,Token!$A:$A,$K400)&gt;0.01),$L400/86400+DATE(1970,1,1)+$G$6,)</f>
        <v/>
      </c>
      <c r="B400" s="27" t="str">
        <f t="shared" si="1"/>
        <v/>
      </c>
      <c r="C400" s="14" t="str">
        <f>IF($A400&lt;&gt;"",MINIFS(Merchant!$A:$A,Merchant!$B:$B,$G$2),)</f>
        <v/>
      </c>
      <c r="D400" s="14" t="str">
        <f t="shared" si="2"/>
        <v/>
      </c>
      <c r="E400" s="14" t="str">
        <f t="shared" si="3"/>
        <v/>
      </c>
      <c r="F400" s="7" t="str">
        <f>IF($A400&lt;&gt;"",MAXIFS(Token!$C:$C,Token!$A:$A,$D400),)</f>
        <v/>
      </c>
    </row>
    <row r="401">
      <c r="A401" s="39" t="str">
        <f>IF(AND($L401*1&gt;=$G$3,$L401*1&lt;=$G$4,$I401*$J401&gt;0,OR($I401&lt;&gt;$I402,$L401-$L402&gt;25),IF(ABS($I401)&gt;10,$I401/POW(10,$J401),$J401/POW(10,$I401))*MAXIFS(Token!$C:$C,Token!$A:$A,$K401)&gt;0.01),$L401/86400+DATE(1970,1,1)+$G$6,)</f>
        <v/>
      </c>
      <c r="B401" s="27" t="str">
        <f t="shared" si="1"/>
        <v/>
      </c>
      <c r="C401" s="14" t="str">
        <f>IF($A401&lt;&gt;"",MINIFS(Merchant!$A:$A,Merchant!$B:$B,$G$2),)</f>
        <v/>
      </c>
      <c r="D401" s="14" t="str">
        <f t="shared" si="2"/>
        <v/>
      </c>
      <c r="E401" s="14" t="str">
        <f t="shared" si="3"/>
        <v/>
      </c>
      <c r="F401" s="7" t="str">
        <f>IF($A401&lt;&gt;"",MAXIFS(Token!$C:$C,Token!$A:$A,$D401),)</f>
        <v/>
      </c>
    </row>
    <row r="402">
      <c r="A402" s="39" t="str">
        <f>IF(AND($L402*1&gt;=$G$3,$L402*1&lt;=$G$4,$I402*$J402&gt;0,OR($I402&lt;&gt;$I403,$L402-$L403&gt;25),IF(ABS($I402)&gt;10,$I402/POW(10,$J402),$J402/POW(10,$I402))*MAXIFS(Token!$C:$C,Token!$A:$A,$K402)&gt;0.01),$L402/86400+DATE(1970,1,1)+$G$6,)</f>
        <v/>
      </c>
      <c r="B402" s="27" t="str">
        <f t="shared" si="1"/>
        <v/>
      </c>
      <c r="C402" s="14" t="str">
        <f>IF($A402&lt;&gt;"",MINIFS(Merchant!$A:$A,Merchant!$B:$B,$G$2),)</f>
        <v/>
      </c>
      <c r="D402" s="14" t="str">
        <f t="shared" si="2"/>
        <v/>
      </c>
      <c r="E402" s="14" t="str">
        <f t="shared" si="3"/>
        <v/>
      </c>
      <c r="F402" s="7" t="str">
        <f>IF($A402&lt;&gt;"",MAXIFS(Token!$C:$C,Token!$A:$A,$D402),)</f>
        <v/>
      </c>
    </row>
    <row r="403">
      <c r="A403" s="39" t="str">
        <f>IF(AND($L403*1&gt;=$G$3,$L403*1&lt;=$G$4,$I403*$J403&gt;0,OR($I403&lt;&gt;$I404,$L403-$L404&gt;25),IF(ABS($I403)&gt;10,$I403/POW(10,$J403),$J403/POW(10,$I403))*MAXIFS(Token!$C:$C,Token!$A:$A,$K403)&gt;0.01),$L403/86400+DATE(1970,1,1)+$G$6,)</f>
        <v/>
      </c>
      <c r="B403" s="27" t="str">
        <f t="shared" si="1"/>
        <v/>
      </c>
      <c r="C403" s="14" t="str">
        <f>IF($A403&lt;&gt;"",MINIFS(Merchant!$A:$A,Merchant!$B:$B,$G$2),)</f>
        <v/>
      </c>
      <c r="D403" s="14" t="str">
        <f t="shared" si="2"/>
        <v/>
      </c>
      <c r="E403" s="14" t="str">
        <f t="shared" si="3"/>
        <v/>
      </c>
      <c r="F403" s="7" t="str">
        <f>IF($A403&lt;&gt;"",MAXIFS(Token!$C:$C,Token!$A:$A,$D403),)</f>
        <v/>
      </c>
    </row>
    <row r="404">
      <c r="A404" s="39" t="str">
        <f>IF(AND($L404*1&gt;=$G$3,$L404*1&lt;=$G$4,$I404*$J404&gt;0,OR($I404&lt;&gt;$I405,$L404-$L405&gt;25),IF(ABS($I404)&gt;10,$I404/POW(10,$J404),$J404/POW(10,$I404))*MAXIFS(Token!$C:$C,Token!$A:$A,$K404)&gt;0.01),$L404/86400+DATE(1970,1,1)+$G$6,)</f>
        <v/>
      </c>
      <c r="B404" s="27" t="str">
        <f t="shared" si="1"/>
        <v/>
      </c>
      <c r="C404" s="14" t="str">
        <f>IF($A404&lt;&gt;"",MINIFS(Merchant!$A:$A,Merchant!$B:$B,$G$2),)</f>
        <v/>
      </c>
      <c r="D404" s="14" t="str">
        <f t="shared" si="2"/>
        <v/>
      </c>
      <c r="E404" s="14" t="str">
        <f t="shared" si="3"/>
        <v/>
      </c>
      <c r="F404" s="7" t="str">
        <f>IF($A404&lt;&gt;"",MAXIFS(Token!$C:$C,Token!$A:$A,$D404),)</f>
        <v/>
      </c>
    </row>
    <row r="405">
      <c r="A405" s="39" t="str">
        <f>IF(AND($L405*1&gt;=$G$3,$L405*1&lt;=$G$4,$I405*$J405&gt;0,OR($I405&lt;&gt;$I406,$L405-$L406&gt;25),IF(ABS($I405)&gt;10,$I405/POW(10,$J405),$J405/POW(10,$I405))*MAXIFS(Token!$C:$C,Token!$A:$A,$K405)&gt;0.01),$L405/86400+DATE(1970,1,1)+$G$6,)</f>
        <v/>
      </c>
      <c r="B405" s="27" t="str">
        <f t="shared" si="1"/>
        <v/>
      </c>
      <c r="C405" s="14" t="str">
        <f>IF($A405&lt;&gt;"",MINIFS(Merchant!$A:$A,Merchant!$B:$B,$G$2),)</f>
        <v/>
      </c>
      <c r="D405" s="14" t="str">
        <f t="shared" si="2"/>
        <v/>
      </c>
      <c r="E405" s="14" t="str">
        <f t="shared" si="3"/>
        <v/>
      </c>
      <c r="F405" s="7" t="str">
        <f>IF($A405&lt;&gt;"",MAXIFS(Token!$C:$C,Token!$A:$A,$D405),)</f>
        <v/>
      </c>
    </row>
    <row r="406">
      <c r="A406" s="39" t="str">
        <f>IF(AND($L406*1&gt;=$G$3,$L406*1&lt;=$G$4,$I406*$J406&gt;0,OR($I406&lt;&gt;$I407,$L406-$L407&gt;25),IF(ABS($I406)&gt;10,$I406/POW(10,$J406),$J406/POW(10,$I406))*MAXIFS(Token!$C:$C,Token!$A:$A,$K406)&gt;0.01),$L406/86400+DATE(1970,1,1)+$G$6,)</f>
        <v/>
      </c>
      <c r="B406" s="27" t="str">
        <f t="shared" si="1"/>
        <v/>
      </c>
      <c r="C406" s="14" t="str">
        <f>IF($A406&lt;&gt;"",MINIFS(Merchant!$A:$A,Merchant!$B:$B,$G$2),)</f>
        <v/>
      </c>
      <c r="D406" s="14" t="str">
        <f t="shared" si="2"/>
        <v/>
      </c>
      <c r="E406" s="14" t="str">
        <f t="shared" si="3"/>
        <v/>
      </c>
      <c r="F406" s="7" t="str">
        <f>IF($A406&lt;&gt;"",MAXIFS(Token!$C:$C,Token!$A:$A,$D406),)</f>
        <v/>
      </c>
    </row>
    <row r="407">
      <c r="A407" s="39" t="str">
        <f>IF(AND($L407*1&gt;=$G$3,$L407*1&lt;=$G$4,$I407*$J407&gt;0,OR($I407&lt;&gt;$I408,$L407-$L408&gt;25),IF(ABS($I407)&gt;10,$I407/POW(10,$J407),$J407/POW(10,$I407))*MAXIFS(Token!$C:$C,Token!$A:$A,$K407)&gt;0.01),$L407/86400+DATE(1970,1,1)+$G$6,)</f>
        <v/>
      </c>
      <c r="B407" s="27" t="str">
        <f t="shared" si="1"/>
        <v/>
      </c>
      <c r="C407" s="14" t="str">
        <f>IF($A407&lt;&gt;"",MINIFS(Merchant!$A:$A,Merchant!$B:$B,$G$2),)</f>
        <v/>
      </c>
      <c r="D407" s="14" t="str">
        <f t="shared" si="2"/>
        <v/>
      </c>
      <c r="E407" s="14" t="str">
        <f t="shared" si="3"/>
        <v/>
      </c>
      <c r="F407" s="7" t="str">
        <f>IF($A407&lt;&gt;"",MAXIFS(Token!$C:$C,Token!$A:$A,$D407),)</f>
        <v/>
      </c>
    </row>
    <row r="408">
      <c r="A408" s="39" t="str">
        <f>IF(AND($L408*1&gt;=$G$3,$L408*1&lt;=$G$4,$I408*$J408&gt;0,OR($I408&lt;&gt;$I409,$L408-$L409&gt;25),IF(ABS($I408)&gt;10,$I408/POW(10,$J408),$J408/POW(10,$I408))*MAXIFS(Token!$C:$C,Token!$A:$A,$K408)&gt;0.01),$L408/86400+DATE(1970,1,1)+$G$6,)</f>
        <v/>
      </c>
      <c r="B408" s="27" t="str">
        <f t="shared" si="1"/>
        <v/>
      </c>
      <c r="C408" s="14" t="str">
        <f>IF($A408&lt;&gt;"",MINIFS(Merchant!$A:$A,Merchant!$B:$B,$G$2),)</f>
        <v/>
      </c>
      <c r="D408" s="14" t="str">
        <f t="shared" si="2"/>
        <v/>
      </c>
      <c r="E408" s="14" t="str">
        <f t="shared" si="3"/>
        <v/>
      </c>
      <c r="F408" s="7" t="str">
        <f>IF($A408&lt;&gt;"",MAXIFS(Token!$C:$C,Token!$A:$A,$D408),)</f>
        <v/>
      </c>
    </row>
    <row r="409">
      <c r="A409" s="39" t="str">
        <f>IF(AND($L409*1&gt;=$G$3,$L409*1&lt;=$G$4,$I409*$J409&gt;0,OR($I409&lt;&gt;$I410,$L409-$L410&gt;25),IF(ABS($I409)&gt;10,$I409/POW(10,$J409),$J409/POW(10,$I409))*MAXIFS(Token!$C:$C,Token!$A:$A,$K409)&gt;0.01),$L409/86400+DATE(1970,1,1)+$G$6,)</f>
        <v/>
      </c>
      <c r="B409" s="27" t="str">
        <f t="shared" si="1"/>
        <v/>
      </c>
      <c r="C409" s="14" t="str">
        <f>IF($A409&lt;&gt;"",MINIFS(Merchant!$A:$A,Merchant!$B:$B,$G$2),)</f>
        <v/>
      </c>
      <c r="D409" s="14" t="str">
        <f t="shared" si="2"/>
        <v/>
      </c>
      <c r="E409" s="14" t="str">
        <f t="shared" si="3"/>
        <v/>
      </c>
      <c r="F409" s="7" t="str">
        <f>IF($A409&lt;&gt;"",MAXIFS(Token!$C:$C,Token!$A:$A,$D409),)</f>
        <v/>
      </c>
    </row>
    <row r="410">
      <c r="A410" s="39" t="str">
        <f>IF(AND($L410*1&gt;=$G$3,$L410*1&lt;=$G$4,$I410*$J410&gt;0,OR($I410&lt;&gt;$I411,$L410-$L411&gt;25),IF(ABS($I410)&gt;10,$I410/POW(10,$J410),$J410/POW(10,$I410))*MAXIFS(Token!$C:$C,Token!$A:$A,$K410)&gt;0.01),$L410/86400+DATE(1970,1,1)+$G$6,)</f>
        <v/>
      </c>
      <c r="B410" s="27" t="str">
        <f t="shared" si="1"/>
        <v/>
      </c>
      <c r="C410" s="14" t="str">
        <f>IF($A410&lt;&gt;"",MINIFS(Merchant!$A:$A,Merchant!$B:$B,$G$2),)</f>
        <v/>
      </c>
      <c r="D410" s="14" t="str">
        <f t="shared" si="2"/>
        <v/>
      </c>
      <c r="E410" s="14" t="str">
        <f t="shared" si="3"/>
        <v/>
      </c>
      <c r="F410" s="7" t="str">
        <f>IF($A410&lt;&gt;"",MAXIFS(Token!$C:$C,Token!$A:$A,$D410),)</f>
        <v/>
      </c>
    </row>
    <row r="411">
      <c r="A411" s="39" t="str">
        <f>IF(AND($L411*1&gt;=$G$3,$L411*1&lt;=$G$4,$I411*$J411&gt;0,OR($I411&lt;&gt;$I412,$L411-$L412&gt;25),IF(ABS($I411)&gt;10,$I411/POW(10,$J411),$J411/POW(10,$I411))*MAXIFS(Token!$C:$C,Token!$A:$A,$K411)&gt;0.01),$L411/86400+DATE(1970,1,1)+$G$6,)</f>
        <v/>
      </c>
      <c r="B411" s="27" t="str">
        <f t="shared" si="1"/>
        <v/>
      </c>
      <c r="C411" s="14" t="str">
        <f>IF($A411&lt;&gt;"",MINIFS(Merchant!$A:$A,Merchant!$B:$B,$G$2),)</f>
        <v/>
      </c>
      <c r="D411" s="14" t="str">
        <f t="shared" si="2"/>
        <v/>
      </c>
      <c r="E411" s="14" t="str">
        <f t="shared" si="3"/>
        <v/>
      </c>
      <c r="F411" s="7" t="str">
        <f>IF($A411&lt;&gt;"",MAXIFS(Token!$C:$C,Token!$A:$A,$D411),)</f>
        <v/>
      </c>
    </row>
    <row r="412">
      <c r="A412" s="39" t="str">
        <f>IF(AND($L412*1&gt;=$G$3,$L412*1&lt;=$G$4,$I412*$J412&gt;0,OR($I412&lt;&gt;$I413,$L412-$L413&gt;25),IF(ABS($I412)&gt;10,$I412/POW(10,$J412),$J412/POW(10,$I412))*MAXIFS(Token!$C:$C,Token!$A:$A,$K412)&gt;0.01),$L412/86400+DATE(1970,1,1)+$G$6,)</f>
        <v/>
      </c>
      <c r="B412" s="27" t="str">
        <f t="shared" si="1"/>
        <v/>
      </c>
      <c r="C412" s="14" t="str">
        <f>IF($A412&lt;&gt;"",MINIFS(Merchant!$A:$A,Merchant!$B:$B,$G$2),)</f>
        <v/>
      </c>
      <c r="D412" s="14" t="str">
        <f t="shared" si="2"/>
        <v/>
      </c>
      <c r="E412" s="14" t="str">
        <f t="shared" si="3"/>
        <v/>
      </c>
      <c r="F412" s="7" t="str">
        <f>IF($A412&lt;&gt;"",MAXIFS(Token!$C:$C,Token!$A:$A,$D412),)</f>
        <v/>
      </c>
    </row>
    <row r="413">
      <c r="A413" s="39" t="str">
        <f>IF(AND($L413*1&gt;=$G$3,$L413*1&lt;=$G$4,$I413*$J413&gt;0,OR($I413&lt;&gt;$I414,$L413-$L414&gt;25),IF(ABS($I413)&gt;10,$I413/POW(10,$J413),$J413/POW(10,$I413))*MAXIFS(Token!$C:$C,Token!$A:$A,$K413)&gt;0.01),$L413/86400+DATE(1970,1,1)+$G$6,)</f>
        <v/>
      </c>
      <c r="B413" s="27" t="str">
        <f t="shared" si="1"/>
        <v/>
      </c>
      <c r="C413" s="14" t="str">
        <f>IF($A413&lt;&gt;"",MINIFS(Merchant!$A:$A,Merchant!$B:$B,$G$2),)</f>
        <v/>
      </c>
      <c r="D413" s="14" t="str">
        <f t="shared" si="2"/>
        <v/>
      </c>
      <c r="E413" s="14" t="str">
        <f t="shared" si="3"/>
        <v/>
      </c>
      <c r="F413" s="7" t="str">
        <f>IF($A413&lt;&gt;"",MAXIFS(Token!$C:$C,Token!$A:$A,$D413),)</f>
        <v/>
      </c>
    </row>
    <row r="414">
      <c r="A414" s="39" t="str">
        <f>IF(AND($L414*1&gt;=$G$3,$L414*1&lt;=$G$4,$I414*$J414&gt;0,OR($I414&lt;&gt;$I415,$L414-$L415&gt;25),IF(ABS($I414)&gt;10,$I414/POW(10,$J414),$J414/POW(10,$I414))*MAXIFS(Token!$C:$C,Token!$A:$A,$K414)&gt;0.01),$L414/86400+DATE(1970,1,1)+$G$6,)</f>
        <v/>
      </c>
      <c r="B414" s="27" t="str">
        <f t="shared" si="1"/>
        <v/>
      </c>
      <c r="C414" s="14" t="str">
        <f>IF($A414&lt;&gt;"",MINIFS(Merchant!$A:$A,Merchant!$B:$B,$G$2),)</f>
        <v/>
      </c>
      <c r="D414" s="14" t="str">
        <f t="shared" si="2"/>
        <v/>
      </c>
      <c r="E414" s="14" t="str">
        <f t="shared" si="3"/>
        <v/>
      </c>
      <c r="F414" s="7" t="str">
        <f>IF($A414&lt;&gt;"",MAXIFS(Token!$C:$C,Token!$A:$A,$D414),)</f>
        <v/>
      </c>
    </row>
    <row r="415">
      <c r="A415" s="39" t="str">
        <f>IF(AND($L415*1&gt;=$G$3,$L415*1&lt;=$G$4,$I415*$J415&gt;0,OR($I415&lt;&gt;$I416,$L415-$L416&gt;25),IF(ABS($I415)&gt;10,$I415/POW(10,$J415),$J415/POW(10,$I415))*MAXIFS(Token!$C:$C,Token!$A:$A,$K415)&gt;0.01),$L415/86400+DATE(1970,1,1)+$G$6,)</f>
        <v/>
      </c>
      <c r="B415" s="27" t="str">
        <f t="shared" si="1"/>
        <v/>
      </c>
      <c r="C415" s="14" t="str">
        <f>IF($A415&lt;&gt;"",MINIFS(Merchant!$A:$A,Merchant!$B:$B,$G$2),)</f>
        <v/>
      </c>
      <c r="D415" s="14" t="str">
        <f t="shared" si="2"/>
        <v/>
      </c>
      <c r="E415" s="14" t="str">
        <f t="shared" si="3"/>
        <v/>
      </c>
      <c r="F415" s="7" t="str">
        <f>IF($A415&lt;&gt;"",MAXIFS(Token!$C:$C,Token!$A:$A,$D415),)</f>
        <v/>
      </c>
    </row>
    <row r="416">
      <c r="A416" s="39" t="str">
        <f>IF(AND($L416*1&gt;=$G$3,$L416*1&lt;=$G$4,$I416*$J416&gt;0,OR($I416&lt;&gt;$I417,$L416-$L417&gt;25),IF(ABS($I416)&gt;10,$I416/POW(10,$J416),$J416/POW(10,$I416))*MAXIFS(Token!$C:$C,Token!$A:$A,$K416)&gt;0.01),$L416/86400+DATE(1970,1,1)+$G$6,)</f>
        <v/>
      </c>
      <c r="B416" s="27" t="str">
        <f t="shared" si="1"/>
        <v/>
      </c>
      <c r="C416" s="14" t="str">
        <f>IF($A416&lt;&gt;"",MINIFS(Merchant!$A:$A,Merchant!$B:$B,$G$2),)</f>
        <v/>
      </c>
      <c r="D416" s="14" t="str">
        <f t="shared" si="2"/>
        <v/>
      </c>
      <c r="E416" s="14" t="str">
        <f t="shared" si="3"/>
        <v/>
      </c>
      <c r="F416" s="7" t="str">
        <f>IF($A416&lt;&gt;"",MAXIFS(Token!$C:$C,Token!$A:$A,$D416),)</f>
        <v/>
      </c>
    </row>
    <row r="417">
      <c r="A417" s="39" t="str">
        <f>IF(AND($L417*1&gt;=$G$3,$L417*1&lt;=$G$4,$I417*$J417&gt;0,OR($I417&lt;&gt;$I418,$L417-$L418&gt;25),IF(ABS($I417)&gt;10,$I417/POW(10,$J417),$J417/POW(10,$I417))*MAXIFS(Token!$C:$C,Token!$A:$A,$K417)&gt;0.01),$L417/86400+DATE(1970,1,1)+$G$6,)</f>
        <v/>
      </c>
      <c r="B417" s="27" t="str">
        <f t="shared" si="1"/>
        <v/>
      </c>
      <c r="C417" s="14" t="str">
        <f>IF($A417&lt;&gt;"",MINIFS(Merchant!$A:$A,Merchant!$B:$B,$G$2),)</f>
        <v/>
      </c>
      <c r="D417" s="14" t="str">
        <f t="shared" si="2"/>
        <v/>
      </c>
      <c r="E417" s="14" t="str">
        <f t="shared" si="3"/>
        <v/>
      </c>
      <c r="F417" s="7" t="str">
        <f>IF($A417&lt;&gt;"",MAXIFS(Token!$C:$C,Token!$A:$A,$D417),)</f>
        <v/>
      </c>
    </row>
    <row r="418">
      <c r="A418" s="39" t="str">
        <f>IF(AND($L418*1&gt;=$G$3,$L418*1&lt;=$G$4,$I418*$J418&gt;0,OR($I418&lt;&gt;$I419,$L418-$L419&gt;25),IF(ABS($I418)&gt;10,$I418/POW(10,$J418),$J418/POW(10,$I418))*MAXIFS(Token!$C:$C,Token!$A:$A,$K418)&gt;0.01),$L418/86400+DATE(1970,1,1)+$G$6,)</f>
        <v/>
      </c>
      <c r="B418" s="27" t="str">
        <f t="shared" si="1"/>
        <v/>
      </c>
      <c r="C418" s="14" t="str">
        <f>IF($A418&lt;&gt;"",MINIFS(Merchant!$A:$A,Merchant!$B:$B,$G$2),)</f>
        <v/>
      </c>
      <c r="D418" s="14" t="str">
        <f t="shared" si="2"/>
        <v/>
      </c>
      <c r="E418" s="14" t="str">
        <f t="shared" si="3"/>
        <v/>
      </c>
      <c r="F418" s="7" t="str">
        <f>IF($A418&lt;&gt;"",MAXIFS(Token!$C:$C,Token!$A:$A,$D418),)</f>
        <v/>
      </c>
    </row>
    <row r="419">
      <c r="A419" s="39" t="str">
        <f>IF(AND($L419*1&gt;=$G$3,$L419*1&lt;=$G$4,$I419*$J419&gt;0,OR($I419&lt;&gt;$I420,$L419-$L420&gt;25),IF(ABS($I419)&gt;10,$I419/POW(10,$J419),$J419/POW(10,$I419))*MAXIFS(Token!$C:$C,Token!$A:$A,$K419)&gt;0.01),$L419/86400+DATE(1970,1,1)+$G$6,)</f>
        <v/>
      </c>
      <c r="B419" s="27" t="str">
        <f t="shared" si="1"/>
        <v/>
      </c>
      <c r="C419" s="14" t="str">
        <f>IF($A419&lt;&gt;"",MINIFS(Merchant!$A:$A,Merchant!$B:$B,$G$2),)</f>
        <v/>
      </c>
      <c r="D419" s="14" t="str">
        <f t="shared" si="2"/>
        <v/>
      </c>
      <c r="E419" s="14" t="str">
        <f t="shared" si="3"/>
        <v/>
      </c>
      <c r="F419" s="7" t="str">
        <f>IF($A419&lt;&gt;"",MAXIFS(Token!$C:$C,Token!$A:$A,$D419),)</f>
        <v/>
      </c>
    </row>
    <row r="420">
      <c r="A420" s="39" t="str">
        <f>IF(AND($L420*1&gt;=$G$3,$L420*1&lt;=$G$4,$I420*$J420&gt;0,OR($I420&lt;&gt;$I421,$L420-$L421&gt;25),IF(ABS($I420)&gt;10,$I420/POW(10,$J420),$J420/POW(10,$I420))*MAXIFS(Token!$C:$C,Token!$A:$A,$K420)&gt;0.01),$L420/86400+DATE(1970,1,1)+$G$6,)</f>
        <v/>
      </c>
      <c r="B420" s="27" t="str">
        <f t="shared" si="1"/>
        <v/>
      </c>
      <c r="C420" s="14" t="str">
        <f>IF($A420&lt;&gt;"",MINIFS(Merchant!$A:$A,Merchant!$B:$B,$G$2),)</f>
        <v/>
      </c>
      <c r="D420" s="14" t="str">
        <f t="shared" si="2"/>
        <v/>
      </c>
      <c r="E420" s="14" t="str">
        <f t="shared" si="3"/>
        <v/>
      </c>
      <c r="F420" s="7" t="str">
        <f>IF($A420&lt;&gt;"",MAXIFS(Token!$C:$C,Token!$A:$A,$D420),)</f>
        <v/>
      </c>
    </row>
    <row r="421">
      <c r="A421" s="39" t="str">
        <f>IF(AND($L421*1&gt;=$G$3,$L421*1&lt;=$G$4,$I421*$J421&gt;0,OR($I421&lt;&gt;$I422,$L421-$L422&gt;25),IF(ABS($I421)&gt;10,$I421/POW(10,$J421),$J421/POW(10,$I421))*MAXIFS(Token!$C:$C,Token!$A:$A,$K421)&gt;0.01),$L421/86400+DATE(1970,1,1)+$G$6,)</f>
        <v/>
      </c>
      <c r="B421" s="27" t="str">
        <f t="shared" si="1"/>
        <v/>
      </c>
      <c r="C421" s="14" t="str">
        <f>IF($A421&lt;&gt;"",MINIFS(Merchant!$A:$A,Merchant!$B:$B,$G$2),)</f>
        <v/>
      </c>
      <c r="D421" s="14" t="str">
        <f t="shared" si="2"/>
        <v/>
      </c>
      <c r="E421" s="14" t="str">
        <f t="shared" si="3"/>
        <v/>
      </c>
      <c r="F421" s="7" t="str">
        <f>IF($A421&lt;&gt;"",MAXIFS(Token!$C:$C,Token!$A:$A,$D421),)</f>
        <v/>
      </c>
    </row>
    <row r="422">
      <c r="A422" s="39" t="str">
        <f>IF(AND($L422*1&gt;=$G$3,$L422*1&lt;=$G$4,$I422*$J422&gt;0,OR($I422&lt;&gt;$I423,$L422-$L423&gt;25),IF(ABS($I422)&gt;10,$I422/POW(10,$J422),$J422/POW(10,$I422))*MAXIFS(Token!$C:$C,Token!$A:$A,$K422)&gt;0.01),$L422/86400+DATE(1970,1,1)+$G$6,)</f>
        <v/>
      </c>
      <c r="B422" s="27" t="str">
        <f t="shared" si="1"/>
        <v/>
      </c>
      <c r="C422" s="14" t="str">
        <f>IF($A422&lt;&gt;"",MINIFS(Merchant!$A:$A,Merchant!$B:$B,$G$2),)</f>
        <v/>
      </c>
      <c r="D422" s="14" t="str">
        <f t="shared" si="2"/>
        <v/>
      </c>
      <c r="E422" s="14" t="str">
        <f t="shared" si="3"/>
        <v/>
      </c>
      <c r="F422" s="7" t="str">
        <f>IF($A422&lt;&gt;"",MAXIFS(Token!$C:$C,Token!$A:$A,$D422),)</f>
        <v/>
      </c>
    </row>
    <row r="423">
      <c r="A423" s="39" t="str">
        <f>IF(AND($L423*1&gt;=$G$3,$L423*1&lt;=$G$4,$I423*$J423&gt;0,OR($I423&lt;&gt;$I424,$L423-$L424&gt;25),IF(ABS($I423)&gt;10,$I423/POW(10,$J423),$J423/POW(10,$I423))*MAXIFS(Token!$C:$C,Token!$A:$A,$K423)&gt;0.01),$L423/86400+DATE(1970,1,1)+$G$6,)</f>
        <v/>
      </c>
      <c r="B423" s="27" t="str">
        <f t="shared" si="1"/>
        <v/>
      </c>
      <c r="C423" s="14" t="str">
        <f>IF($A423&lt;&gt;"",MINIFS(Merchant!$A:$A,Merchant!$B:$B,$G$2),)</f>
        <v/>
      </c>
      <c r="D423" s="14" t="str">
        <f t="shared" si="2"/>
        <v/>
      </c>
      <c r="E423" s="14" t="str">
        <f t="shared" si="3"/>
        <v/>
      </c>
      <c r="F423" s="7" t="str">
        <f>IF($A423&lt;&gt;"",MAXIFS(Token!$C:$C,Token!$A:$A,$D423),)</f>
        <v/>
      </c>
    </row>
    <row r="424">
      <c r="A424" s="39" t="str">
        <f>IF(AND($L424*1&gt;=$G$3,$L424*1&lt;=$G$4,$I424*$J424&gt;0,OR($I424&lt;&gt;$I425,$L424-$L425&gt;25),IF(ABS($I424)&gt;10,$I424/POW(10,$J424),$J424/POW(10,$I424))*MAXIFS(Token!$C:$C,Token!$A:$A,$K424)&gt;0.01),$L424/86400+DATE(1970,1,1)+$G$6,)</f>
        <v/>
      </c>
      <c r="B424" s="27" t="str">
        <f t="shared" si="1"/>
        <v/>
      </c>
      <c r="C424" s="14" t="str">
        <f>IF($A424&lt;&gt;"",MINIFS(Merchant!$A:$A,Merchant!$B:$B,$G$2),)</f>
        <v/>
      </c>
      <c r="D424" s="14" t="str">
        <f t="shared" si="2"/>
        <v/>
      </c>
      <c r="E424" s="14" t="str">
        <f t="shared" si="3"/>
        <v/>
      </c>
      <c r="F424" s="7" t="str">
        <f>IF($A424&lt;&gt;"",MAXIFS(Token!$C:$C,Token!$A:$A,$D424),)</f>
        <v/>
      </c>
    </row>
    <row r="425">
      <c r="A425" s="39" t="str">
        <f>IF(AND($L425*1&gt;=$G$3,$L425*1&lt;=$G$4,$I425*$J425&gt;0,OR($I425&lt;&gt;$I426,$L425-$L426&gt;25),IF(ABS($I425)&gt;10,$I425/POW(10,$J425),$J425/POW(10,$I425))*MAXIFS(Token!$C:$C,Token!$A:$A,$K425)&gt;0.01),$L425/86400+DATE(1970,1,1)+$G$6,)</f>
        <v/>
      </c>
      <c r="B425" s="27" t="str">
        <f t="shared" si="1"/>
        <v/>
      </c>
      <c r="C425" s="14" t="str">
        <f>IF($A425&lt;&gt;"",MINIFS(Merchant!$A:$A,Merchant!$B:$B,$G$2),)</f>
        <v/>
      </c>
      <c r="D425" s="14" t="str">
        <f t="shared" si="2"/>
        <v/>
      </c>
      <c r="E425" s="14" t="str">
        <f t="shared" si="3"/>
        <v/>
      </c>
      <c r="F425" s="7" t="str">
        <f>IF($A425&lt;&gt;"",MAXIFS(Token!$C:$C,Token!$A:$A,$D425),)</f>
        <v/>
      </c>
    </row>
    <row r="426">
      <c r="A426" s="39" t="str">
        <f>IF(AND($L426*1&gt;=$G$3,$L426*1&lt;=$G$4,$I426*$J426&gt;0,OR($I426&lt;&gt;$I427,$L426-$L427&gt;25),IF(ABS($I426)&gt;10,$I426/POW(10,$J426),$J426/POW(10,$I426))*MAXIFS(Token!$C:$C,Token!$A:$A,$K426)&gt;0.01),$L426/86400+DATE(1970,1,1)+$G$6,)</f>
        <v/>
      </c>
      <c r="B426" s="27" t="str">
        <f t="shared" si="1"/>
        <v/>
      </c>
      <c r="C426" s="14" t="str">
        <f>IF($A426&lt;&gt;"",MINIFS(Merchant!$A:$A,Merchant!$B:$B,$G$2),)</f>
        <v/>
      </c>
      <c r="D426" s="14" t="str">
        <f t="shared" si="2"/>
        <v/>
      </c>
      <c r="E426" s="14" t="str">
        <f t="shared" si="3"/>
        <v/>
      </c>
      <c r="F426" s="7" t="str">
        <f>IF($A426&lt;&gt;"",MAXIFS(Token!$C:$C,Token!$A:$A,$D426),)</f>
        <v/>
      </c>
    </row>
    <row r="427">
      <c r="A427" s="39" t="str">
        <f>IF(AND($L427*1&gt;=$G$3,$L427*1&lt;=$G$4,$I427*$J427&gt;0,OR($I427&lt;&gt;$I428,$L427-$L428&gt;25),IF(ABS($I427)&gt;10,$I427/POW(10,$J427),$J427/POW(10,$I427))*MAXIFS(Token!$C:$C,Token!$A:$A,$K427)&gt;0.01),$L427/86400+DATE(1970,1,1)+$G$6,)</f>
        <v/>
      </c>
      <c r="B427" s="27" t="str">
        <f t="shared" si="1"/>
        <v/>
      </c>
      <c r="C427" s="14" t="str">
        <f>IF($A427&lt;&gt;"",MINIFS(Merchant!$A:$A,Merchant!$B:$B,$G$2),)</f>
        <v/>
      </c>
      <c r="D427" s="14" t="str">
        <f t="shared" si="2"/>
        <v/>
      </c>
      <c r="E427" s="14" t="str">
        <f t="shared" si="3"/>
        <v/>
      </c>
      <c r="F427" s="7" t="str">
        <f>IF($A427&lt;&gt;"",MAXIFS(Token!$C:$C,Token!$A:$A,$D427),)</f>
        <v/>
      </c>
    </row>
    <row r="428">
      <c r="A428" s="39" t="str">
        <f>IF(AND($L428*1&gt;=$G$3,$L428*1&lt;=$G$4,$I428*$J428&gt;0,OR($I428&lt;&gt;$I429,$L428-$L429&gt;25),IF(ABS($I428)&gt;10,$I428/POW(10,$J428),$J428/POW(10,$I428))*MAXIFS(Token!$C:$C,Token!$A:$A,$K428)&gt;0.01),$L428/86400+DATE(1970,1,1)+$G$6,)</f>
        <v/>
      </c>
      <c r="B428" s="27" t="str">
        <f t="shared" si="1"/>
        <v/>
      </c>
      <c r="C428" s="14" t="str">
        <f>IF($A428&lt;&gt;"",MINIFS(Merchant!$A:$A,Merchant!$B:$B,$G$2),)</f>
        <v/>
      </c>
      <c r="D428" s="14" t="str">
        <f t="shared" si="2"/>
        <v/>
      </c>
      <c r="E428" s="14" t="str">
        <f t="shared" si="3"/>
        <v/>
      </c>
      <c r="F428" s="7" t="str">
        <f>IF($A428&lt;&gt;"",MAXIFS(Token!$C:$C,Token!$A:$A,$D428),)</f>
        <v/>
      </c>
    </row>
    <row r="429">
      <c r="A429" s="39" t="str">
        <f>IF(AND($L429*1&gt;=$G$3,$L429*1&lt;=$G$4,$I429*$J429&gt;0,OR($I429&lt;&gt;$I430,$L429-$L430&gt;25),IF(ABS($I429)&gt;10,$I429/POW(10,$J429),$J429/POW(10,$I429))*MAXIFS(Token!$C:$C,Token!$A:$A,$K429)&gt;0.01),$L429/86400+DATE(1970,1,1)+$G$6,)</f>
        <v/>
      </c>
      <c r="B429" s="27" t="str">
        <f t="shared" si="1"/>
        <v/>
      </c>
      <c r="C429" s="14" t="str">
        <f>IF($A429&lt;&gt;"",MINIFS(Merchant!$A:$A,Merchant!$B:$B,$G$2),)</f>
        <v/>
      </c>
      <c r="D429" s="14" t="str">
        <f t="shared" si="2"/>
        <v/>
      </c>
      <c r="E429" s="14" t="str">
        <f t="shared" si="3"/>
        <v/>
      </c>
      <c r="F429" s="7" t="str">
        <f>IF($A429&lt;&gt;"",MAXIFS(Token!$C:$C,Token!$A:$A,$D429),)</f>
        <v/>
      </c>
    </row>
    <row r="430">
      <c r="A430" s="39" t="str">
        <f>IF(AND($L430*1&gt;=$G$3,$L430*1&lt;=$G$4,$I430*$J430&gt;0,OR($I430&lt;&gt;$I431,$L430-$L431&gt;25),IF(ABS($I430)&gt;10,$I430/POW(10,$J430),$J430/POW(10,$I430))*MAXIFS(Token!$C:$C,Token!$A:$A,$K430)&gt;0.01),$L430/86400+DATE(1970,1,1)+$G$6,)</f>
        <v/>
      </c>
      <c r="B430" s="27" t="str">
        <f t="shared" si="1"/>
        <v/>
      </c>
      <c r="C430" s="14" t="str">
        <f>IF($A430&lt;&gt;"",MINIFS(Merchant!$A:$A,Merchant!$B:$B,$G$2),)</f>
        <v/>
      </c>
      <c r="D430" s="14" t="str">
        <f t="shared" si="2"/>
        <v/>
      </c>
      <c r="E430" s="14" t="str">
        <f t="shared" si="3"/>
        <v/>
      </c>
      <c r="F430" s="7" t="str">
        <f>IF($A430&lt;&gt;"",MAXIFS(Token!$C:$C,Token!$A:$A,$D430),)</f>
        <v/>
      </c>
    </row>
    <row r="431">
      <c r="A431" s="39" t="str">
        <f>IF(AND($L431*1&gt;=$G$3,$L431*1&lt;=$G$4,$I431*$J431&gt;0,OR($I431&lt;&gt;$I432,$L431-$L432&gt;25),IF(ABS($I431)&gt;10,$I431/POW(10,$J431),$J431/POW(10,$I431))*MAXIFS(Token!$C:$C,Token!$A:$A,$K431)&gt;0.01),$L431/86400+DATE(1970,1,1)+$G$6,)</f>
        <v/>
      </c>
      <c r="B431" s="27" t="str">
        <f t="shared" si="1"/>
        <v/>
      </c>
      <c r="C431" s="14" t="str">
        <f>IF($A431&lt;&gt;"",MINIFS(Merchant!$A:$A,Merchant!$B:$B,$G$2),)</f>
        <v/>
      </c>
      <c r="D431" s="14" t="str">
        <f t="shared" si="2"/>
        <v/>
      </c>
      <c r="E431" s="14" t="str">
        <f t="shared" si="3"/>
        <v/>
      </c>
      <c r="F431" s="7" t="str">
        <f>IF($A431&lt;&gt;"",MAXIFS(Token!$C:$C,Token!$A:$A,$D431),)</f>
        <v/>
      </c>
    </row>
    <row r="432">
      <c r="A432" s="39" t="str">
        <f>IF(AND($L432*1&gt;=$G$3,$L432*1&lt;=$G$4,$I432*$J432&gt;0,OR($I432&lt;&gt;$I433,$L432-$L433&gt;25),IF(ABS($I432)&gt;10,$I432/POW(10,$J432),$J432/POW(10,$I432))*MAXIFS(Token!$C:$C,Token!$A:$A,$K432)&gt;0.01),$L432/86400+DATE(1970,1,1)+$G$6,)</f>
        <v/>
      </c>
      <c r="B432" s="27" t="str">
        <f t="shared" si="1"/>
        <v/>
      </c>
      <c r="C432" s="14" t="str">
        <f>IF($A432&lt;&gt;"",MINIFS(Merchant!$A:$A,Merchant!$B:$B,$G$2),)</f>
        <v/>
      </c>
      <c r="D432" s="14" t="str">
        <f t="shared" si="2"/>
        <v/>
      </c>
      <c r="E432" s="14" t="str">
        <f t="shared" si="3"/>
        <v/>
      </c>
      <c r="F432" s="7" t="str">
        <f>IF($A432&lt;&gt;"",MAXIFS(Token!$C:$C,Token!$A:$A,$D432),)</f>
        <v/>
      </c>
    </row>
    <row r="433">
      <c r="A433" s="39" t="str">
        <f>IF(AND($L433*1&gt;=$G$3,$L433*1&lt;=$G$4,$I433*$J433&gt;0,OR($I433&lt;&gt;$I434,$L433-$L434&gt;25),IF(ABS($I433)&gt;10,$I433/POW(10,$J433),$J433/POW(10,$I433))*MAXIFS(Token!$C:$C,Token!$A:$A,$K433)&gt;0.01),$L433/86400+DATE(1970,1,1)+$G$6,)</f>
        <v/>
      </c>
      <c r="B433" s="27" t="str">
        <f t="shared" si="1"/>
        <v/>
      </c>
      <c r="C433" s="14" t="str">
        <f>IF($A433&lt;&gt;"",MINIFS(Merchant!$A:$A,Merchant!$B:$B,$G$2),)</f>
        <v/>
      </c>
      <c r="D433" s="14" t="str">
        <f t="shared" si="2"/>
        <v/>
      </c>
      <c r="E433" s="14" t="str">
        <f t="shared" si="3"/>
        <v/>
      </c>
      <c r="F433" s="7" t="str">
        <f>IF($A433&lt;&gt;"",MAXIFS(Token!$C:$C,Token!$A:$A,$D433),)</f>
        <v/>
      </c>
    </row>
    <row r="434">
      <c r="A434" s="39" t="str">
        <f>IF(AND($L434*1&gt;=$G$3,$L434*1&lt;=$G$4,$I434*$J434&gt;0,OR($I434&lt;&gt;$I435,$L434-$L435&gt;25),IF(ABS($I434)&gt;10,$I434/POW(10,$J434),$J434/POW(10,$I434))*MAXIFS(Token!$C:$C,Token!$A:$A,$K434)&gt;0.01),$L434/86400+DATE(1970,1,1)+$G$6,)</f>
        <v/>
      </c>
      <c r="B434" s="27" t="str">
        <f t="shared" si="1"/>
        <v/>
      </c>
      <c r="C434" s="14" t="str">
        <f>IF($A434&lt;&gt;"",MINIFS(Merchant!$A:$A,Merchant!$B:$B,$G$2),)</f>
        <v/>
      </c>
      <c r="D434" s="14" t="str">
        <f t="shared" si="2"/>
        <v/>
      </c>
      <c r="E434" s="14" t="str">
        <f t="shared" si="3"/>
        <v/>
      </c>
      <c r="F434" s="7" t="str">
        <f>IF($A434&lt;&gt;"",MAXIFS(Token!$C:$C,Token!$A:$A,$D434),)</f>
        <v/>
      </c>
    </row>
    <row r="435">
      <c r="A435" s="39" t="str">
        <f>IF(AND($L435*1&gt;=$G$3,$L435*1&lt;=$G$4,$I435*$J435&gt;0,OR($I435&lt;&gt;$I436,$L435-$L436&gt;25),IF(ABS($I435)&gt;10,$I435/POW(10,$J435),$J435/POW(10,$I435))*MAXIFS(Token!$C:$C,Token!$A:$A,$K435)&gt;0.01),$L435/86400+DATE(1970,1,1)+$G$6,)</f>
        <v/>
      </c>
      <c r="B435" s="27" t="str">
        <f t="shared" si="1"/>
        <v/>
      </c>
      <c r="C435" s="14" t="str">
        <f>IF($A435&lt;&gt;"",MINIFS(Merchant!$A:$A,Merchant!$B:$B,$G$2),)</f>
        <v/>
      </c>
      <c r="D435" s="14" t="str">
        <f t="shared" si="2"/>
        <v/>
      </c>
      <c r="E435" s="14" t="str">
        <f t="shared" si="3"/>
        <v/>
      </c>
      <c r="F435" s="7" t="str">
        <f>IF($A435&lt;&gt;"",MAXIFS(Token!$C:$C,Token!$A:$A,$D435),)</f>
        <v/>
      </c>
    </row>
    <row r="436">
      <c r="A436" s="39" t="str">
        <f>IF(AND($L436*1&gt;=$G$3,$L436*1&lt;=$G$4,$I436*$J436&gt;0,OR($I436&lt;&gt;$I437,$L436-$L437&gt;25),IF(ABS($I436)&gt;10,$I436/POW(10,$J436),$J436/POW(10,$I436))*MAXIFS(Token!$C:$C,Token!$A:$A,$K436)&gt;0.01),$L436/86400+DATE(1970,1,1)+$G$6,)</f>
        <v/>
      </c>
      <c r="B436" s="27" t="str">
        <f t="shared" si="1"/>
        <v/>
      </c>
      <c r="C436" s="14" t="str">
        <f>IF($A436&lt;&gt;"",MINIFS(Merchant!$A:$A,Merchant!$B:$B,$G$2),)</f>
        <v/>
      </c>
      <c r="D436" s="14" t="str">
        <f t="shared" si="2"/>
        <v/>
      </c>
      <c r="E436" s="14" t="str">
        <f t="shared" si="3"/>
        <v/>
      </c>
      <c r="F436" s="7" t="str">
        <f>IF($A436&lt;&gt;"",MAXIFS(Token!$C:$C,Token!$A:$A,$D436),)</f>
        <v/>
      </c>
    </row>
    <row r="437">
      <c r="A437" s="39" t="str">
        <f>IF(AND($L437*1&gt;=$G$3,$L437*1&lt;=$G$4,$I437*$J437&gt;0,OR($I437&lt;&gt;$I438,$L437-$L438&gt;25),IF(ABS($I437)&gt;10,$I437/POW(10,$J437),$J437/POW(10,$I437))*MAXIFS(Token!$C:$C,Token!$A:$A,$K437)&gt;0.01),$L437/86400+DATE(1970,1,1)+$G$6,)</f>
        <v/>
      </c>
      <c r="B437" s="27" t="str">
        <f t="shared" si="1"/>
        <v/>
      </c>
      <c r="C437" s="14" t="str">
        <f>IF($A437&lt;&gt;"",MINIFS(Merchant!$A:$A,Merchant!$B:$B,$G$2),)</f>
        <v/>
      </c>
      <c r="D437" s="14" t="str">
        <f t="shared" si="2"/>
        <v/>
      </c>
      <c r="E437" s="14" t="str">
        <f t="shared" si="3"/>
        <v/>
      </c>
      <c r="F437" s="7" t="str">
        <f>IF($A437&lt;&gt;"",MAXIFS(Token!$C:$C,Token!$A:$A,$D437),)</f>
        <v/>
      </c>
    </row>
    <row r="438">
      <c r="A438" s="39" t="str">
        <f>IF(AND($L438*1&gt;=$G$3,$L438*1&lt;=$G$4,$I438*$J438&gt;0,OR($I438&lt;&gt;$I439,$L438-$L439&gt;25),IF(ABS($I438)&gt;10,$I438/POW(10,$J438),$J438/POW(10,$I438))*MAXIFS(Token!$C:$C,Token!$A:$A,$K438)&gt;0.01),$L438/86400+DATE(1970,1,1)+$G$6,)</f>
        <v/>
      </c>
      <c r="B438" s="27" t="str">
        <f t="shared" si="1"/>
        <v/>
      </c>
      <c r="C438" s="14" t="str">
        <f>IF($A438&lt;&gt;"",MINIFS(Merchant!$A:$A,Merchant!$B:$B,$G$2),)</f>
        <v/>
      </c>
      <c r="D438" s="14" t="str">
        <f t="shared" si="2"/>
        <v/>
      </c>
      <c r="E438" s="14" t="str">
        <f t="shared" si="3"/>
        <v/>
      </c>
      <c r="F438" s="7" t="str">
        <f>IF($A438&lt;&gt;"",MAXIFS(Token!$C:$C,Token!$A:$A,$D438),)</f>
        <v/>
      </c>
    </row>
    <row r="439">
      <c r="A439" s="39" t="str">
        <f>IF(AND($L439*1&gt;=$G$3,$L439*1&lt;=$G$4,$I439*$J439&gt;0,OR($I439&lt;&gt;$I440,$L439-$L440&gt;25),IF(ABS($I439)&gt;10,$I439/POW(10,$J439),$J439/POW(10,$I439))*MAXIFS(Token!$C:$C,Token!$A:$A,$K439)&gt;0.01),$L439/86400+DATE(1970,1,1)+$G$6,)</f>
        <v/>
      </c>
      <c r="B439" s="27" t="str">
        <f t="shared" si="1"/>
        <v/>
      </c>
      <c r="C439" s="14" t="str">
        <f>IF($A439&lt;&gt;"",MINIFS(Merchant!$A:$A,Merchant!$B:$B,$G$2),)</f>
        <v/>
      </c>
      <c r="D439" s="14" t="str">
        <f t="shared" si="2"/>
        <v/>
      </c>
      <c r="E439" s="14" t="str">
        <f t="shared" si="3"/>
        <v/>
      </c>
      <c r="F439" s="7" t="str">
        <f>IF($A439&lt;&gt;"",MAXIFS(Token!$C:$C,Token!$A:$A,$D439),)</f>
        <v/>
      </c>
    </row>
    <row r="440">
      <c r="A440" s="39" t="str">
        <f>IF(AND($L440*1&gt;=$G$3,$L440*1&lt;=$G$4,$I440*$J440&gt;0,OR($I440&lt;&gt;$I441,$L440-$L441&gt;25),IF(ABS($I440)&gt;10,$I440/POW(10,$J440),$J440/POW(10,$I440))*MAXIFS(Token!$C:$C,Token!$A:$A,$K440)&gt;0.01),$L440/86400+DATE(1970,1,1)+$G$6,)</f>
        <v/>
      </c>
      <c r="B440" s="27" t="str">
        <f t="shared" si="1"/>
        <v/>
      </c>
      <c r="C440" s="14" t="str">
        <f>IF($A440&lt;&gt;"",MINIFS(Merchant!$A:$A,Merchant!$B:$B,$G$2),)</f>
        <v/>
      </c>
      <c r="D440" s="14" t="str">
        <f t="shared" si="2"/>
        <v/>
      </c>
      <c r="E440" s="14" t="str">
        <f t="shared" si="3"/>
        <v/>
      </c>
      <c r="F440" s="7" t="str">
        <f>IF($A440&lt;&gt;"",MAXIFS(Token!$C:$C,Token!$A:$A,$D440),)</f>
        <v/>
      </c>
    </row>
    <row r="441">
      <c r="A441" s="39" t="str">
        <f>IF(AND($L441*1&gt;=$G$3,$L441*1&lt;=$G$4,$I441*$J441&gt;0,OR($I441&lt;&gt;$I442,$L441-$L442&gt;25),IF(ABS($I441)&gt;10,$I441/POW(10,$J441),$J441/POW(10,$I441))*MAXIFS(Token!$C:$C,Token!$A:$A,$K441)&gt;0.01),$L441/86400+DATE(1970,1,1)+$G$6,)</f>
        <v/>
      </c>
      <c r="B441" s="27" t="str">
        <f t="shared" si="1"/>
        <v/>
      </c>
      <c r="C441" s="14" t="str">
        <f>IF($A441&lt;&gt;"",MINIFS(Merchant!$A:$A,Merchant!$B:$B,$G$2),)</f>
        <v/>
      </c>
      <c r="D441" s="14" t="str">
        <f t="shared" si="2"/>
        <v/>
      </c>
      <c r="E441" s="14" t="str">
        <f t="shared" si="3"/>
        <v/>
      </c>
      <c r="F441" s="7" t="str">
        <f>IF($A441&lt;&gt;"",MAXIFS(Token!$C:$C,Token!$A:$A,$D441),)</f>
        <v/>
      </c>
    </row>
    <row r="442">
      <c r="A442" s="39" t="str">
        <f>IF(AND($L442*1&gt;=$G$3,$L442*1&lt;=$G$4,$I442*$J442&gt;0,OR($I442&lt;&gt;$I443,$L442-$L443&gt;25),IF(ABS($I442)&gt;10,$I442/POW(10,$J442),$J442/POW(10,$I442))*MAXIFS(Token!$C:$C,Token!$A:$A,$K442)&gt;0.01),$L442/86400+DATE(1970,1,1)+$G$6,)</f>
        <v/>
      </c>
      <c r="B442" s="27" t="str">
        <f t="shared" si="1"/>
        <v/>
      </c>
      <c r="C442" s="14" t="str">
        <f>IF($A442&lt;&gt;"",MINIFS(Merchant!$A:$A,Merchant!$B:$B,$G$2),)</f>
        <v/>
      </c>
      <c r="D442" s="14" t="str">
        <f t="shared" si="2"/>
        <v/>
      </c>
      <c r="E442" s="14" t="str">
        <f t="shared" si="3"/>
        <v/>
      </c>
      <c r="F442" s="7" t="str">
        <f>IF($A442&lt;&gt;"",MAXIFS(Token!$C:$C,Token!$A:$A,$D442),)</f>
        <v/>
      </c>
    </row>
    <row r="443">
      <c r="A443" s="39" t="str">
        <f>IF(AND($L443*1&gt;=$G$3,$L443*1&lt;=$G$4,$I443*$J443&gt;0,OR($I443&lt;&gt;$I444,$L443-$L444&gt;25),IF(ABS($I443)&gt;10,$I443/POW(10,$J443),$J443/POW(10,$I443))*MAXIFS(Token!$C:$C,Token!$A:$A,$K443)&gt;0.01),$L443/86400+DATE(1970,1,1)+$G$6,)</f>
        <v/>
      </c>
      <c r="B443" s="27" t="str">
        <f t="shared" si="1"/>
        <v/>
      </c>
      <c r="C443" s="14" t="str">
        <f>IF($A443&lt;&gt;"",MINIFS(Merchant!$A:$A,Merchant!$B:$B,$G$2),)</f>
        <v/>
      </c>
      <c r="D443" s="14" t="str">
        <f t="shared" si="2"/>
        <v/>
      </c>
      <c r="E443" s="14" t="str">
        <f t="shared" si="3"/>
        <v/>
      </c>
      <c r="F443" s="7" t="str">
        <f>IF($A443&lt;&gt;"",MAXIFS(Token!$C:$C,Token!$A:$A,$D443),)</f>
        <v/>
      </c>
    </row>
    <row r="444">
      <c r="A444" s="39" t="str">
        <f>IF(AND($L444*1&gt;=$G$3,$L444*1&lt;=$G$4,$I444*$J444&gt;0,OR($I444&lt;&gt;$I445,$L444-$L445&gt;25),IF(ABS($I444)&gt;10,$I444/POW(10,$J444),$J444/POW(10,$I444))*MAXIFS(Token!$C:$C,Token!$A:$A,$K444)&gt;0.01),$L444/86400+DATE(1970,1,1)+$G$6,)</f>
        <v/>
      </c>
      <c r="B444" s="27" t="str">
        <f t="shared" si="1"/>
        <v/>
      </c>
      <c r="C444" s="14" t="str">
        <f>IF($A444&lt;&gt;"",MINIFS(Merchant!$A:$A,Merchant!$B:$B,$G$2),)</f>
        <v/>
      </c>
      <c r="D444" s="14" t="str">
        <f t="shared" si="2"/>
        <v/>
      </c>
      <c r="E444" s="14" t="str">
        <f t="shared" si="3"/>
        <v/>
      </c>
      <c r="F444" s="7" t="str">
        <f>IF($A444&lt;&gt;"",MAXIFS(Token!$C:$C,Token!$A:$A,$D444),)</f>
        <v/>
      </c>
    </row>
    <row r="445">
      <c r="A445" s="39" t="str">
        <f>IF(AND($L445*1&gt;=$G$3,$L445*1&lt;=$G$4,$I445*$J445&gt;0,OR($I445&lt;&gt;$I446,$L445-$L446&gt;25),IF(ABS($I445)&gt;10,$I445/POW(10,$J445),$J445/POW(10,$I445))*MAXIFS(Token!$C:$C,Token!$A:$A,$K445)&gt;0.01),$L445/86400+DATE(1970,1,1)+$G$6,)</f>
        <v/>
      </c>
      <c r="B445" s="27" t="str">
        <f t="shared" si="1"/>
        <v/>
      </c>
      <c r="C445" s="14" t="str">
        <f>IF($A445&lt;&gt;"",MINIFS(Merchant!$A:$A,Merchant!$B:$B,$G$2),)</f>
        <v/>
      </c>
      <c r="D445" s="14" t="str">
        <f t="shared" si="2"/>
        <v/>
      </c>
      <c r="E445" s="14" t="str">
        <f t="shared" si="3"/>
        <v/>
      </c>
      <c r="F445" s="7" t="str">
        <f>IF($A445&lt;&gt;"",MAXIFS(Token!$C:$C,Token!$A:$A,$D445),)</f>
        <v/>
      </c>
    </row>
    <row r="446">
      <c r="A446" s="39" t="str">
        <f>IF(AND($L446*1&gt;=$G$3,$L446*1&lt;=$G$4,$I446*$J446&gt;0,OR($I446&lt;&gt;$I447,$L446-$L447&gt;25),IF(ABS($I446)&gt;10,$I446/POW(10,$J446),$J446/POW(10,$I446))*MAXIFS(Token!$C:$C,Token!$A:$A,$K446)&gt;0.01),$L446/86400+DATE(1970,1,1)+$G$6,)</f>
        <v/>
      </c>
      <c r="B446" s="27" t="str">
        <f t="shared" si="1"/>
        <v/>
      </c>
      <c r="C446" s="14" t="str">
        <f>IF($A446&lt;&gt;"",MINIFS(Merchant!$A:$A,Merchant!$B:$B,$G$2),)</f>
        <v/>
      </c>
      <c r="D446" s="14" t="str">
        <f t="shared" si="2"/>
        <v/>
      </c>
      <c r="E446" s="14" t="str">
        <f t="shared" si="3"/>
        <v/>
      </c>
      <c r="F446" s="7" t="str">
        <f>IF($A446&lt;&gt;"",MAXIFS(Token!$C:$C,Token!$A:$A,$D446),)</f>
        <v/>
      </c>
    </row>
    <row r="447">
      <c r="A447" s="39" t="str">
        <f>IF(AND($L447*1&gt;=$G$3,$L447*1&lt;=$G$4,$I447*$J447&gt;0,OR($I447&lt;&gt;$I448,$L447-$L448&gt;25),IF(ABS($I447)&gt;10,$I447/POW(10,$J447),$J447/POW(10,$I447))*MAXIFS(Token!$C:$C,Token!$A:$A,$K447)&gt;0.01),$L447/86400+DATE(1970,1,1)+$G$6,)</f>
        <v/>
      </c>
      <c r="B447" s="27" t="str">
        <f t="shared" si="1"/>
        <v/>
      </c>
      <c r="C447" s="14" t="str">
        <f>IF($A447&lt;&gt;"",MINIFS(Merchant!$A:$A,Merchant!$B:$B,$G$2),)</f>
        <v/>
      </c>
      <c r="D447" s="14" t="str">
        <f t="shared" si="2"/>
        <v/>
      </c>
      <c r="E447" s="14" t="str">
        <f t="shared" si="3"/>
        <v/>
      </c>
      <c r="F447" s="7" t="str">
        <f>IF($A447&lt;&gt;"",MAXIFS(Token!$C:$C,Token!$A:$A,$D447),)</f>
        <v/>
      </c>
    </row>
    <row r="448">
      <c r="A448" s="39" t="str">
        <f>IF(AND($L448*1&gt;=$G$3,$L448*1&lt;=$G$4,$I448*$J448&gt;0,OR($I448&lt;&gt;$I449,$L448-$L449&gt;25),IF(ABS($I448)&gt;10,$I448/POW(10,$J448),$J448/POW(10,$I448))*MAXIFS(Token!$C:$C,Token!$A:$A,$K448)&gt;0.01),$L448/86400+DATE(1970,1,1)+$G$6,)</f>
        <v/>
      </c>
      <c r="B448" s="27" t="str">
        <f t="shared" si="1"/>
        <v/>
      </c>
      <c r="C448" s="14" t="str">
        <f>IF($A448&lt;&gt;"",MINIFS(Merchant!$A:$A,Merchant!$B:$B,$G$2),)</f>
        <v/>
      </c>
      <c r="D448" s="14" t="str">
        <f t="shared" si="2"/>
        <v/>
      </c>
      <c r="E448" s="14" t="str">
        <f t="shared" si="3"/>
        <v/>
      </c>
      <c r="F448" s="7" t="str">
        <f>IF($A448&lt;&gt;"",MAXIFS(Token!$C:$C,Token!$A:$A,$D448),)</f>
        <v/>
      </c>
    </row>
    <row r="449">
      <c r="A449" s="39" t="str">
        <f>IF(AND($L449*1&gt;=$G$3,$L449*1&lt;=$G$4,$I449*$J449&gt;0,OR($I449&lt;&gt;$I450,$L449-$L450&gt;25),IF(ABS($I449)&gt;10,$I449/POW(10,$J449),$J449/POW(10,$I449))*MAXIFS(Token!$C:$C,Token!$A:$A,$K449)&gt;0.01),$L449/86400+DATE(1970,1,1)+$G$6,)</f>
        <v/>
      </c>
      <c r="B449" s="27" t="str">
        <f t="shared" si="1"/>
        <v/>
      </c>
      <c r="C449" s="14" t="str">
        <f>IF($A449&lt;&gt;"",MINIFS(Merchant!$A:$A,Merchant!$B:$B,$G$2),)</f>
        <v/>
      </c>
      <c r="D449" s="14" t="str">
        <f t="shared" si="2"/>
        <v/>
      </c>
      <c r="E449" s="14" t="str">
        <f t="shared" si="3"/>
        <v/>
      </c>
      <c r="F449" s="7" t="str">
        <f>IF($A449&lt;&gt;"",MAXIFS(Token!$C:$C,Token!$A:$A,$D449),)</f>
        <v/>
      </c>
    </row>
    <row r="450">
      <c r="A450" s="39" t="str">
        <f>IF(AND($L450*1&gt;=$G$3,$L450*1&lt;=$G$4,$I450*$J450&gt;0,OR($I450&lt;&gt;$I451,$L450-$L451&gt;25),IF(ABS($I450)&gt;10,$I450/POW(10,$J450),$J450/POW(10,$I450))*MAXIFS(Token!$C:$C,Token!$A:$A,$K450)&gt;0.01),$L450/86400+DATE(1970,1,1)+$G$6,)</f>
        <v/>
      </c>
      <c r="B450" s="27" t="str">
        <f t="shared" si="1"/>
        <v/>
      </c>
      <c r="C450" s="14" t="str">
        <f>IF($A450&lt;&gt;"",MINIFS(Merchant!$A:$A,Merchant!$B:$B,$G$2),)</f>
        <v/>
      </c>
      <c r="D450" s="14" t="str">
        <f t="shared" si="2"/>
        <v/>
      </c>
      <c r="E450" s="14" t="str">
        <f t="shared" si="3"/>
        <v/>
      </c>
      <c r="F450" s="7" t="str">
        <f>IF($A450&lt;&gt;"",MAXIFS(Token!$C:$C,Token!$A:$A,$D450),)</f>
        <v/>
      </c>
    </row>
    <row r="451">
      <c r="A451" s="39" t="str">
        <f>IF(AND($L451*1&gt;=$G$3,$L451*1&lt;=$G$4,$I451*$J451&gt;0,OR($I451&lt;&gt;$I452,$L451-$L452&gt;25),IF(ABS($I451)&gt;10,$I451/POW(10,$J451),$J451/POW(10,$I451))*MAXIFS(Token!$C:$C,Token!$A:$A,$K451)&gt;0.01),$L451/86400+DATE(1970,1,1)+$G$6,)</f>
        <v/>
      </c>
      <c r="B451" s="27" t="str">
        <f t="shared" si="1"/>
        <v/>
      </c>
      <c r="C451" s="14" t="str">
        <f>IF($A451&lt;&gt;"",MINIFS(Merchant!$A:$A,Merchant!$B:$B,$G$2),)</f>
        <v/>
      </c>
      <c r="D451" s="14" t="str">
        <f t="shared" si="2"/>
        <v/>
      </c>
      <c r="E451" s="14" t="str">
        <f t="shared" si="3"/>
        <v/>
      </c>
      <c r="F451" s="7" t="str">
        <f>IF($A451&lt;&gt;"",MAXIFS(Token!$C:$C,Token!$A:$A,$D451),)</f>
        <v/>
      </c>
    </row>
    <row r="452">
      <c r="A452" s="39" t="str">
        <f>IF(AND($L452*1&gt;=$G$3,$L452*1&lt;=$G$4,$I452*$J452&gt;0,OR($I452&lt;&gt;$I453,$L452-$L453&gt;25),IF(ABS($I452)&gt;10,$I452/POW(10,$J452),$J452/POW(10,$I452))*MAXIFS(Token!$C:$C,Token!$A:$A,$K452)&gt;0.01),$L452/86400+DATE(1970,1,1)+$G$6,)</f>
        <v/>
      </c>
      <c r="B452" s="27" t="str">
        <f t="shared" si="1"/>
        <v/>
      </c>
      <c r="C452" s="14" t="str">
        <f>IF($A452&lt;&gt;"",MINIFS(Merchant!$A:$A,Merchant!$B:$B,$G$2),)</f>
        <v/>
      </c>
      <c r="D452" s="14" t="str">
        <f t="shared" si="2"/>
        <v/>
      </c>
      <c r="E452" s="14" t="str">
        <f t="shared" si="3"/>
        <v/>
      </c>
      <c r="F452" s="7" t="str">
        <f>IF($A452&lt;&gt;"",MAXIFS(Token!$C:$C,Token!$A:$A,$D452),)</f>
        <v/>
      </c>
    </row>
    <row r="453">
      <c r="A453" s="39" t="str">
        <f>IF(AND($L453*1&gt;=$G$3,$L453*1&lt;=$G$4,$I453*$J453&gt;0,OR($I453&lt;&gt;$I454,$L453-$L454&gt;25),IF(ABS($I453)&gt;10,$I453/POW(10,$J453),$J453/POW(10,$I453))*MAXIFS(Token!$C:$C,Token!$A:$A,$K453)&gt;0.01),$L453/86400+DATE(1970,1,1)+$G$6,)</f>
        <v/>
      </c>
      <c r="B453" s="27" t="str">
        <f t="shared" si="1"/>
        <v/>
      </c>
      <c r="C453" s="14" t="str">
        <f>IF($A453&lt;&gt;"",MINIFS(Merchant!$A:$A,Merchant!$B:$B,$G$2),)</f>
        <v/>
      </c>
      <c r="D453" s="14" t="str">
        <f t="shared" si="2"/>
        <v/>
      </c>
      <c r="E453" s="14" t="str">
        <f t="shared" si="3"/>
        <v/>
      </c>
      <c r="F453" s="7" t="str">
        <f>IF($A453&lt;&gt;"",MAXIFS(Token!$C:$C,Token!$A:$A,$D453),)</f>
        <v/>
      </c>
    </row>
    <row r="454">
      <c r="A454" s="39" t="str">
        <f>IF(AND($L454*1&gt;=$G$3,$L454*1&lt;=$G$4,$I454*$J454&gt;0,OR($I454&lt;&gt;$I455,$L454-$L455&gt;25),IF(ABS($I454)&gt;10,$I454/POW(10,$J454),$J454/POW(10,$I454))*MAXIFS(Token!$C:$C,Token!$A:$A,$K454)&gt;0.01),$L454/86400+DATE(1970,1,1)+$G$6,)</f>
        <v/>
      </c>
      <c r="B454" s="27" t="str">
        <f t="shared" si="1"/>
        <v/>
      </c>
      <c r="C454" s="14" t="str">
        <f>IF($A454&lt;&gt;"",MINIFS(Merchant!$A:$A,Merchant!$B:$B,$G$2),)</f>
        <v/>
      </c>
      <c r="D454" s="14" t="str">
        <f t="shared" si="2"/>
        <v/>
      </c>
      <c r="E454" s="14" t="str">
        <f t="shared" si="3"/>
        <v/>
      </c>
      <c r="F454" s="7" t="str">
        <f>IF($A454&lt;&gt;"",MAXIFS(Token!$C:$C,Token!$A:$A,$D454),)</f>
        <v/>
      </c>
    </row>
    <row r="455">
      <c r="A455" s="39" t="str">
        <f>IF(AND($L455*1&gt;=$G$3,$L455*1&lt;=$G$4,$I455*$J455&gt;0,OR($I455&lt;&gt;$I456,$L455-$L456&gt;25),IF(ABS($I455)&gt;10,$I455/POW(10,$J455),$J455/POW(10,$I455))*MAXIFS(Token!$C:$C,Token!$A:$A,$K455)&gt;0.01),$L455/86400+DATE(1970,1,1)+$G$6,)</f>
        <v/>
      </c>
      <c r="B455" s="27" t="str">
        <f t="shared" si="1"/>
        <v/>
      </c>
      <c r="C455" s="14" t="str">
        <f>IF($A455&lt;&gt;"",MINIFS(Merchant!$A:$A,Merchant!$B:$B,$G$2),)</f>
        <v/>
      </c>
      <c r="D455" s="14" t="str">
        <f t="shared" si="2"/>
        <v/>
      </c>
      <c r="E455" s="14" t="str">
        <f t="shared" si="3"/>
        <v/>
      </c>
      <c r="F455" s="7" t="str">
        <f>IF($A455&lt;&gt;"",MAXIFS(Token!$C:$C,Token!$A:$A,$D455),)</f>
        <v/>
      </c>
    </row>
    <row r="456">
      <c r="A456" s="39" t="str">
        <f>IF(AND($L456*1&gt;=$G$3,$L456*1&lt;=$G$4,$I456*$J456&gt;0,OR($I456&lt;&gt;$I457,$L456-$L457&gt;25),IF(ABS($I456)&gt;10,$I456/POW(10,$J456),$J456/POW(10,$I456))*MAXIFS(Token!$C:$C,Token!$A:$A,$K456)&gt;0.01),$L456/86400+DATE(1970,1,1)+$G$6,)</f>
        <v/>
      </c>
      <c r="B456" s="27" t="str">
        <f t="shared" si="1"/>
        <v/>
      </c>
      <c r="C456" s="14" t="str">
        <f>IF($A456&lt;&gt;"",MINIFS(Merchant!$A:$A,Merchant!$B:$B,$G$2),)</f>
        <v/>
      </c>
      <c r="D456" s="14" t="str">
        <f t="shared" si="2"/>
        <v/>
      </c>
      <c r="E456" s="14" t="str">
        <f t="shared" si="3"/>
        <v/>
      </c>
      <c r="F456" s="7" t="str">
        <f>IF($A456&lt;&gt;"",MAXIFS(Token!$C:$C,Token!$A:$A,$D456),)</f>
        <v/>
      </c>
    </row>
    <row r="457">
      <c r="A457" s="39" t="str">
        <f>IF(AND($L457*1&gt;=$G$3,$L457*1&lt;=$G$4,$I457*$J457&gt;0,OR($I457&lt;&gt;$I458,$L457-$L458&gt;25),IF(ABS($I457)&gt;10,$I457/POW(10,$J457),$J457/POW(10,$I457))*MAXIFS(Token!$C:$C,Token!$A:$A,$K457)&gt;0.01),$L457/86400+DATE(1970,1,1)+$G$6,)</f>
        <v/>
      </c>
      <c r="B457" s="27" t="str">
        <f t="shared" si="1"/>
        <v/>
      </c>
      <c r="C457" s="14" t="str">
        <f>IF($A457&lt;&gt;"",MINIFS(Merchant!$A:$A,Merchant!$B:$B,$G$2),)</f>
        <v/>
      </c>
      <c r="D457" s="14" t="str">
        <f t="shared" si="2"/>
        <v/>
      </c>
      <c r="E457" s="14" t="str">
        <f t="shared" si="3"/>
        <v/>
      </c>
      <c r="F457" s="7" t="str">
        <f>IF($A457&lt;&gt;"",MAXIFS(Token!$C:$C,Token!$A:$A,$D457),)</f>
        <v/>
      </c>
    </row>
    <row r="458">
      <c r="A458" s="39" t="str">
        <f>IF(AND($L458*1&gt;=$G$3,$L458*1&lt;=$G$4,$I458*$J458&gt;0,OR($I458&lt;&gt;$I459,$L458-$L459&gt;25),IF(ABS($I458)&gt;10,$I458/POW(10,$J458),$J458/POW(10,$I458))*MAXIFS(Token!$C:$C,Token!$A:$A,$K458)&gt;0.01),$L458/86400+DATE(1970,1,1)+$G$6,)</f>
        <v/>
      </c>
      <c r="B458" s="27" t="str">
        <f t="shared" si="1"/>
        <v/>
      </c>
      <c r="C458" s="14" t="str">
        <f>IF($A458&lt;&gt;"",MINIFS(Merchant!$A:$A,Merchant!$B:$B,$G$2),)</f>
        <v/>
      </c>
      <c r="D458" s="14" t="str">
        <f t="shared" si="2"/>
        <v/>
      </c>
      <c r="E458" s="14" t="str">
        <f t="shared" si="3"/>
        <v/>
      </c>
      <c r="F458" s="7" t="str">
        <f>IF($A458&lt;&gt;"",MAXIFS(Token!$C:$C,Token!$A:$A,$D458),)</f>
        <v/>
      </c>
    </row>
    <row r="459">
      <c r="A459" s="39" t="str">
        <f>IF(AND($L459*1&gt;=$G$3,$L459*1&lt;=$G$4,$I459*$J459&gt;0,OR($I459&lt;&gt;$I460,$L459-$L460&gt;25),IF(ABS($I459)&gt;10,$I459/POW(10,$J459),$J459/POW(10,$I459))*MAXIFS(Token!$C:$C,Token!$A:$A,$K459)&gt;0.01),$L459/86400+DATE(1970,1,1)+$G$6,)</f>
        <v/>
      </c>
      <c r="B459" s="27" t="str">
        <f t="shared" si="1"/>
        <v/>
      </c>
      <c r="C459" s="14" t="str">
        <f>IF($A459&lt;&gt;"",MINIFS(Merchant!$A:$A,Merchant!$B:$B,$G$2),)</f>
        <v/>
      </c>
      <c r="D459" s="14" t="str">
        <f t="shared" si="2"/>
        <v/>
      </c>
      <c r="E459" s="14" t="str">
        <f t="shared" si="3"/>
        <v/>
      </c>
      <c r="F459" s="7" t="str">
        <f>IF($A459&lt;&gt;"",MAXIFS(Token!$C:$C,Token!$A:$A,$D459),)</f>
        <v/>
      </c>
    </row>
    <row r="460">
      <c r="A460" s="39" t="str">
        <f>IF(AND($L460*1&gt;=$G$3,$L460*1&lt;=$G$4,$I460*$J460&gt;0,OR($I460&lt;&gt;$I461,$L460-$L461&gt;25),IF(ABS($I460)&gt;10,$I460/POW(10,$J460),$J460/POW(10,$I460))*MAXIFS(Token!$C:$C,Token!$A:$A,$K460)&gt;0.01),$L460/86400+DATE(1970,1,1)+$G$6,)</f>
        <v/>
      </c>
      <c r="B460" s="27" t="str">
        <f t="shared" si="1"/>
        <v/>
      </c>
      <c r="C460" s="14" t="str">
        <f>IF($A460&lt;&gt;"",MINIFS(Merchant!$A:$A,Merchant!$B:$B,$G$2),)</f>
        <v/>
      </c>
      <c r="D460" s="14" t="str">
        <f t="shared" si="2"/>
        <v/>
      </c>
      <c r="E460" s="14" t="str">
        <f t="shared" si="3"/>
        <v/>
      </c>
      <c r="F460" s="7" t="str">
        <f>IF($A460&lt;&gt;"",MAXIFS(Token!$C:$C,Token!$A:$A,$D460),)</f>
        <v/>
      </c>
    </row>
    <row r="461">
      <c r="A461" s="39" t="str">
        <f>IF(AND($L461*1&gt;=$G$3,$L461*1&lt;=$G$4,$I461*$J461&gt;0,OR($I461&lt;&gt;$I462,$L461-$L462&gt;25),IF(ABS($I461)&gt;10,$I461/POW(10,$J461),$J461/POW(10,$I461))*MAXIFS(Token!$C:$C,Token!$A:$A,$K461)&gt;0.01),$L461/86400+DATE(1970,1,1)+$G$6,)</f>
        <v/>
      </c>
      <c r="B461" s="27" t="str">
        <f t="shared" si="1"/>
        <v/>
      </c>
      <c r="C461" s="14" t="str">
        <f>IF($A461&lt;&gt;"",MINIFS(Merchant!$A:$A,Merchant!$B:$B,$G$2),)</f>
        <v/>
      </c>
      <c r="D461" s="14" t="str">
        <f t="shared" si="2"/>
        <v/>
      </c>
      <c r="E461" s="14" t="str">
        <f t="shared" si="3"/>
        <v/>
      </c>
      <c r="F461" s="7" t="str">
        <f>IF($A461&lt;&gt;"",MAXIFS(Token!$C:$C,Token!$A:$A,$D461),)</f>
        <v/>
      </c>
    </row>
    <row r="462">
      <c r="A462" s="39" t="str">
        <f>IF(AND($L462*1&gt;=$G$3,$L462*1&lt;=$G$4,$I462*$J462&gt;0,OR($I462&lt;&gt;$I463,$L462-$L463&gt;25),IF(ABS($I462)&gt;10,$I462/POW(10,$J462),$J462/POW(10,$I462))*MAXIFS(Token!$C:$C,Token!$A:$A,$K462)&gt;0.01),$L462/86400+DATE(1970,1,1)+$G$6,)</f>
        <v/>
      </c>
      <c r="B462" s="27" t="str">
        <f t="shared" si="1"/>
        <v/>
      </c>
      <c r="C462" s="14" t="str">
        <f>IF($A462&lt;&gt;"",MINIFS(Merchant!$A:$A,Merchant!$B:$B,$G$2),)</f>
        <v/>
      </c>
      <c r="D462" s="14" t="str">
        <f t="shared" si="2"/>
        <v/>
      </c>
      <c r="E462" s="14" t="str">
        <f t="shared" si="3"/>
        <v/>
      </c>
      <c r="F462" s="7" t="str">
        <f>IF($A462&lt;&gt;"",MAXIFS(Token!$C:$C,Token!$A:$A,$D462),)</f>
        <v/>
      </c>
    </row>
    <row r="463">
      <c r="A463" s="39" t="str">
        <f>IF(AND($L463*1&gt;=$G$3,$L463*1&lt;=$G$4,$I463*$J463&gt;0,OR($I463&lt;&gt;$I464,$L463-$L464&gt;25),IF(ABS($I463)&gt;10,$I463/POW(10,$J463),$J463/POW(10,$I463))*MAXIFS(Token!$C:$C,Token!$A:$A,$K463)&gt;0.01),$L463/86400+DATE(1970,1,1)+$G$6,)</f>
        <v/>
      </c>
      <c r="B463" s="27" t="str">
        <f t="shared" si="1"/>
        <v/>
      </c>
      <c r="C463" s="14" t="str">
        <f>IF($A463&lt;&gt;"",MINIFS(Merchant!$A:$A,Merchant!$B:$B,$G$2),)</f>
        <v/>
      </c>
      <c r="D463" s="14" t="str">
        <f t="shared" si="2"/>
        <v/>
      </c>
      <c r="E463" s="14" t="str">
        <f t="shared" si="3"/>
        <v/>
      </c>
      <c r="F463" s="7" t="str">
        <f>IF($A463&lt;&gt;"",MAXIFS(Token!$C:$C,Token!$A:$A,$D463),)</f>
        <v/>
      </c>
    </row>
    <row r="464">
      <c r="A464" s="39" t="str">
        <f>IF(AND($L464*1&gt;=$G$3,$L464*1&lt;=$G$4,$I464*$J464&gt;0,OR($I464&lt;&gt;$I465,$L464-$L465&gt;25),IF(ABS($I464)&gt;10,$I464/POW(10,$J464),$J464/POW(10,$I464))*MAXIFS(Token!$C:$C,Token!$A:$A,$K464)&gt;0.01),$L464/86400+DATE(1970,1,1)+$G$6,)</f>
        <v/>
      </c>
      <c r="B464" s="27" t="str">
        <f t="shared" si="1"/>
        <v/>
      </c>
      <c r="C464" s="14" t="str">
        <f>IF($A464&lt;&gt;"",MINIFS(Merchant!$A:$A,Merchant!$B:$B,$G$2),)</f>
        <v/>
      </c>
      <c r="D464" s="14" t="str">
        <f t="shared" si="2"/>
        <v/>
      </c>
      <c r="E464" s="14" t="str">
        <f t="shared" si="3"/>
        <v/>
      </c>
      <c r="F464" s="7" t="str">
        <f>IF($A464&lt;&gt;"",MAXIFS(Token!$C:$C,Token!$A:$A,$D464),)</f>
        <v/>
      </c>
    </row>
    <row r="465">
      <c r="A465" s="39" t="str">
        <f>IF(AND($L465*1&gt;=$G$3,$L465*1&lt;=$G$4,$I465*$J465&gt;0,OR($I465&lt;&gt;$I466,$L465-$L466&gt;25),IF(ABS($I465)&gt;10,$I465/POW(10,$J465),$J465/POW(10,$I465))*MAXIFS(Token!$C:$C,Token!$A:$A,$K465)&gt;0.01),$L465/86400+DATE(1970,1,1)+$G$6,)</f>
        <v/>
      </c>
      <c r="B465" s="27" t="str">
        <f t="shared" si="1"/>
        <v/>
      </c>
      <c r="C465" s="14" t="str">
        <f>IF($A465&lt;&gt;"",MINIFS(Merchant!$A:$A,Merchant!$B:$B,$G$2),)</f>
        <v/>
      </c>
      <c r="D465" s="14" t="str">
        <f t="shared" si="2"/>
        <v/>
      </c>
      <c r="E465" s="14" t="str">
        <f t="shared" si="3"/>
        <v/>
      </c>
      <c r="F465" s="7" t="str">
        <f>IF($A465&lt;&gt;"",MAXIFS(Token!$C:$C,Token!$A:$A,$D465),)</f>
        <v/>
      </c>
    </row>
    <row r="466">
      <c r="A466" s="39" t="str">
        <f>IF(AND($L466*1&gt;=$G$3,$L466*1&lt;=$G$4,$I466*$J466&gt;0,OR($I466&lt;&gt;$I467,$L466-$L467&gt;25),IF(ABS($I466)&gt;10,$I466/POW(10,$J466),$J466/POW(10,$I466))*MAXIFS(Token!$C:$C,Token!$A:$A,$K466)&gt;0.01),$L466/86400+DATE(1970,1,1)+$G$6,)</f>
        <v/>
      </c>
      <c r="B466" s="27" t="str">
        <f t="shared" si="1"/>
        <v/>
      </c>
      <c r="C466" s="14" t="str">
        <f>IF($A466&lt;&gt;"",MINIFS(Merchant!$A:$A,Merchant!$B:$B,$G$2),)</f>
        <v/>
      </c>
      <c r="D466" s="14" t="str">
        <f t="shared" si="2"/>
        <v/>
      </c>
      <c r="E466" s="14" t="str">
        <f t="shared" si="3"/>
        <v/>
      </c>
      <c r="F466" s="7" t="str">
        <f>IF($A466&lt;&gt;"",MAXIFS(Token!$C:$C,Token!$A:$A,$D466),)</f>
        <v/>
      </c>
    </row>
    <row r="467">
      <c r="A467" s="39" t="str">
        <f>IF(AND($L467*1&gt;=$G$3,$L467*1&lt;=$G$4,$I467*$J467&gt;0,OR($I467&lt;&gt;$I468,$L467-$L468&gt;25),IF(ABS($I467)&gt;10,$I467/POW(10,$J467),$J467/POW(10,$I467))*MAXIFS(Token!$C:$C,Token!$A:$A,$K467)&gt;0.01),$L467/86400+DATE(1970,1,1)+$G$6,)</f>
        <v/>
      </c>
      <c r="B467" s="27" t="str">
        <f t="shared" si="1"/>
        <v/>
      </c>
      <c r="C467" s="14" t="str">
        <f>IF($A467&lt;&gt;"",MINIFS(Merchant!$A:$A,Merchant!$B:$B,$G$2),)</f>
        <v/>
      </c>
      <c r="D467" s="14" t="str">
        <f t="shared" si="2"/>
        <v/>
      </c>
      <c r="E467" s="14" t="str">
        <f t="shared" si="3"/>
        <v/>
      </c>
      <c r="F467" s="7" t="str">
        <f>IF($A467&lt;&gt;"",MAXIFS(Token!$C:$C,Token!$A:$A,$D467),)</f>
        <v/>
      </c>
    </row>
    <row r="468">
      <c r="A468" s="39" t="str">
        <f>IF(AND($L468*1&gt;=$G$3,$L468*1&lt;=$G$4,$I468*$J468&gt;0,OR($I468&lt;&gt;$I469,$L468-$L469&gt;25),IF(ABS($I468)&gt;10,$I468/POW(10,$J468),$J468/POW(10,$I468))*MAXIFS(Token!$C:$C,Token!$A:$A,$K468)&gt;0.01),$L468/86400+DATE(1970,1,1)+$G$6,)</f>
        <v/>
      </c>
      <c r="B468" s="27" t="str">
        <f t="shared" si="1"/>
        <v/>
      </c>
      <c r="C468" s="14" t="str">
        <f>IF($A468&lt;&gt;"",MINIFS(Merchant!$A:$A,Merchant!$B:$B,$G$2),)</f>
        <v/>
      </c>
      <c r="D468" s="14" t="str">
        <f t="shared" si="2"/>
        <v/>
      </c>
      <c r="E468" s="14" t="str">
        <f t="shared" si="3"/>
        <v/>
      </c>
      <c r="F468" s="7" t="str">
        <f>IF($A468&lt;&gt;"",MAXIFS(Token!$C:$C,Token!$A:$A,$D468),)</f>
        <v/>
      </c>
    </row>
    <row r="469">
      <c r="A469" s="39" t="str">
        <f>IF(AND($L469*1&gt;=$G$3,$L469*1&lt;=$G$4,$I469*$J469&gt;0,OR($I469&lt;&gt;$I470,$L469-$L470&gt;25),IF(ABS($I469)&gt;10,$I469/POW(10,$J469),$J469/POW(10,$I469))*MAXIFS(Token!$C:$C,Token!$A:$A,$K469)&gt;0.01),$L469/86400+DATE(1970,1,1)+$G$6,)</f>
        <v/>
      </c>
      <c r="B469" s="27" t="str">
        <f t="shared" si="1"/>
        <v/>
      </c>
      <c r="C469" s="14" t="str">
        <f>IF($A469&lt;&gt;"",MINIFS(Merchant!$A:$A,Merchant!$B:$B,$G$2),)</f>
        <v/>
      </c>
      <c r="D469" s="14" t="str">
        <f t="shared" si="2"/>
        <v/>
      </c>
      <c r="E469" s="14" t="str">
        <f t="shared" si="3"/>
        <v/>
      </c>
      <c r="F469" s="7" t="str">
        <f>IF($A469&lt;&gt;"",MAXIFS(Token!$C:$C,Token!$A:$A,$D469),)</f>
        <v/>
      </c>
    </row>
    <row r="470">
      <c r="A470" s="39" t="str">
        <f>IF(AND($L470*1&gt;=$G$3,$L470*1&lt;=$G$4,$I470*$J470&gt;0,OR($I470&lt;&gt;$I471,$L470-$L471&gt;25),IF(ABS($I470)&gt;10,$I470/POW(10,$J470),$J470/POW(10,$I470))*MAXIFS(Token!$C:$C,Token!$A:$A,$K470)&gt;0.01),$L470/86400+DATE(1970,1,1)+$G$6,)</f>
        <v/>
      </c>
      <c r="B470" s="27" t="str">
        <f t="shared" si="1"/>
        <v/>
      </c>
      <c r="C470" s="14" t="str">
        <f>IF($A470&lt;&gt;"",MINIFS(Merchant!$A:$A,Merchant!$B:$B,$G$2),)</f>
        <v/>
      </c>
      <c r="D470" s="14" t="str">
        <f t="shared" si="2"/>
        <v/>
      </c>
      <c r="E470" s="14" t="str">
        <f t="shared" si="3"/>
        <v/>
      </c>
      <c r="F470" s="7" t="str">
        <f>IF($A470&lt;&gt;"",MAXIFS(Token!$C:$C,Token!$A:$A,$D470),)</f>
        <v/>
      </c>
    </row>
    <row r="471">
      <c r="A471" s="39" t="str">
        <f>IF(AND($L471*1&gt;=$G$3,$L471*1&lt;=$G$4,$I471*$J471&gt;0,OR($I471&lt;&gt;$I472,$L471-$L472&gt;25),IF(ABS($I471)&gt;10,$I471/POW(10,$J471),$J471/POW(10,$I471))*MAXIFS(Token!$C:$C,Token!$A:$A,$K471)&gt;0.01),$L471/86400+DATE(1970,1,1)+$G$6,)</f>
        <v/>
      </c>
      <c r="B471" s="27" t="str">
        <f t="shared" si="1"/>
        <v/>
      </c>
      <c r="C471" s="14" t="str">
        <f>IF($A471&lt;&gt;"",MINIFS(Merchant!$A:$A,Merchant!$B:$B,$G$2),)</f>
        <v/>
      </c>
      <c r="D471" s="14" t="str">
        <f t="shared" si="2"/>
        <v/>
      </c>
      <c r="E471" s="14" t="str">
        <f t="shared" si="3"/>
        <v/>
      </c>
      <c r="F471" s="7" t="str">
        <f>IF($A471&lt;&gt;"",MAXIFS(Token!$C:$C,Token!$A:$A,$D471),)</f>
        <v/>
      </c>
    </row>
    <row r="472">
      <c r="A472" s="39" t="str">
        <f>IF(AND($L472*1&gt;=$G$3,$L472*1&lt;=$G$4,$I472*$J472&gt;0,OR($I472&lt;&gt;$I473,$L472-$L473&gt;25),IF(ABS($I472)&gt;10,$I472/POW(10,$J472),$J472/POW(10,$I472))*MAXIFS(Token!$C:$C,Token!$A:$A,$K472)&gt;0.01),$L472/86400+DATE(1970,1,1)+$G$6,)</f>
        <v/>
      </c>
      <c r="B472" s="27" t="str">
        <f t="shared" si="1"/>
        <v/>
      </c>
      <c r="C472" s="14" t="str">
        <f>IF($A472&lt;&gt;"",MINIFS(Merchant!$A:$A,Merchant!$B:$B,$G$2),)</f>
        <v/>
      </c>
      <c r="D472" s="14" t="str">
        <f t="shared" si="2"/>
        <v/>
      </c>
      <c r="E472" s="14" t="str">
        <f t="shared" si="3"/>
        <v/>
      </c>
      <c r="F472" s="7" t="str">
        <f>IF($A472&lt;&gt;"",MAXIFS(Token!$C:$C,Token!$A:$A,$D472),)</f>
        <v/>
      </c>
    </row>
    <row r="473">
      <c r="A473" s="39" t="str">
        <f>IF(AND($L473*1&gt;=$G$3,$L473*1&lt;=$G$4,$I473*$J473&gt;0,OR($I473&lt;&gt;$I474,$L473-$L474&gt;25),IF(ABS($I473)&gt;10,$I473/POW(10,$J473),$J473/POW(10,$I473))*MAXIFS(Token!$C:$C,Token!$A:$A,$K473)&gt;0.01),$L473/86400+DATE(1970,1,1)+$G$6,)</f>
        <v/>
      </c>
      <c r="B473" s="27" t="str">
        <f t="shared" si="1"/>
        <v/>
      </c>
      <c r="C473" s="14" t="str">
        <f>IF($A473&lt;&gt;"",MINIFS(Merchant!$A:$A,Merchant!$B:$B,$G$2),)</f>
        <v/>
      </c>
      <c r="D473" s="14" t="str">
        <f t="shared" si="2"/>
        <v/>
      </c>
      <c r="E473" s="14" t="str">
        <f t="shared" si="3"/>
        <v/>
      </c>
      <c r="F473" s="7" t="str">
        <f>IF($A473&lt;&gt;"",MAXIFS(Token!$C:$C,Token!$A:$A,$D473),)</f>
        <v/>
      </c>
    </row>
    <row r="474">
      <c r="A474" s="39" t="str">
        <f>IF(AND($L474*1&gt;=$G$3,$L474*1&lt;=$G$4,$I474*$J474&gt;0,OR($I474&lt;&gt;$I475,$L474-$L475&gt;25),IF(ABS($I474)&gt;10,$I474/POW(10,$J474),$J474/POW(10,$I474))*MAXIFS(Token!$C:$C,Token!$A:$A,$K474)&gt;0.01),$L474/86400+DATE(1970,1,1)+$G$6,)</f>
        <v/>
      </c>
      <c r="B474" s="27" t="str">
        <f t="shared" si="1"/>
        <v/>
      </c>
      <c r="C474" s="14" t="str">
        <f>IF($A474&lt;&gt;"",MINIFS(Merchant!$A:$A,Merchant!$B:$B,$G$2),)</f>
        <v/>
      </c>
      <c r="D474" s="14" t="str">
        <f t="shared" si="2"/>
        <v/>
      </c>
      <c r="E474" s="14" t="str">
        <f t="shared" si="3"/>
        <v/>
      </c>
      <c r="F474" s="7" t="str">
        <f>IF($A474&lt;&gt;"",MAXIFS(Token!$C:$C,Token!$A:$A,$D474),)</f>
        <v/>
      </c>
    </row>
    <row r="475">
      <c r="A475" s="39" t="str">
        <f>IF(AND($L475*1&gt;=$G$3,$L475*1&lt;=$G$4,$I475*$J475&gt;0,OR($I475&lt;&gt;$I476,$L475-$L476&gt;25),IF(ABS($I475)&gt;10,$I475/POW(10,$J475),$J475/POW(10,$I475))*MAXIFS(Token!$C:$C,Token!$A:$A,$K475)&gt;0.01),$L475/86400+DATE(1970,1,1)+$G$6,)</f>
        <v/>
      </c>
      <c r="B475" s="27" t="str">
        <f t="shared" si="1"/>
        <v/>
      </c>
      <c r="C475" s="14" t="str">
        <f>IF($A475&lt;&gt;"",MINIFS(Merchant!$A:$A,Merchant!$B:$B,$G$2),)</f>
        <v/>
      </c>
      <c r="D475" s="14" t="str">
        <f t="shared" si="2"/>
        <v/>
      </c>
      <c r="E475" s="14" t="str">
        <f t="shared" si="3"/>
        <v/>
      </c>
      <c r="F475" s="7" t="str">
        <f>IF($A475&lt;&gt;"",MAXIFS(Token!$C:$C,Token!$A:$A,$D475),)</f>
        <v/>
      </c>
    </row>
    <row r="476">
      <c r="A476" s="39" t="str">
        <f>IF(AND($L476*1&gt;=$G$3,$L476*1&lt;=$G$4,$I476*$J476&gt;0,OR($I476&lt;&gt;$I477,$L476-$L477&gt;25),IF(ABS($I476)&gt;10,$I476/POW(10,$J476),$J476/POW(10,$I476))*MAXIFS(Token!$C:$C,Token!$A:$A,$K476)&gt;0.01),$L476/86400+DATE(1970,1,1)+$G$6,)</f>
        <v/>
      </c>
      <c r="B476" s="27" t="str">
        <f t="shared" si="1"/>
        <v/>
      </c>
      <c r="C476" s="14" t="str">
        <f>IF($A476&lt;&gt;"",MINIFS(Merchant!$A:$A,Merchant!$B:$B,$G$2),)</f>
        <v/>
      </c>
      <c r="D476" s="14" t="str">
        <f t="shared" si="2"/>
        <v/>
      </c>
      <c r="E476" s="14" t="str">
        <f t="shared" si="3"/>
        <v/>
      </c>
      <c r="F476" s="7" t="str">
        <f>IF($A476&lt;&gt;"",MAXIFS(Token!$C:$C,Token!$A:$A,$D476),)</f>
        <v/>
      </c>
    </row>
    <row r="477">
      <c r="A477" s="39" t="str">
        <f>IF(AND($L477*1&gt;=$G$3,$L477*1&lt;=$G$4,$I477*$J477&gt;0,OR($I477&lt;&gt;$I478,$L477-$L478&gt;25),IF(ABS($I477)&gt;10,$I477/POW(10,$J477),$J477/POW(10,$I477))*MAXIFS(Token!$C:$C,Token!$A:$A,$K477)&gt;0.01),$L477/86400+DATE(1970,1,1)+$G$6,)</f>
        <v/>
      </c>
      <c r="B477" s="27" t="str">
        <f t="shared" si="1"/>
        <v/>
      </c>
      <c r="C477" s="14" t="str">
        <f>IF($A477&lt;&gt;"",MINIFS(Merchant!$A:$A,Merchant!$B:$B,$G$2),)</f>
        <v/>
      </c>
      <c r="D477" s="14" t="str">
        <f t="shared" si="2"/>
        <v/>
      </c>
      <c r="E477" s="14" t="str">
        <f t="shared" si="3"/>
        <v/>
      </c>
      <c r="F477" s="7" t="str">
        <f>IF($A477&lt;&gt;"",MAXIFS(Token!$C:$C,Token!$A:$A,$D477),)</f>
        <v/>
      </c>
    </row>
    <row r="478">
      <c r="A478" s="39" t="str">
        <f>IF(AND($L478*1&gt;=$G$3,$L478*1&lt;=$G$4,$I478*$J478&gt;0,OR($I478&lt;&gt;$I479,$L478-$L479&gt;25),IF(ABS($I478)&gt;10,$I478/POW(10,$J478),$J478/POW(10,$I478))*MAXIFS(Token!$C:$C,Token!$A:$A,$K478)&gt;0.01),$L478/86400+DATE(1970,1,1)+$G$6,)</f>
        <v/>
      </c>
      <c r="B478" s="27" t="str">
        <f t="shared" si="1"/>
        <v/>
      </c>
      <c r="C478" s="14" t="str">
        <f>IF($A478&lt;&gt;"",MINIFS(Merchant!$A:$A,Merchant!$B:$B,$G$2),)</f>
        <v/>
      </c>
      <c r="D478" s="14" t="str">
        <f t="shared" si="2"/>
        <v/>
      </c>
      <c r="E478" s="14" t="str">
        <f t="shared" si="3"/>
        <v/>
      </c>
      <c r="F478" s="7" t="str">
        <f>IF($A478&lt;&gt;"",MAXIFS(Token!$C:$C,Token!$A:$A,$D478),)</f>
        <v/>
      </c>
    </row>
    <row r="479">
      <c r="A479" s="39" t="str">
        <f>IF(AND($L479*1&gt;=$G$3,$L479*1&lt;=$G$4,$I479*$J479&gt;0,OR($I479&lt;&gt;$I480,$L479-$L480&gt;25),IF(ABS($I479)&gt;10,$I479/POW(10,$J479),$J479/POW(10,$I479))*MAXIFS(Token!$C:$C,Token!$A:$A,$K479)&gt;0.01),$L479/86400+DATE(1970,1,1)+$G$6,)</f>
        <v/>
      </c>
      <c r="B479" s="27" t="str">
        <f t="shared" si="1"/>
        <v/>
      </c>
      <c r="C479" s="14" t="str">
        <f>IF($A479&lt;&gt;"",MINIFS(Merchant!$A:$A,Merchant!$B:$B,$G$2),)</f>
        <v/>
      </c>
      <c r="D479" s="14" t="str">
        <f t="shared" si="2"/>
        <v/>
      </c>
      <c r="E479" s="14" t="str">
        <f t="shared" si="3"/>
        <v/>
      </c>
      <c r="F479" s="7" t="str">
        <f>IF($A479&lt;&gt;"",MAXIFS(Token!$C:$C,Token!$A:$A,$D479),)</f>
        <v/>
      </c>
    </row>
    <row r="480">
      <c r="A480" s="39" t="str">
        <f>IF(AND($L480*1&gt;=$G$3,$L480*1&lt;=$G$4,$I480*$J480&gt;0,OR($I480&lt;&gt;$I481,$L480-$L481&gt;25),IF(ABS($I480)&gt;10,$I480/POW(10,$J480),$J480/POW(10,$I480))*MAXIFS(Token!$C:$C,Token!$A:$A,$K480)&gt;0.01),$L480/86400+DATE(1970,1,1)+$G$6,)</f>
        <v/>
      </c>
      <c r="B480" s="27" t="str">
        <f t="shared" si="1"/>
        <v/>
      </c>
      <c r="C480" s="14" t="str">
        <f>IF($A480&lt;&gt;"",MINIFS(Merchant!$A:$A,Merchant!$B:$B,$G$2),)</f>
        <v/>
      </c>
      <c r="D480" s="14" t="str">
        <f t="shared" si="2"/>
        <v/>
      </c>
      <c r="E480" s="14" t="str">
        <f t="shared" si="3"/>
        <v/>
      </c>
      <c r="F480" s="7" t="str">
        <f>IF($A480&lt;&gt;"",MAXIFS(Token!$C:$C,Token!$A:$A,$D480),)</f>
        <v/>
      </c>
    </row>
    <row r="481">
      <c r="A481" s="39" t="str">
        <f>IF(AND($L481*1&gt;=$G$3,$L481*1&lt;=$G$4,$I481*$J481&gt;0,OR($I481&lt;&gt;$I482,$L481-$L482&gt;25),IF(ABS($I481)&gt;10,$I481/POW(10,$J481),$J481/POW(10,$I481))*MAXIFS(Token!$C:$C,Token!$A:$A,$K481)&gt;0.01),$L481/86400+DATE(1970,1,1)+$G$6,)</f>
        <v/>
      </c>
      <c r="B481" s="27" t="str">
        <f t="shared" si="1"/>
        <v/>
      </c>
      <c r="C481" s="14" t="str">
        <f>IF($A481&lt;&gt;"",MINIFS(Merchant!$A:$A,Merchant!$B:$B,$G$2),)</f>
        <v/>
      </c>
      <c r="D481" s="14" t="str">
        <f t="shared" si="2"/>
        <v/>
      </c>
      <c r="E481" s="14" t="str">
        <f t="shared" si="3"/>
        <v/>
      </c>
      <c r="F481" s="7" t="str">
        <f>IF($A481&lt;&gt;"",MAXIFS(Token!$C:$C,Token!$A:$A,$D481),)</f>
        <v/>
      </c>
    </row>
    <row r="482">
      <c r="A482" s="39" t="str">
        <f>IF(AND($L482*1&gt;=$G$3,$L482*1&lt;=$G$4,$I482*$J482&gt;0,OR($I482&lt;&gt;$I483,$L482-$L483&gt;25),IF(ABS($I482)&gt;10,$I482/POW(10,$J482),$J482/POW(10,$I482))*MAXIFS(Token!$C:$C,Token!$A:$A,$K482)&gt;0.01),$L482/86400+DATE(1970,1,1)+$G$6,)</f>
        <v/>
      </c>
      <c r="B482" s="27" t="str">
        <f t="shared" si="1"/>
        <v/>
      </c>
      <c r="C482" s="14" t="str">
        <f>IF($A482&lt;&gt;"",MINIFS(Merchant!$A:$A,Merchant!$B:$B,$G$2),)</f>
        <v/>
      </c>
      <c r="D482" s="14" t="str">
        <f t="shared" si="2"/>
        <v/>
      </c>
      <c r="E482" s="14" t="str">
        <f t="shared" si="3"/>
        <v/>
      </c>
      <c r="F482" s="7" t="str">
        <f>IF($A482&lt;&gt;"",MAXIFS(Token!$C:$C,Token!$A:$A,$D482),)</f>
        <v/>
      </c>
    </row>
    <row r="483">
      <c r="A483" s="39" t="str">
        <f>IF(AND($L483*1&gt;=$G$3,$L483*1&lt;=$G$4,$I483*$J483&gt;0,OR($I483&lt;&gt;$I484,$L483-$L484&gt;25),IF(ABS($I483)&gt;10,$I483/POW(10,$J483),$J483/POW(10,$I483))*MAXIFS(Token!$C:$C,Token!$A:$A,$K483)&gt;0.01),$L483/86400+DATE(1970,1,1)+$G$6,)</f>
        <v/>
      </c>
      <c r="B483" s="27" t="str">
        <f t="shared" si="1"/>
        <v/>
      </c>
      <c r="C483" s="14" t="str">
        <f>IF($A483&lt;&gt;"",MINIFS(Merchant!$A:$A,Merchant!$B:$B,$G$2),)</f>
        <v/>
      </c>
      <c r="D483" s="14" t="str">
        <f t="shared" si="2"/>
        <v/>
      </c>
      <c r="E483" s="14" t="str">
        <f t="shared" si="3"/>
        <v/>
      </c>
      <c r="F483" s="7" t="str">
        <f>IF($A483&lt;&gt;"",MAXIFS(Token!$C:$C,Token!$A:$A,$D483),)</f>
        <v/>
      </c>
    </row>
    <row r="484">
      <c r="A484" s="39" t="str">
        <f>IF(AND($L484*1&gt;=$G$3,$L484*1&lt;=$G$4,$I484*$J484&gt;0,OR($I484&lt;&gt;$I485,$L484-$L485&gt;25),IF(ABS($I484)&gt;10,$I484/POW(10,$J484),$J484/POW(10,$I484))*MAXIFS(Token!$C:$C,Token!$A:$A,$K484)&gt;0.01),$L484/86400+DATE(1970,1,1)+$G$6,)</f>
        <v/>
      </c>
      <c r="B484" s="27" t="str">
        <f t="shared" si="1"/>
        <v/>
      </c>
      <c r="C484" s="14" t="str">
        <f>IF($A484&lt;&gt;"",MINIFS(Merchant!$A:$A,Merchant!$B:$B,$G$2),)</f>
        <v/>
      </c>
      <c r="D484" s="14" t="str">
        <f t="shared" si="2"/>
        <v/>
      </c>
      <c r="E484" s="14" t="str">
        <f t="shared" si="3"/>
        <v/>
      </c>
      <c r="F484" s="7" t="str">
        <f>IF($A484&lt;&gt;"",MAXIFS(Token!$C:$C,Token!$A:$A,$D484),)</f>
        <v/>
      </c>
    </row>
    <row r="485">
      <c r="A485" s="39" t="str">
        <f>IF(AND($L485*1&gt;=$G$3,$L485*1&lt;=$G$4,$I485*$J485&gt;0,OR($I485&lt;&gt;$I486,$L485-$L486&gt;25),IF(ABS($I485)&gt;10,$I485/POW(10,$J485),$J485/POW(10,$I485))*MAXIFS(Token!$C:$C,Token!$A:$A,$K485)&gt;0.01),$L485/86400+DATE(1970,1,1)+$G$6,)</f>
        <v/>
      </c>
      <c r="B485" s="27" t="str">
        <f t="shared" si="1"/>
        <v/>
      </c>
      <c r="C485" s="14" t="str">
        <f>IF($A485&lt;&gt;"",MINIFS(Merchant!$A:$A,Merchant!$B:$B,$G$2),)</f>
        <v/>
      </c>
      <c r="D485" s="14" t="str">
        <f t="shared" si="2"/>
        <v/>
      </c>
      <c r="E485" s="14" t="str">
        <f t="shared" si="3"/>
        <v/>
      </c>
      <c r="F485" s="7" t="str">
        <f>IF($A485&lt;&gt;"",MAXIFS(Token!$C:$C,Token!$A:$A,$D485),)</f>
        <v/>
      </c>
    </row>
    <row r="486">
      <c r="A486" s="39" t="str">
        <f>IF(AND($L486*1&gt;=$G$3,$L486*1&lt;=$G$4,$I486*$J486&gt;0,OR($I486&lt;&gt;$I487,$L486-$L487&gt;25),IF(ABS($I486)&gt;10,$I486/POW(10,$J486),$J486/POW(10,$I486))*MAXIFS(Token!$C:$C,Token!$A:$A,$K486)&gt;0.01),$L486/86400+DATE(1970,1,1)+$G$6,)</f>
        <v/>
      </c>
      <c r="B486" s="27" t="str">
        <f t="shared" si="1"/>
        <v/>
      </c>
      <c r="C486" s="14" t="str">
        <f>IF($A486&lt;&gt;"",MINIFS(Merchant!$A:$A,Merchant!$B:$B,$G$2),)</f>
        <v/>
      </c>
      <c r="D486" s="14" t="str">
        <f t="shared" si="2"/>
        <v/>
      </c>
      <c r="E486" s="14" t="str">
        <f t="shared" si="3"/>
        <v/>
      </c>
      <c r="F486" s="7" t="str">
        <f>IF($A486&lt;&gt;"",MAXIFS(Token!$C:$C,Token!$A:$A,$D486),)</f>
        <v/>
      </c>
    </row>
    <row r="487">
      <c r="A487" s="39" t="str">
        <f>IF(AND($L487*1&gt;=$G$3,$L487*1&lt;=$G$4,$I487*$J487&gt;0,OR($I487&lt;&gt;$I488,$L487-$L488&gt;25),IF(ABS($I487)&gt;10,$I487/POW(10,$J487),$J487/POW(10,$I487))*MAXIFS(Token!$C:$C,Token!$A:$A,$K487)&gt;0.01),$L487/86400+DATE(1970,1,1)+$G$6,)</f>
        <v/>
      </c>
      <c r="B487" s="27" t="str">
        <f t="shared" si="1"/>
        <v/>
      </c>
      <c r="C487" s="14" t="str">
        <f>IF($A487&lt;&gt;"",MINIFS(Merchant!$A:$A,Merchant!$B:$B,$G$2),)</f>
        <v/>
      </c>
      <c r="D487" s="14" t="str">
        <f t="shared" si="2"/>
        <v/>
      </c>
      <c r="E487" s="14" t="str">
        <f t="shared" si="3"/>
        <v/>
      </c>
      <c r="F487" s="7" t="str">
        <f>IF($A487&lt;&gt;"",MAXIFS(Token!$C:$C,Token!$A:$A,$D487),)</f>
        <v/>
      </c>
    </row>
    <row r="488">
      <c r="A488" s="39" t="str">
        <f>IF(AND($L488*1&gt;=$G$3,$L488*1&lt;=$G$4,$I488*$J488&gt;0,OR($I488&lt;&gt;$I489,$L488-$L489&gt;25),IF(ABS($I488)&gt;10,$I488/POW(10,$J488),$J488/POW(10,$I488))*MAXIFS(Token!$C:$C,Token!$A:$A,$K488)&gt;0.01),$L488/86400+DATE(1970,1,1)+$G$6,)</f>
        <v/>
      </c>
      <c r="B488" s="27" t="str">
        <f t="shared" si="1"/>
        <v/>
      </c>
      <c r="C488" s="14" t="str">
        <f>IF($A488&lt;&gt;"",MINIFS(Merchant!$A:$A,Merchant!$B:$B,$G$2),)</f>
        <v/>
      </c>
      <c r="D488" s="14" t="str">
        <f t="shared" si="2"/>
        <v/>
      </c>
      <c r="E488" s="14" t="str">
        <f t="shared" si="3"/>
        <v/>
      </c>
      <c r="F488" s="7" t="str">
        <f>IF($A488&lt;&gt;"",MAXIFS(Token!$C:$C,Token!$A:$A,$D488),)</f>
        <v/>
      </c>
    </row>
    <row r="489">
      <c r="A489" s="39" t="str">
        <f>IF(AND($L489*1&gt;=$G$3,$L489*1&lt;=$G$4,$I489*$J489&gt;0,OR($I489&lt;&gt;$I490,$L489-$L490&gt;25),IF(ABS($I489)&gt;10,$I489/POW(10,$J489),$J489/POW(10,$I489))*MAXIFS(Token!$C:$C,Token!$A:$A,$K489)&gt;0.01),$L489/86400+DATE(1970,1,1)+$G$6,)</f>
        <v/>
      </c>
      <c r="B489" s="27" t="str">
        <f t="shared" si="1"/>
        <v/>
      </c>
      <c r="C489" s="14" t="str">
        <f>IF($A489&lt;&gt;"",MINIFS(Merchant!$A:$A,Merchant!$B:$B,$G$2),)</f>
        <v/>
      </c>
      <c r="D489" s="14" t="str">
        <f t="shared" si="2"/>
        <v/>
      </c>
      <c r="E489" s="14" t="str">
        <f t="shared" si="3"/>
        <v/>
      </c>
      <c r="F489" s="7" t="str">
        <f>IF($A489&lt;&gt;"",MAXIFS(Token!$C:$C,Token!$A:$A,$D489),)</f>
        <v/>
      </c>
    </row>
    <row r="490">
      <c r="A490" s="39" t="str">
        <f>IF(AND($L490*1&gt;=$G$3,$L490*1&lt;=$G$4,$I490*$J490&gt;0,OR($I490&lt;&gt;$I491,$L490-$L491&gt;25),IF(ABS($I490)&gt;10,$I490/POW(10,$J490),$J490/POW(10,$I490))*MAXIFS(Token!$C:$C,Token!$A:$A,$K490)&gt;0.01),$L490/86400+DATE(1970,1,1)+$G$6,)</f>
        <v/>
      </c>
      <c r="B490" s="27" t="str">
        <f t="shared" si="1"/>
        <v/>
      </c>
      <c r="C490" s="14" t="str">
        <f>IF($A490&lt;&gt;"",MINIFS(Merchant!$A:$A,Merchant!$B:$B,$G$2),)</f>
        <v/>
      </c>
      <c r="D490" s="14" t="str">
        <f t="shared" si="2"/>
        <v/>
      </c>
      <c r="E490" s="14" t="str">
        <f t="shared" si="3"/>
        <v/>
      </c>
      <c r="F490" s="7" t="str">
        <f>IF($A490&lt;&gt;"",MAXIFS(Token!$C:$C,Token!$A:$A,$D490),)</f>
        <v/>
      </c>
    </row>
    <row r="491">
      <c r="A491" s="39" t="str">
        <f>IF(AND($L491*1&gt;=$G$3,$L491*1&lt;=$G$4,$I491*$J491&gt;0,OR($I491&lt;&gt;$I492,$L491-$L492&gt;25),IF(ABS($I491)&gt;10,$I491/POW(10,$J491),$J491/POW(10,$I491))*MAXIFS(Token!$C:$C,Token!$A:$A,$K491)&gt;0.01),$L491/86400+DATE(1970,1,1)+$G$6,)</f>
        <v/>
      </c>
      <c r="B491" s="27" t="str">
        <f t="shared" si="1"/>
        <v/>
      </c>
      <c r="C491" s="14" t="str">
        <f>IF($A491&lt;&gt;"",MINIFS(Merchant!$A:$A,Merchant!$B:$B,$G$2),)</f>
        <v/>
      </c>
      <c r="D491" s="14" t="str">
        <f t="shared" si="2"/>
        <v/>
      </c>
      <c r="E491" s="14" t="str">
        <f t="shared" si="3"/>
        <v/>
      </c>
      <c r="F491" s="7" t="str">
        <f>IF($A491&lt;&gt;"",MAXIFS(Token!$C:$C,Token!$A:$A,$D491),)</f>
        <v/>
      </c>
    </row>
    <row r="492">
      <c r="A492" s="39" t="str">
        <f>IF(AND($L492*1&gt;=$G$3,$L492*1&lt;=$G$4,$I492*$J492&gt;0,OR($I492&lt;&gt;$I493,$L492-$L493&gt;25),IF(ABS($I492)&gt;10,$I492/POW(10,$J492),$J492/POW(10,$I492))*MAXIFS(Token!$C:$C,Token!$A:$A,$K492)&gt;0.01),$L492/86400+DATE(1970,1,1)+$G$6,)</f>
        <v/>
      </c>
      <c r="B492" s="27" t="str">
        <f t="shared" si="1"/>
        <v/>
      </c>
      <c r="C492" s="14" t="str">
        <f>IF($A492&lt;&gt;"",MINIFS(Merchant!$A:$A,Merchant!$B:$B,$G$2),)</f>
        <v/>
      </c>
      <c r="D492" s="14" t="str">
        <f t="shared" si="2"/>
        <v/>
      </c>
      <c r="E492" s="14" t="str">
        <f t="shared" si="3"/>
        <v/>
      </c>
      <c r="F492" s="7" t="str">
        <f>IF($A492&lt;&gt;"",MAXIFS(Token!$C:$C,Token!$A:$A,$D492),)</f>
        <v/>
      </c>
    </row>
    <row r="493">
      <c r="A493" s="39" t="str">
        <f>IF(AND($L493*1&gt;=$G$3,$L493*1&lt;=$G$4,$I493*$J493&gt;0,OR($I493&lt;&gt;$I494,$L493-$L494&gt;25),IF(ABS($I493)&gt;10,$I493/POW(10,$J493),$J493/POW(10,$I493))*MAXIFS(Token!$C:$C,Token!$A:$A,$K493)&gt;0.01),$L493/86400+DATE(1970,1,1)+$G$6,)</f>
        <v/>
      </c>
      <c r="B493" s="27" t="str">
        <f t="shared" si="1"/>
        <v/>
      </c>
      <c r="C493" s="14" t="str">
        <f>IF($A493&lt;&gt;"",MINIFS(Merchant!$A:$A,Merchant!$B:$B,$G$2),)</f>
        <v/>
      </c>
      <c r="D493" s="14" t="str">
        <f t="shared" si="2"/>
        <v/>
      </c>
      <c r="E493" s="14" t="str">
        <f t="shared" si="3"/>
        <v/>
      </c>
      <c r="F493" s="7" t="str">
        <f>IF($A493&lt;&gt;"",MAXIFS(Token!$C:$C,Token!$A:$A,$D493),)</f>
        <v/>
      </c>
    </row>
    <row r="494">
      <c r="A494" s="39" t="str">
        <f>IF(AND($L494*1&gt;=$G$3,$L494*1&lt;=$G$4,$I494*$J494&gt;0,OR($I494&lt;&gt;$I495,$L494-$L495&gt;25),IF(ABS($I494)&gt;10,$I494/POW(10,$J494),$J494/POW(10,$I494))*MAXIFS(Token!$C:$C,Token!$A:$A,$K494)&gt;0.01),$L494/86400+DATE(1970,1,1)+$G$6,)</f>
        <v/>
      </c>
      <c r="B494" s="27" t="str">
        <f t="shared" si="1"/>
        <v/>
      </c>
      <c r="C494" s="14" t="str">
        <f>IF($A494&lt;&gt;"",MINIFS(Merchant!$A:$A,Merchant!$B:$B,$G$2),)</f>
        <v/>
      </c>
      <c r="D494" s="14" t="str">
        <f t="shared" si="2"/>
        <v/>
      </c>
      <c r="E494" s="14" t="str">
        <f t="shared" si="3"/>
        <v/>
      </c>
      <c r="F494" s="7" t="str">
        <f>IF($A494&lt;&gt;"",MAXIFS(Token!$C:$C,Token!$A:$A,$D494),)</f>
        <v/>
      </c>
    </row>
    <row r="495">
      <c r="A495" s="39" t="str">
        <f>IF(AND($L495*1&gt;=$G$3,$L495*1&lt;=$G$4,$I495*$J495&gt;0,OR($I495&lt;&gt;$I496,$L495-$L496&gt;25),IF(ABS($I495)&gt;10,$I495/POW(10,$J495),$J495/POW(10,$I495))*MAXIFS(Token!$C:$C,Token!$A:$A,$K495)&gt;0.01),$L495/86400+DATE(1970,1,1)+$G$6,)</f>
        <v/>
      </c>
      <c r="B495" s="27" t="str">
        <f t="shared" si="1"/>
        <v/>
      </c>
      <c r="C495" s="14" t="str">
        <f>IF($A495&lt;&gt;"",MINIFS(Merchant!$A:$A,Merchant!$B:$B,$G$2),)</f>
        <v/>
      </c>
      <c r="D495" s="14" t="str">
        <f t="shared" si="2"/>
        <v/>
      </c>
      <c r="E495" s="14" t="str">
        <f t="shared" si="3"/>
        <v/>
      </c>
      <c r="F495" s="7" t="str">
        <f>IF($A495&lt;&gt;"",MAXIFS(Token!$C:$C,Token!$A:$A,$D495),)</f>
        <v/>
      </c>
    </row>
    <row r="496">
      <c r="A496" s="39" t="str">
        <f>IF(AND($L496*1&gt;=$G$3,$L496*1&lt;=$G$4,$I496*$J496&gt;0,OR($I496&lt;&gt;$I497,$L496-$L497&gt;25),IF(ABS($I496)&gt;10,$I496/POW(10,$J496),$J496/POW(10,$I496))*MAXIFS(Token!$C:$C,Token!$A:$A,$K496)&gt;0.01),$L496/86400+DATE(1970,1,1)+$G$6,)</f>
        <v/>
      </c>
      <c r="B496" s="27" t="str">
        <f t="shared" si="1"/>
        <v/>
      </c>
      <c r="C496" s="14" t="str">
        <f>IF($A496&lt;&gt;"",MINIFS(Merchant!$A:$A,Merchant!$B:$B,$G$2),)</f>
        <v/>
      </c>
      <c r="D496" s="14" t="str">
        <f t="shared" si="2"/>
        <v/>
      </c>
      <c r="E496" s="14" t="str">
        <f t="shared" si="3"/>
        <v/>
      </c>
      <c r="F496" s="7" t="str">
        <f>IF($A496&lt;&gt;"",MAXIFS(Token!$C:$C,Token!$A:$A,$D496),)</f>
        <v/>
      </c>
    </row>
    <row r="497">
      <c r="A497" s="39" t="str">
        <f>IF(AND($L497*1&gt;=$G$3,$L497*1&lt;=$G$4,$I497*$J497&gt;0,OR($I497&lt;&gt;$I498,$L497-$L498&gt;25),IF(ABS($I497)&gt;10,$I497/POW(10,$J497),$J497/POW(10,$I497))*MAXIFS(Token!$C:$C,Token!$A:$A,$K497)&gt;0.01),$L497/86400+DATE(1970,1,1)+$G$6,)</f>
        <v/>
      </c>
      <c r="B497" s="27" t="str">
        <f t="shared" si="1"/>
        <v/>
      </c>
      <c r="C497" s="14" t="str">
        <f>IF($A497&lt;&gt;"",MINIFS(Merchant!$A:$A,Merchant!$B:$B,$G$2),)</f>
        <v/>
      </c>
      <c r="D497" s="14" t="str">
        <f t="shared" si="2"/>
        <v/>
      </c>
      <c r="E497" s="14" t="str">
        <f t="shared" si="3"/>
        <v/>
      </c>
      <c r="F497" s="7" t="str">
        <f>IF($A497&lt;&gt;"",MAXIFS(Token!$C:$C,Token!$A:$A,$D497),)</f>
        <v/>
      </c>
    </row>
    <row r="498">
      <c r="A498" s="39" t="str">
        <f>IF(AND($L498*1&gt;=$G$3,$L498*1&lt;=$G$4,$I498*$J498&gt;0,OR($I498&lt;&gt;$I499,$L498-$L499&gt;25),IF(ABS($I498)&gt;10,$I498/POW(10,$J498),$J498/POW(10,$I498))*MAXIFS(Token!$C:$C,Token!$A:$A,$K498)&gt;0.01),$L498/86400+DATE(1970,1,1)+$G$6,)</f>
        <v/>
      </c>
      <c r="B498" s="27" t="str">
        <f t="shared" si="1"/>
        <v/>
      </c>
      <c r="C498" s="14" t="str">
        <f>IF($A498&lt;&gt;"",MINIFS(Merchant!$A:$A,Merchant!$B:$B,$G$2),)</f>
        <v/>
      </c>
      <c r="D498" s="14" t="str">
        <f t="shared" si="2"/>
        <v/>
      </c>
      <c r="E498" s="14" t="str">
        <f t="shared" si="3"/>
        <v/>
      </c>
      <c r="F498" s="7" t="str">
        <f>IF($A498&lt;&gt;"",MAXIFS(Token!$C:$C,Token!$A:$A,$D498),)</f>
        <v/>
      </c>
    </row>
    <row r="499">
      <c r="A499" s="39" t="str">
        <f>IF(AND($L499*1&gt;=$G$3,$L499*1&lt;=$G$4,$I499*$J499&gt;0,OR($I499&lt;&gt;$I500,$L499-$L500&gt;25),IF(ABS($I499)&gt;10,$I499/POW(10,$J499),$J499/POW(10,$I499))*MAXIFS(Token!$C:$C,Token!$A:$A,$K499)&gt;0.01),$L499/86400+DATE(1970,1,1)+$G$6,)</f>
        <v/>
      </c>
      <c r="B499" s="27" t="str">
        <f t="shared" si="1"/>
        <v/>
      </c>
      <c r="C499" s="14" t="str">
        <f>IF($A499&lt;&gt;"",MINIFS(Merchant!$A:$A,Merchant!$B:$B,$G$2),)</f>
        <v/>
      </c>
      <c r="D499" s="14" t="str">
        <f t="shared" si="2"/>
        <v/>
      </c>
      <c r="E499" s="14" t="str">
        <f t="shared" si="3"/>
        <v/>
      </c>
      <c r="F499" s="7" t="str">
        <f>IF($A499&lt;&gt;"",MAXIFS(Token!$C:$C,Token!$A:$A,$D499),)</f>
        <v/>
      </c>
    </row>
    <row r="500">
      <c r="A500" s="39" t="str">
        <f>IF(AND($L500*1&gt;=$G$3,$L500*1&lt;=$G$4,$I500*$J500&gt;0,OR($I500&lt;&gt;$I501,$L500-$L501&gt;25),IF(ABS($I500)&gt;10,$I500/POW(10,$J500),$J500/POW(10,$I500))*MAXIFS(Token!$C:$C,Token!$A:$A,$K500)&gt;0.01),$L500/86400+DATE(1970,1,1)+$G$6,)</f>
        <v/>
      </c>
      <c r="B500" s="27" t="str">
        <f t="shared" si="1"/>
        <v/>
      </c>
      <c r="C500" s="14" t="str">
        <f>IF($A500&lt;&gt;"",MINIFS(Merchant!$A:$A,Merchant!$B:$B,$G$2),)</f>
        <v/>
      </c>
      <c r="D500" s="14" t="str">
        <f t="shared" si="2"/>
        <v/>
      </c>
      <c r="E500" s="14" t="str">
        <f t="shared" si="3"/>
        <v/>
      </c>
      <c r="F500" s="7" t="str">
        <f>IF($A500&lt;&gt;"",MAXIFS(Token!$C:$C,Token!$A:$A,$D500),)</f>
        <v/>
      </c>
    </row>
    <row r="501">
      <c r="A501" s="39" t="str">
        <f>IF(AND($L501*1&gt;=$G$3,$L501*1&lt;=$G$4,$I501*$J501&gt;0,OR($I501&lt;&gt;$I502,$L501-$L502&gt;25),IF(ABS($I501)&gt;10,$I501/POW(10,$J501),$J501/POW(10,$I501))*MAXIFS(Token!$C:$C,Token!$A:$A,$K501)&gt;0.01),$L501/86400+DATE(1970,1,1)+$G$6,)</f>
        <v/>
      </c>
      <c r="B501" s="27" t="str">
        <f t="shared" si="1"/>
        <v/>
      </c>
      <c r="C501" s="14" t="str">
        <f>IF($A501&lt;&gt;"",MINIFS(Merchant!$A:$A,Merchant!$B:$B,$G$2),)</f>
        <v/>
      </c>
      <c r="D501" s="14" t="str">
        <f t="shared" si="2"/>
        <v/>
      </c>
      <c r="E501" s="14" t="str">
        <f t="shared" si="3"/>
        <v/>
      </c>
      <c r="F501" s="7" t="str">
        <f>IF($A501&lt;&gt;"",MAXIFS(Token!$C:$C,Token!$A:$A,$D501),)</f>
        <v/>
      </c>
    </row>
    <row r="502">
      <c r="A502" s="39" t="str">
        <f>IF(AND($L502*1&gt;=$G$3,$L502*1&lt;=$G$4,$I502*$J502&gt;0,OR($I502&lt;&gt;$I503,$L502-$L503&gt;25),IF(ABS($I502)&gt;10,$I502/POW(10,$J502),$J502/POW(10,$I502))*MAXIFS(Token!$C:$C,Token!$A:$A,$K502)&gt;0.01),$L502/86400+DATE(1970,1,1)+$G$6,)</f>
        <v/>
      </c>
      <c r="B502" s="27" t="str">
        <f t="shared" si="1"/>
        <v/>
      </c>
      <c r="C502" s="14" t="str">
        <f>IF($A502&lt;&gt;"",MINIFS(Merchant!$A:$A,Merchant!$B:$B,$G$2),)</f>
        <v/>
      </c>
      <c r="D502" s="14" t="str">
        <f t="shared" si="2"/>
        <v/>
      </c>
      <c r="E502" s="14" t="str">
        <f t="shared" si="3"/>
        <v/>
      </c>
      <c r="F502" s="7" t="str">
        <f>IF($A502&lt;&gt;"",MAXIFS(Token!$C:$C,Token!$A:$A,$D502),)</f>
        <v/>
      </c>
    </row>
    <row r="503">
      <c r="A503" s="39" t="str">
        <f>IF(AND($L503*1&gt;=$G$3,$L503*1&lt;=$G$4,$I503*$J503&gt;0,OR($I503&lt;&gt;$I504,$L503-$L504&gt;25),IF(ABS($I503)&gt;10,$I503/POW(10,$J503),$J503/POW(10,$I503))*MAXIFS(Token!$C:$C,Token!$A:$A,$K503)&gt;0.01),$L503/86400+DATE(1970,1,1)+$G$6,)</f>
        <v/>
      </c>
      <c r="B503" s="27" t="str">
        <f t="shared" si="1"/>
        <v/>
      </c>
      <c r="C503" s="14" t="str">
        <f>IF($A503&lt;&gt;"",MINIFS(Merchant!$A:$A,Merchant!$B:$B,$G$2),)</f>
        <v/>
      </c>
      <c r="D503" s="14" t="str">
        <f t="shared" si="2"/>
        <v/>
      </c>
      <c r="E503" s="14" t="str">
        <f t="shared" si="3"/>
        <v/>
      </c>
      <c r="F503" s="7" t="str">
        <f>IF($A503&lt;&gt;"",MAXIFS(Token!$C:$C,Token!$A:$A,$D503),)</f>
        <v/>
      </c>
    </row>
    <row r="504">
      <c r="A504" s="39" t="str">
        <f>IF(AND($L504*1&gt;=$G$3,$L504*1&lt;=$G$4,$I504*$J504&gt;0,OR($I504&lt;&gt;$I505,$L504-$L505&gt;25),IF(ABS($I504)&gt;10,$I504/POW(10,$J504),$J504/POW(10,$I504))*MAXIFS(Token!$C:$C,Token!$A:$A,$K504)&gt;0.01),$L504/86400+DATE(1970,1,1)+$G$6,)</f>
        <v/>
      </c>
      <c r="B504" s="27" t="str">
        <f t="shared" si="1"/>
        <v/>
      </c>
      <c r="C504" s="14" t="str">
        <f>IF($A504&lt;&gt;"",MINIFS(Merchant!$A:$A,Merchant!$B:$B,$G$2),)</f>
        <v/>
      </c>
      <c r="D504" s="14" t="str">
        <f t="shared" si="2"/>
        <v/>
      </c>
      <c r="E504" s="14" t="str">
        <f t="shared" si="3"/>
        <v/>
      </c>
      <c r="F504" s="7" t="str">
        <f>IF($A504&lt;&gt;"",MAXIFS(Token!$C:$C,Token!$A:$A,$D504),)</f>
        <v/>
      </c>
    </row>
    <row r="505">
      <c r="A505" s="39" t="str">
        <f>IF(AND($L505*1&gt;=$G$3,$L505*1&lt;=$G$4,$I505*$J505&gt;0,OR($I505&lt;&gt;$I506,$L505-$L506&gt;25),IF(ABS($I505)&gt;10,$I505/POW(10,$J505),$J505/POW(10,$I505))*MAXIFS(Token!$C:$C,Token!$A:$A,$K505)&gt;0.01),$L505/86400+DATE(1970,1,1)+$G$6,)</f>
        <v/>
      </c>
      <c r="B505" s="27" t="str">
        <f t="shared" si="1"/>
        <v/>
      </c>
      <c r="C505" s="14" t="str">
        <f>IF($A505&lt;&gt;"",MINIFS(Merchant!$A:$A,Merchant!$B:$B,$G$2),)</f>
        <v/>
      </c>
      <c r="D505" s="14" t="str">
        <f t="shared" si="2"/>
        <v/>
      </c>
      <c r="E505" s="14" t="str">
        <f t="shared" si="3"/>
        <v/>
      </c>
      <c r="F505" s="7" t="str">
        <f>IF($A505&lt;&gt;"",MAXIFS(Token!$C:$C,Token!$A:$A,$D505),)</f>
        <v/>
      </c>
    </row>
    <row r="506">
      <c r="A506" s="39" t="str">
        <f>IF(AND($L506*1&gt;=$G$3,$L506*1&lt;=$G$4,$I506*$J506&gt;0,OR($I506&lt;&gt;$I507,$L506-$L507&gt;25),IF(ABS($I506)&gt;10,$I506/POW(10,$J506),$J506/POW(10,$I506))*MAXIFS(Token!$C:$C,Token!$A:$A,$K506)&gt;0.01),$L506/86400+DATE(1970,1,1)+$G$6,)</f>
        <v/>
      </c>
      <c r="B506" s="27" t="str">
        <f t="shared" si="1"/>
        <v/>
      </c>
      <c r="C506" s="14" t="str">
        <f>IF($A506&lt;&gt;"",MINIFS(Merchant!$A:$A,Merchant!$B:$B,$G$2),)</f>
        <v/>
      </c>
      <c r="D506" s="14" t="str">
        <f t="shared" si="2"/>
        <v/>
      </c>
      <c r="E506" s="14" t="str">
        <f t="shared" si="3"/>
        <v/>
      </c>
      <c r="F506" s="7" t="str">
        <f>IF($A506&lt;&gt;"",MAXIFS(Token!$C:$C,Token!$A:$A,$D506),)</f>
        <v/>
      </c>
    </row>
    <row r="507">
      <c r="A507" s="39" t="str">
        <f>IF(AND($L507*1&gt;=$G$3,$L507*1&lt;=$G$4,$I507*$J507&gt;0,OR($I507&lt;&gt;$I508,$L507-$L508&gt;25),IF(ABS($I507)&gt;10,$I507/POW(10,$J507),$J507/POW(10,$I507))*MAXIFS(Token!$C:$C,Token!$A:$A,$K507)&gt;0.01),$L507/86400+DATE(1970,1,1)+$G$6,)</f>
        <v/>
      </c>
      <c r="B507" s="27" t="str">
        <f t="shared" si="1"/>
        <v/>
      </c>
      <c r="C507" s="14" t="str">
        <f>IF($A507&lt;&gt;"",MINIFS(Merchant!$A:$A,Merchant!$B:$B,$G$2),)</f>
        <v/>
      </c>
      <c r="D507" s="14" t="str">
        <f t="shared" si="2"/>
        <v/>
      </c>
      <c r="E507" s="14" t="str">
        <f t="shared" si="3"/>
        <v/>
      </c>
      <c r="F507" s="7" t="str">
        <f>IF($A507&lt;&gt;"",MAXIFS(Token!$C:$C,Token!$A:$A,$D507),)</f>
        <v/>
      </c>
    </row>
    <row r="508">
      <c r="A508" s="39" t="str">
        <f>IF(AND($L508*1&gt;=$G$3,$L508*1&lt;=$G$4,$I508*$J508&gt;0,OR($I508&lt;&gt;$I509,$L508-$L509&gt;25),IF(ABS($I508)&gt;10,$I508/POW(10,$J508),$J508/POW(10,$I508))*MAXIFS(Token!$C:$C,Token!$A:$A,$K508)&gt;0.01),$L508/86400+DATE(1970,1,1)+$G$6,)</f>
        <v/>
      </c>
      <c r="B508" s="27" t="str">
        <f t="shared" si="1"/>
        <v/>
      </c>
      <c r="C508" s="14" t="str">
        <f>IF($A508&lt;&gt;"",MINIFS(Merchant!$A:$A,Merchant!$B:$B,$G$2),)</f>
        <v/>
      </c>
      <c r="D508" s="14" t="str">
        <f t="shared" si="2"/>
        <v/>
      </c>
      <c r="E508" s="14" t="str">
        <f t="shared" si="3"/>
        <v/>
      </c>
      <c r="F508" s="7" t="str">
        <f>IF($A508&lt;&gt;"",MAXIFS(Token!$C:$C,Token!$A:$A,$D508),)</f>
        <v/>
      </c>
    </row>
    <row r="509">
      <c r="A509" s="39" t="str">
        <f>IF(AND($L509*1&gt;=$G$3,$L509*1&lt;=$G$4,$I509*$J509&gt;0,OR($I509&lt;&gt;$I510,$L509-$L510&gt;25),IF(ABS($I509)&gt;10,$I509/POW(10,$J509),$J509/POW(10,$I509))*MAXIFS(Token!$C:$C,Token!$A:$A,$K509)&gt;0.01),$L509/86400+DATE(1970,1,1)+$G$6,)</f>
        <v/>
      </c>
      <c r="B509" s="27" t="str">
        <f t="shared" si="1"/>
        <v/>
      </c>
      <c r="C509" s="14" t="str">
        <f>IF($A509&lt;&gt;"",MINIFS(Merchant!$A:$A,Merchant!$B:$B,$G$2),)</f>
        <v/>
      </c>
      <c r="D509" s="14" t="str">
        <f t="shared" si="2"/>
        <v/>
      </c>
      <c r="E509" s="14" t="str">
        <f t="shared" si="3"/>
        <v/>
      </c>
      <c r="F509" s="7" t="str">
        <f>IF($A509&lt;&gt;"",MAXIFS(Token!$C:$C,Token!$A:$A,$D509),)</f>
        <v/>
      </c>
    </row>
    <row r="510">
      <c r="A510" s="39" t="str">
        <f>IF(AND($L510*1&gt;=$G$3,$L510*1&lt;=$G$4,$I510*$J510&gt;0,OR($I510&lt;&gt;$I511,$L510-$L511&gt;25),IF(ABS($I510)&gt;10,$I510/POW(10,$J510),$J510/POW(10,$I510))*MAXIFS(Token!$C:$C,Token!$A:$A,$K510)&gt;0.01),$L510/86400+DATE(1970,1,1)+$G$6,)</f>
        <v/>
      </c>
      <c r="B510" s="27" t="str">
        <f t="shared" si="1"/>
        <v/>
      </c>
      <c r="C510" s="14" t="str">
        <f>IF($A510&lt;&gt;"",MINIFS(Merchant!$A:$A,Merchant!$B:$B,$G$2),)</f>
        <v/>
      </c>
      <c r="D510" s="14" t="str">
        <f t="shared" si="2"/>
        <v/>
      </c>
      <c r="E510" s="14" t="str">
        <f t="shared" si="3"/>
        <v/>
      </c>
      <c r="F510" s="7" t="str">
        <f>IF($A510&lt;&gt;"",MAXIFS(Token!$C:$C,Token!$A:$A,$D510),)</f>
        <v/>
      </c>
    </row>
    <row r="511">
      <c r="A511" s="39" t="str">
        <f>IF(AND($L511*1&gt;=$G$3,$L511*1&lt;=$G$4,$I511*$J511&gt;0,OR($I511&lt;&gt;$I512,$L511-$L512&gt;25),IF(ABS($I511)&gt;10,$I511/POW(10,$J511),$J511/POW(10,$I511))*MAXIFS(Token!$C:$C,Token!$A:$A,$K511)&gt;0.01),$L511/86400+DATE(1970,1,1)+$G$6,)</f>
        <v/>
      </c>
      <c r="B511" s="27" t="str">
        <f t="shared" si="1"/>
        <v/>
      </c>
      <c r="C511" s="14" t="str">
        <f>IF($A511&lt;&gt;"",MINIFS(Merchant!$A:$A,Merchant!$B:$B,$G$2),)</f>
        <v/>
      </c>
      <c r="D511" s="14" t="str">
        <f t="shared" si="2"/>
        <v/>
      </c>
      <c r="E511" s="14" t="str">
        <f t="shared" si="3"/>
        <v/>
      </c>
      <c r="F511" s="7" t="str">
        <f>IF($A511&lt;&gt;"",MAXIFS(Token!$C:$C,Token!$A:$A,$D511),)</f>
        <v/>
      </c>
    </row>
    <row r="512">
      <c r="A512" s="39" t="str">
        <f>IF(AND($L512*1&gt;=$G$3,$L512*1&lt;=$G$4,$I512*$J512&gt;0,OR($I512&lt;&gt;$I513,$L512-$L513&gt;25),IF(ABS($I512)&gt;10,$I512/POW(10,$J512),$J512/POW(10,$I512))*MAXIFS(Token!$C:$C,Token!$A:$A,$K512)&gt;0.01),$L512/86400+DATE(1970,1,1)+$G$6,)</f>
        <v/>
      </c>
      <c r="B512" s="27" t="str">
        <f t="shared" si="1"/>
        <v/>
      </c>
      <c r="C512" s="14" t="str">
        <f>IF($A512&lt;&gt;"",MINIFS(Merchant!$A:$A,Merchant!$B:$B,$G$2),)</f>
        <v/>
      </c>
      <c r="D512" s="14" t="str">
        <f t="shared" si="2"/>
        <v/>
      </c>
      <c r="E512" s="14" t="str">
        <f t="shared" si="3"/>
        <v/>
      </c>
      <c r="F512" s="7" t="str">
        <f>IF($A512&lt;&gt;"",MAXIFS(Token!$C:$C,Token!$A:$A,$D512),)</f>
        <v/>
      </c>
    </row>
    <row r="513">
      <c r="A513" s="39" t="str">
        <f>IF(AND($L513*1&gt;=$G$3,$L513*1&lt;=$G$4,$I513*$J513&gt;0,OR($I513&lt;&gt;$I514,$L513-$L514&gt;25),IF(ABS($I513)&gt;10,$I513/POW(10,$J513),$J513/POW(10,$I513))*MAXIFS(Token!$C:$C,Token!$A:$A,$K513)&gt;0.01),$L513/86400+DATE(1970,1,1)+$G$6,)</f>
        <v/>
      </c>
      <c r="B513" s="27" t="str">
        <f t="shared" si="1"/>
        <v/>
      </c>
      <c r="C513" s="14" t="str">
        <f>IF($A513&lt;&gt;"",MINIFS(Merchant!$A:$A,Merchant!$B:$B,$G$2),)</f>
        <v/>
      </c>
      <c r="D513" s="14" t="str">
        <f t="shared" si="2"/>
        <v/>
      </c>
      <c r="E513" s="14" t="str">
        <f t="shared" si="3"/>
        <v/>
      </c>
      <c r="F513" s="7" t="str">
        <f>IF($A513&lt;&gt;"",MAXIFS(Token!$C:$C,Token!$A:$A,$D513),)</f>
        <v/>
      </c>
    </row>
    <row r="514">
      <c r="A514" s="39" t="str">
        <f>IF(AND($L514*1&gt;=$G$3,$L514*1&lt;=$G$4,$I514*$J514&gt;0,OR($I514&lt;&gt;$I515,$L514-$L515&gt;25),IF(ABS($I514)&gt;10,$I514/POW(10,$J514),$J514/POW(10,$I514))*MAXIFS(Token!$C:$C,Token!$A:$A,$K514)&gt;0.01),$L514/86400+DATE(1970,1,1)+$G$6,)</f>
        <v/>
      </c>
      <c r="B514" s="27" t="str">
        <f t="shared" si="1"/>
        <v/>
      </c>
      <c r="C514" s="14" t="str">
        <f>IF($A514&lt;&gt;"",MINIFS(Merchant!$A:$A,Merchant!$B:$B,$G$2),)</f>
        <v/>
      </c>
      <c r="D514" s="14" t="str">
        <f t="shared" si="2"/>
        <v/>
      </c>
      <c r="E514" s="14" t="str">
        <f t="shared" si="3"/>
        <v/>
      </c>
      <c r="F514" s="7" t="str">
        <f>IF($A514&lt;&gt;"",MAXIFS(Token!$C:$C,Token!$A:$A,$D514),)</f>
        <v/>
      </c>
    </row>
    <row r="515">
      <c r="A515" s="39" t="str">
        <f>IF(AND($L515*1&gt;=$G$3,$L515*1&lt;=$G$4,$I515*$J515&gt;0,OR($I515&lt;&gt;$I516,$L515-$L516&gt;25),IF(ABS($I515)&gt;10,$I515/POW(10,$J515),$J515/POW(10,$I515))*MAXIFS(Token!$C:$C,Token!$A:$A,$K515)&gt;0.01),$L515/86400+DATE(1970,1,1)+$G$6,)</f>
        <v/>
      </c>
      <c r="B515" s="27" t="str">
        <f t="shared" si="1"/>
        <v/>
      </c>
      <c r="C515" s="14" t="str">
        <f>IF($A515&lt;&gt;"",MINIFS(Merchant!$A:$A,Merchant!$B:$B,$G$2),)</f>
        <v/>
      </c>
      <c r="D515" s="14" t="str">
        <f t="shared" si="2"/>
        <v/>
      </c>
      <c r="E515" s="14" t="str">
        <f t="shared" si="3"/>
        <v/>
      </c>
      <c r="F515" s="7" t="str">
        <f>IF($A515&lt;&gt;"",MAXIFS(Token!$C:$C,Token!$A:$A,$D515),)</f>
        <v/>
      </c>
    </row>
    <row r="516">
      <c r="A516" s="39" t="str">
        <f>IF(AND($L516*1&gt;=$G$3,$L516*1&lt;=$G$4,$I516*$J516&gt;0,OR($I516&lt;&gt;$I517,$L516-$L517&gt;25),IF(ABS($I516)&gt;10,$I516/POW(10,$J516),$J516/POW(10,$I516))*MAXIFS(Token!$C:$C,Token!$A:$A,$K516)&gt;0.01),$L516/86400+DATE(1970,1,1)+$G$6,)</f>
        <v/>
      </c>
      <c r="B516" s="27" t="str">
        <f t="shared" si="1"/>
        <v/>
      </c>
      <c r="C516" s="14" t="str">
        <f>IF($A516&lt;&gt;"",MINIFS(Merchant!$A:$A,Merchant!$B:$B,$G$2),)</f>
        <v/>
      </c>
      <c r="D516" s="14" t="str">
        <f t="shared" si="2"/>
        <v/>
      </c>
      <c r="E516" s="14" t="str">
        <f t="shared" si="3"/>
        <v/>
      </c>
      <c r="F516" s="7" t="str">
        <f>IF($A516&lt;&gt;"",MAXIFS(Token!$C:$C,Token!$A:$A,$D516),)</f>
        <v/>
      </c>
    </row>
    <row r="517">
      <c r="A517" s="39" t="str">
        <f>IF(AND($L517*1&gt;=$G$3,$L517*1&lt;=$G$4,$I517*$J517&gt;0,OR($I517&lt;&gt;$I518,$L517-$L518&gt;25),IF(ABS($I517)&gt;10,$I517/POW(10,$J517),$J517/POW(10,$I517))*MAXIFS(Token!$C:$C,Token!$A:$A,$K517)&gt;0.01),$L517/86400+DATE(1970,1,1)+$G$6,)</f>
        <v/>
      </c>
      <c r="B517" s="27" t="str">
        <f t="shared" si="1"/>
        <v/>
      </c>
      <c r="C517" s="14" t="str">
        <f>IF($A517&lt;&gt;"",MINIFS(Merchant!$A:$A,Merchant!$B:$B,$G$2),)</f>
        <v/>
      </c>
      <c r="D517" s="14" t="str">
        <f t="shared" si="2"/>
        <v/>
      </c>
      <c r="E517" s="14" t="str">
        <f t="shared" si="3"/>
        <v/>
      </c>
      <c r="F517" s="7" t="str">
        <f>IF($A517&lt;&gt;"",MAXIFS(Token!$C:$C,Token!$A:$A,$D517),)</f>
        <v/>
      </c>
    </row>
    <row r="518">
      <c r="A518" s="39" t="str">
        <f>IF(AND($L518*1&gt;=$G$3,$L518*1&lt;=$G$4,$I518*$J518&gt;0,OR($I518&lt;&gt;$I519,$L518-$L519&gt;25),IF(ABS($I518)&gt;10,$I518/POW(10,$J518),$J518/POW(10,$I518))*MAXIFS(Token!$C:$C,Token!$A:$A,$K518)&gt;0.01),$L518/86400+DATE(1970,1,1)+$G$6,)</f>
        <v/>
      </c>
      <c r="B518" s="27" t="str">
        <f t="shared" si="1"/>
        <v/>
      </c>
      <c r="C518" s="14" t="str">
        <f>IF($A518&lt;&gt;"",MINIFS(Merchant!$A:$A,Merchant!$B:$B,$G$2),)</f>
        <v/>
      </c>
      <c r="D518" s="14" t="str">
        <f t="shared" si="2"/>
        <v/>
      </c>
      <c r="E518" s="14" t="str">
        <f t="shared" si="3"/>
        <v/>
      </c>
      <c r="F518" s="7" t="str">
        <f>IF($A518&lt;&gt;"",MAXIFS(Token!$C:$C,Token!$A:$A,$D518),)</f>
        <v/>
      </c>
    </row>
    <row r="519">
      <c r="A519" s="39" t="str">
        <f>IF(AND($L519*1&gt;=$G$3,$L519*1&lt;=$G$4,$I519*$J519&gt;0,OR($I519&lt;&gt;$I520,$L519-$L520&gt;25),IF(ABS($I519)&gt;10,$I519/POW(10,$J519),$J519/POW(10,$I519))*MAXIFS(Token!$C:$C,Token!$A:$A,$K519)&gt;0.01),$L519/86400+DATE(1970,1,1)+$G$6,)</f>
        <v/>
      </c>
      <c r="B519" s="27" t="str">
        <f t="shared" si="1"/>
        <v/>
      </c>
      <c r="C519" s="14" t="str">
        <f>IF($A519&lt;&gt;"",MINIFS(Merchant!$A:$A,Merchant!$B:$B,$G$2),)</f>
        <v/>
      </c>
      <c r="D519" s="14" t="str">
        <f t="shared" si="2"/>
        <v/>
      </c>
      <c r="E519" s="14" t="str">
        <f t="shared" si="3"/>
        <v/>
      </c>
      <c r="F519" s="7" t="str">
        <f>IF($A519&lt;&gt;"",MAXIFS(Token!$C:$C,Token!$A:$A,$D519),)</f>
        <v/>
      </c>
    </row>
    <row r="520">
      <c r="A520" s="39" t="str">
        <f>IF(AND($L520*1&gt;=$G$3,$L520*1&lt;=$G$4,$I520*$J520&gt;0,OR($I520&lt;&gt;$I521,$L520-$L521&gt;25),IF(ABS($I520)&gt;10,$I520/POW(10,$J520),$J520/POW(10,$I520))*MAXIFS(Token!$C:$C,Token!$A:$A,$K520)&gt;0.01),$L520/86400+DATE(1970,1,1)+$G$6,)</f>
        <v/>
      </c>
      <c r="B520" s="27" t="str">
        <f t="shared" si="1"/>
        <v/>
      </c>
      <c r="C520" s="14" t="str">
        <f>IF($A520&lt;&gt;"",MINIFS(Merchant!$A:$A,Merchant!$B:$B,$G$2),)</f>
        <v/>
      </c>
      <c r="D520" s="14" t="str">
        <f t="shared" si="2"/>
        <v/>
      </c>
      <c r="E520" s="14" t="str">
        <f t="shared" si="3"/>
        <v/>
      </c>
      <c r="F520" s="7" t="str">
        <f>IF($A520&lt;&gt;"",MAXIFS(Token!$C:$C,Token!$A:$A,$D520),)</f>
        <v/>
      </c>
    </row>
    <row r="521">
      <c r="A521" s="39" t="str">
        <f>IF(AND($L521*1&gt;=$G$3,$L521*1&lt;=$G$4,$I521*$J521&gt;0,OR($I521&lt;&gt;$I522,$L521-$L522&gt;25),IF(ABS($I521)&gt;10,$I521/POW(10,$J521),$J521/POW(10,$I521))*MAXIFS(Token!$C:$C,Token!$A:$A,$K521)&gt;0.01),$L521/86400+DATE(1970,1,1)+$G$6,)</f>
        <v/>
      </c>
      <c r="B521" s="27" t="str">
        <f t="shared" si="1"/>
        <v/>
      </c>
      <c r="C521" s="14" t="str">
        <f>IF($A521&lt;&gt;"",MINIFS(Merchant!$A:$A,Merchant!$B:$B,$G$2),)</f>
        <v/>
      </c>
      <c r="D521" s="14" t="str">
        <f t="shared" si="2"/>
        <v/>
      </c>
      <c r="E521" s="14" t="str">
        <f t="shared" si="3"/>
        <v/>
      </c>
      <c r="F521" s="7" t="str">
        <f>IF($A521&lt;&gt;"",MAXIFS(Token!$C:$C,Token!$A:$A,$D521),)</f>
        <v/>
      </c>
    </row>
    <row r="522">
      <c r="A522" s="39" t="str">
        <f>IF(AND($L522*1&gt;=$G$3,$L522*1&lt;=$G$4,$I522*$J522&gt;0,OR($I522&lt;&gt;$I523,$L522-$L523&gt;25),IF(ABS($I522)&gt;10,$I522/POW(10,$J522),$J522/POW(10,$I522))*MAXIFS(Token!$C:$C,Token!$A:$A,$K522)&gt;0.01),$L522/86400+DATE(1970,1,1)+$G$6,)</f>
        <v/>
      </c>
      <c r="B522" s="27" t="str">
        <f t="shared" si="1"/>
        <v/>
      </c>
      <c r="C522" s="14" t="str">
        <f>IF($A522&lt;&gt;"",MINIFS(Merchant!$A:$A,Merchant!$B:$B,$G$2),)</f>
        <v/>
      </c>
      <c r="D522" s="14" t="str">
        <f t="shared" si="2"/>
        <v/>
      </c>
      <c r="E522" s="14" t="str">
        <f t="shared" si="3"/>
        <v/>
      </c>
      <c r="F522" s="7" t="str">
        <f>IF($A522&lt;&gt;"",MAXIFS(Token!$C:$C,Token!$A:$A,$D522),)</f>
        <v/>
      </c>
    </row>
    <row r="523">
      <c r="A523" s="39" t="str">
        <f>IF(AND($L523*1&gt;=$G$3,$L523*1&lt;=$G$4,$I523*$J523&gt;0,OR($I523&lt;&gt;$I524,$L523-$L524&gt;25),IF(ABS($I523)&gt;10,$I523/POW(10,$J523),$J523/POW(10,$I523))*MAXIFS(Token!$C:$C,Token!$A:$A,$K523)&gt;0.01),$L523/86400+DATE(1970,1,1)+$G$6,)</f>
        <v/>
      </c>
      <c r="B523" s="27" t="str">
        <f t="shared" si="1"/>
        <v/>
      </c>
      <c r="C523" s="14" t="str">
        <f>IF($A523&lt;&gt;"",MINIFS(Merchant!$A:$A,Merchant!$B:$B,$G$2),)</f>
        <v/>
      </c>
      <c r="D523" s="14" t="str">
        <f t="shared" si="2"/>
        <v/>
      </c>
      <c r="E523" s="14" t="str">
        <f t="shared" si="3"/>
        <v/>
      </c>
      <c r="F523" s="7" t="str">
        <f>IF($A523&lt;&gt;"",MAXIFS(Token!$C:$C,Token!$A:$A,$D523),)</f>
        <v/>
      </c>
    </row>
    <row r="524">
      <c r="A524" s="39" t="str">
        <f>IF(AND($L524*1&gt;=$G$3,$L524*1&lt;=$G$4,$I524*$J524&gt;0,OR($I524&lt;&gt;$I525,$L524-$L525&gt;25),IF(ABS($I524)&gt;10,$I524/POW(10,$J524),$J524/POW(10,$I524))*MAXIFS(Token!$C:$C,Token!$A:$A,$K524)&gt;0.01),$L524/86400+DATE(1970,1,1)+$G$6,)</f>
        <v/>
      </c>
      <c r="B524" s="27" t="str">
        <f t="shared" si="1"/>
        <v/>
      </c>
      <c r="C524" s="14" t="str">
        <f>IF($A524&lt;&gt;"",MINIFS(Merchant!$A:$A,Merchant!$B:$B,$G$2),)</f>
        <v/>
      </c>
      <c r="D524" s="14" t="str">
        <f t="shared" si="2"/>
        <v/>
      </c>
      <c r="E524" s="14" t="str">
        <f t="shared" si="3"/>
        <v/>
      </c>
      <c r="F524" s="7" t="str">
        <f>IF($A524&lt;&gt;"",MAXIFS(Token!$C:$C,Token!$A:$A,$D524),)</f>
        <v/>
      </c>
    </row>
    <row r="525">
      <c r="A525" s="39" t="str">
        <f>IF(AND($L525*1&gt;=$G$3,$L525*1&lt;=$G$4,$I525*$J525&gt;0,OR($I525&lt;&gt;$I526,$L525-$L526&gt;25),IF(ABS($I525)&gt;10,$I525/POW(10,$J525),$J525/POW(10,$I525))*MAXIFS(Token!$C:$C,Token!$A:$A,$K525)&gt;0.01),$L525/86400+DATE(1970,1,1)+$G$6,)</f>
        <v/>
      </c>
      <c r="B525" s="27" t="str">
        <f t="shared" si="1"/>
        <v/>
      </c>
      <c r="C525" s="14" t="str">
        <f>IF($A525&lt;&gt;"",MINIFS(Merchant!$A:$A,Merchant!$B:$B,$G$2),)</f>
        <v/>
      </c>
      <c r="D525" s="14" t="str">
        <f t="shared" si="2"/>
        <v/>
      </c>
      <c r="E525" s="14" t="str">
        <f t="shared" si="3"/>
        <v/>
      </c>
      <c r="F525" s="7" t="str">
        <f>IF($A525&lt;&gt;"",MAXIFS(Token!$C:$C,Token!$A:$A,$D525),)</f>
        <v/>
      </c>
    </row>
    <row r="526">
      <c r="A526" s="39" t="str">
        <f>IF(AND($L526*1&gt;=$G$3,$L526*1&lt;=$G$4,$I526*$J526&gt;0,OR($I526&lt;&gt;$I527,$L526-$L527&gt;25),IF(ABS($I526)&gt;10,$I526/POW(10,$J526),$J526/POW(10,$I526))*MAXIFS(Token!$C:$C,Token!$A:$A,$K526)&gt;0.01),$L526/86400+DATE(1970,1,1)+$G$6,)</f>
        <v/>
      </c>
      <c r="B526" s="27" t="str">
        <f t="shared" si="1"/>
        <v/>
      </c>
      <c r="C526" s="14" t="str">
        <f>IF($A526&lt;&gt;"",MINIFS(Merchant!$A:$A,Merchant!$B:$B,$G$2),)</f>
        <v/>
      </c>
      <c r="D526" s="14" t="str">
        <f t="shared" si="2"/>
        <v/>
      </c>
      <c r="E526" s="14" t="str">
        <f t="shared" si="3"/>
        <v/>
      </c>
      <c r="F526" s="7" t="str">
        <f>IF($A526&lt;&gt;"",MAXIFS(Token!$C:$C,Token!$A:$A,$D526),)</f>
        <v/>
      </c>
    </row>
    <row r="527">
      <c r="A527" s="39" t="str">
        <f>IF(AND($L527*1&gt;=$G$3,$L527*1&lt;=$G$4,$I527*$J527&gt;0,OR($I527&lt;&gt;$I528,$L527-$L528&gt;25),IF(ABS($I527)&gt;10,$I527/POW(10,$J527),$J527/POW(10,$I527))*MAXIFS(Token!$C:$C,Token!$A:$A,$K527)&gt;0.01),$L527/86400+DATE(1970,1,1)+$G$6,)</f>
        <v/>
      </c>
      <c r="B527" s="27" t="str">
        <f t="shared" si="1"/>
        <v/>
      </c>
      <c r="C527" s="14" t="str">
        <f>IF($A527&lt;&gt;"",MINIFS(Merchant!$A:$A,Merchant!$B:$B,$G$2),)</f>
        <v/>
      </c>
      <c r="D527" s="14" t="str">
        <f t="shared" si="2"/>
        <v/>
      </c>
      <c r="E527" s="14" t="str">
        <f t="shared" si="3"/>
        <v/>
      </c>
      <c r="F527" s="7" t="str">
        <f>IF($A527&lt;&gt;"",MAXIFS(Token!$C:$C,Token!$A:$A,$D527),)</f>
        <v/>
      </c>
    </row>
    <row r="528">
      <c r="A528" s="39" t="str">
        <f>IF(AND($L528*1&gt;=$G$3,$L528*1&lt;=$G$4,$I528*$J528&gt;0,OR($I528&lt;&gt;$I529,$L528-$L529&gt;25),IF(ABS($I528)&gt;10,$I528/POW(10,$J528),$J528/POW(10,$I528))*MAXIFS(Token!$C:$C,Token!$A:$A,$K528)&gt;0.01),$L528/86400+DATE(1970,1,1)+$G$6,)</f>
        <v/>
      </c>
      <c r="B528" s="27" t="str">
        <f t="shared" si="1"/>
        <v/>
      </c>
      <c r="C528" s="14" t="str">
        <f>IF($A528&lt;&gt;"",MINIFS(Merchant!$A:$A,Merchant!$B:$B,$G$2),)</f>
        <v/>
      </c>
      <c r="D528" s="14" t="str">
        <f t="shared" si="2"/>
        <v/>
      </c>
      <c r="E528" s="14" t="str">
        <f t="shared" si="3"/>
        <v/>
      </c>
      <c r="F528" s="7" t="str">
        <f>IF($A528&lt;&gt;"",MAXIFS(Token!$C:$C,Token!$A:$A,$D528),)</f>
        <v/>
      </c>
    </row>
    <row r="529">
      <c r="A529" s="39" t="str">
        <f>IF(AND($L529*1&gt;=$G$3,$L529*1&lt;=$G$4,$I529*$J529&gt;0,OR($I529&lt;&gt;$I530,$L529-$L530&gt;25),IF(ABS($I529)&gt;10,$I529/POW(10,$J529),$J529/POW(10,$I529))*MAXIFS(Token!$C:$C,Token!$A:$A,$K529)&gt;0.01),$L529/86400+DATE(1970,1,1)+$G$6,)</f>
        <v/>
      </c>
      <c r="B529" s="27" t="str">
        <f t="shared" si="1"/>
        <v/>
      </c>
      <c r="C529" s="14" t="str">
        <f>IF($A529&lt;&gt;"",MINIFS(Merchant!$A:$A,Merchant!$B:$B,$G$2),)</f>
        <v/>
      </c>
      <c r="D529" s="14" t="str">
        <f t="shared" si="2"/>
        <v/>
      </c>
      <c r="E529" s="14" t="str">
        <f t="shared" si="3"/>
        <v/>
      </c>
      <c r="F529" s="7" t="str">
        <f>IF($A529&lt;&gt;"",MAXIFS(Token!$C:$C,Token!$A:$A,$D529),)</f>
        <v/>
      </c>
    </row>
    <row r="530">
      <c r="A530" s="39" t="str">
        <f>IF(AND($L530*1&gt;=$G$3,$L530*1&lt;=$G$4,$I530*$J530&gt;0,OR($I530&lt;&gt;$I531,$L530-$L531&gt;25),IF(ABS($I530)&gt;10,$I530/POW(10,$J530),$J530/POW(10,$I530))*MAXIFS(Token!$C:$C,Token!$A:$A,$K530)&gt;0.01),$L530/86400+DATE(1970,1,1)+$G$6,)</f>
        <v/>
      </c>
      <c r="B530" s="27" t="str">
        <f t="shared" si="1"/>
        <v/>
      </c>
      <c r="C530" s="14" t="str">
        <f>IF($A530&lt;&gt;"",MINIFS(Merchant!$A:$A,Merchant!$B:$B,$G$2),)</f>
        <v/>
      </c>
      <c r="D530" s="14" t="str">
        <f t="shared" si="2"/>
        <v/>
      </c>
      <c r="E530" s="14" t="str">
        <f t="shared" si="3"/>
        <v/>
      </c>
      <c r="F530" s="7" t="str">
        <f>IF($A530&lt;&gt;"",MAXIFS(Token!$C:$C,Token!$A:$A,$D530),)</f>
        <v/>
      </c>
    </row>
    <row r="531">
      <c r="A531" s="39" t="str">
        <f>IF(AND($L531*1&gt;=$G$3,$L531*1&lt;=$G$4,$I531*$J531&gt;0,OR($I531&lt;&gt;$I532,$L531-$L532&gt;25),IF(ABS($I531)&gt;10,$I531/POW(10,$J531),$J531/POW(10,$I531))*MAXIFS(Token!$C:$C,Token!$A:$A,$K531)&gt;0.01),$L531/86400+DATE(1970,1,1)+$G$6,)</f>
        <v/>
      </c>
      <c r="B531" s="27" t="str">
        <f t="shared" si="1"/>
        <v/>
      </c>
      <c r="C531" s="14" t="str">
        <f>IF($A531&lt;&gt;"",MINIFS(Merchant!$A:$A,Merchant!$B:$B,$G$2),)</f>
        <v/>
      </c>
      <c r="D531" s="14" t="str">
        <f t="shared" si="2"/>
        <v/>
      </c>
      <c r="E531" s="14" t="str">
        <f t="shared" si="3"/>
        <v/>
      </c>
      <c r="F531" s="7" t="str">
        <f>IF($A531&lt;&gt;"",MAXIFS(Token!$C:$C,Token!$A:$A,$D531),)</f>
        <v/>
      </c>
    </row>
    <row r="532">
      <c r="A532" s="39" t="str">
        <f>IF(AND($L532*1&gt;=$G$3,$L532*1&lt;=$G$4,$I532*$J532&gt;0,OR($I532&lt;&gt;$I533,$L532-$L533&gt;25),IF(ABS($I532)&gt;10,$I532/POW(10,$J532),$J532/POW(10,$I532))*MAXIFS(Token!$C:$C,Token!$A:$A,$K532)&gt;0.01),$L532/86400+DATE(1970,1,1)+$G$6,)</f>
        <v/>
      </c>
      <c r="B532" s="27" t="str">
        <f t="shared" si="1"/>
        <v/>
      </c>
      <c r="C532" s="14" t="str">
        <f>IF($A532&lt;&gt;"",MINIFS(Merchant!$A:$A,Merchant!$B:$B,$G$2),)</f>
        <v/>
      </c>
      <c r="D532" s="14" t="str">
        <f t="shared" si="2"/>
        <v/>
      </c>
      <c r="E532" s="14" t="str">
        <f t="shared" si="3"/>
        <v/>
      </c>
      <c r="F532" s="7" t="str">
        <f>IF($A532&lt;&gt;"",MAXIFS(Token!$C:$C,Token!$A:$A,$D532),)</f>
        <v/>
      </c>
    </row>
    <row r="533">
      <c r="A533" s="39" t="str">
        <f>IF(AND($L533*1&gt;=$G$3,$L533*1&lt;=$G$4,$I533*$J533&gt;0,OR($I533&lt;&gt;$I534,$L533-$L534&gt;25),IF(ABS($I533)&gt;10,$I533/POW(10,$J533),$J533/POW(10,$I533))*MAXIFS(Token!$C:$C,Token!$A:$A,$K533)&gt;0.01),$L533/86400+DATE(1970,1,1)+$G$6,)</f>
        <v/>
      </c>
      <c r="B533" s="27" t="str">
        <f t="shared" si="1"/>
        <v/>
      </c>
      <c r="C533" s="14" t="str">
        <f>IF($A533&lt;&gt;"",MINIFS(Merchant!$A:$A,Merchant!$B:$B,$G$2),)</f>
        <v/>
      </c>
      <c r="D533" s="14" t="str">
        <f t="shared" si="2"/>
        <v/>
      </c>
      <c r="E533" s="14" t="str">
        <f t="shared" si="3"/>
        <v/>
      </c>
      <c r="F533" s="7" t="str">
        <f>IF($A533&lt;&gt;"",MAXIFS(Token!$C:$C,Token!$A:$A,$D533),)</f>
        <v/>
      </c>
    </row>
    <row r="534">
      <c r="A534" s="39" t="str">
        <f>IF(AND($L534*1&gt;=$G$3,$L534*1&lt;=$G$4,$I534*$J534&gt;0,OR($I534&lt;&gt;$I535,$L534-$L535&gt;25),IF(ABS($I534)&gt;10,$I534/POW(10,$J534),$J534/POW(10,$I534))*MAXIFS(Token!$C:$C,Token!$A:$A,$K534)&gt;0.01),$L534/86400+DATE(1970,1,1)+$G$6,)</f>
        <v/>
      </c>
      <c r="B534" s="27" t="str">
        <f t="shared" si="1"/>
        <v/>
      </c>
      <c r="C534" s="14" t="str">
        <f>IF($A534&lt;&gt;"",MINIFS(Merchant!$A:$A,Merchant!$B:$B,$G$2),)</f>
        <v/>
      </c>
      <c r="D534" s="14" t="str">
        <f t="shared" si="2"/>
        <v/>
      </c>
      <c r="E534" s="14" t="str">
        <f t="shared" si="3"/>
        <v/>
      </c>
      <c r="F534" s="7" t="str">
        <f>IF($A534&lt;&gt;"",MAXIFS(Token!$C:$C,Token!$A:$A,$D534),)</f>
        <v/>
      </c>
    </row>
    <row r="535">
      <c r="A535" s="39" t="str">
        <f>IF(AND($L535*1&gt;=$G$3,$L535*1&lt;=$G$4,$I535*$J535&gt;0,OR($I535&lt;&gt;$I536,$L535-$L536&gt;25),IF(ABS($I535)&gt;10,$I535/POW(10,$J535),$J535/POW(10,$I535))*MAXIFS(Token!$C:$C,Token!$A:$A,$K535)&gt;0.01),$L535/86400+DATE(1970,1,1)+$G$6,)</f>
        <v/>
      </c>
      <c r="B535" s="27" t="str">
        <f t="shared" si="1"/>
        <v/>
      </c>
      <c r="C535" s="14" t="str">
        <f>IF($A535&lt;&gt;"",MINIFS(Merchant!$A:$A,Merchant!$B:$B,$G$2),)</f>
        <v/>
      </c>
      <c r="D535" s="14" t="str">
        <f t="shared" si="2"/>
        <v/>
      </c>
      <c r="E535" s="14" t="str">
        <f t="shared" si="3"/>
        <v/>
      </c>
      <c r="F535" s="7" t="str">
        <f>IF($A535&lt;&gt;"",MAXIFS(Token!$C:$C,Token!$A:$A,$D535),)</f>
        <v/>
      </c>
    </row>
    <row r="536">
      <c r="A536" s="39" t="str">
        <f>IF(AND($L536*1&gt;=$G$3,$L536*1&lt;=$G$4,$I536*$J536&gt;0,OR($I536&lt;&gt;$I537,$L536-$L537&gt;25),IF(ABS($I536)&gt;10,$I536/POW(10,$J536),$J536/POW(10,$I536))*MAXIFS(Token!$C:$C,Token!$A:$A,$K536)&gt;0.01),$L536/86400+DATE(1970,1,1)+$G$6,)</f>
        <v/>
      </c>
      <c r="B536" s="27" t="str">
        <f t="shared" si="1"/>
        <v/>
      </c>
      <c r="C536" s="14" t="str">
        <f>IF($A536&lt;&gt;"",MINIFS(Merchant!$A:$A,Merchant!$B:$B,$G$2),)</f>
        <v/>
      </c>
      <c r="D536" s="14" t="str">
        <f t="shared" si="2"/>
        <v/>
      </c>
      <c r="E536" s="14" t="str">
        <f t="shared" si="3"/>
        <v/>
      </c>
      <c r="F536" s="7" t="str">
        <f>IF($A536&lt;&gt;"",MAXIFS(Token!$C:$C,Token!$A:$A,$D536),)</f>
        <v/>
      </c>
    </row>
    <row r="537">
      <c r="A537" s="39" t="str">
        <f>IF(AND($L537*1&gt;=$G$3,$L537*1&lt;=$G$4,$I537*$J537&gt;0,OR($I537&lt;&gt;$I538,$L537-$L538&gt;25),IF(ABS($I537)&gt;10,$I537/POW(10,$J537),$J537/POW(10,$I537))*MAXIFS(Token!$C:$C,Token!$A:$A,$K537)&gt;0.01),$L537/86400+DATE(1970,1,1)+$G$6,)</f>
        <v/>
      </c>
      <c r="B537" s="27" t="str">
        <f t="shared" si="1"/>
        <v/>
      </c>
      <c r="C537" s="14" t="str">
        <f>IF($A537&lt;&gt;"",MINIFS(Merchant!$A:$A,Merchant!$B:$B,$G$2),)</f>
        <v/>
      </c>
      <c r="D537" s="14" t="str">
        <f t="shared" si="2"/>
        <v/>
      </c>
      <c r="E537" s="14" t="str">
        <f t="shared" si="3"/>
        <v/>
      </c>
      <c r="F537" s="7" t="str">
        <f>IF($A537&lt;&gt;"",MAXIFS(Token!$C:$C,Token!$A:$A,$D537),)</f>
        <v/>
      </c>
    </row>
    <row r="538">
      <c r="A538" s="39" t="str">
        <f>IF(AND($L538*1&gt;=$G$3,$L538*1&lt;=$G$4,$I538*$J538&gt;0,OR($I538&lt;&gt;$I539,$L538-$L539&gt;25),IF(ABS($I538)&gt;10,$I538/POW(10,$J538),$J538/POW(10,$I538))*MAXIFS(Token!$C:$C,Token!$A:$A,$K538)&gt;0.01),$L538/86400+DATE(1970,1,1)+$G$6,)</f>
        <v/>
      </c>
      <c r="B538" s="27" t="str">
        <f t="shared" si="1"/>
        <v/>
      </c>
      <c r="C538" s="14" t="str">
        <f>IF($A538&lt;&gt;"",MINIFS(Merchant!$A:$A,Merchant!$B:$B,$G$2),)</f>
        <v/>
      </c>
      <c r="D538" s="14" t="str">
        <f t="shared" si="2"/>
        <v/>
      </c>
      <c r="E538" s="14" t="str">
        <f t="shared" si="3"/>
        <v/>
      </c>
      <c r="F538" s="7" t="str">
        <f>IF($A538&lt;&gt;"",MAXIFS(Token!$C:$C,Token!$A:$A,$D538),)</f>
        <v/>
      </c>
    </row>
    <row r="539">
      <c r="A539" s="39" t="str">
        <f>IF(AND($L539*1&gt;=$G$3,$L539*1&lt;=$G$4,$I539*$J539&gt;0,OR($I539&lt;&gt;$I540,$L539-$L540&gt;25),IF(ABS($I539)&gt;10,$I539/POW(10,$J539),$J539/POW(10,$I539))*MAXIFS(Token!$C:$C,Token!$A:$A,$K539)&gt;0.01),$L539/86400+DATE(1970,1,1)+$G$6,)</f>
        <v/>
      </c>
      <c r="B539" s="27" t="str">
        <f t="shared" si="1"/>
        <v/>
      </c>
      <c r="C539" s="14" t="str">
        <f>IF($A539&lt;&gt;"",MINIFS(Merchant!$A:$A,Merchant!$B:$B,$G$2),)</f>
        <v/>
      </c>
      <c r="D539" s="14" t="str">
        <f t="shared" si="2"/>
        <v/>
      </c>
      <c r="E539" s="14" t="str">
        <f t="shared" si="3"/>
        <v/>
      </c>
      <c r="F539" s="7" t="str">
        <f>IF($A539&lt;&gt;"",MAXIFS(Token!$C:$C,Token!$A:$A,$D539),)</f>
        <v/>
      </c>
    </row>
    <row r="540">
      <c r="A540" s="39" t="str">
        <f>IF(AND($L540*1&gt;=$G$3,$L540*1&lt;=$G$4,$I540*$J540&gt;0,OR($I540&lt;&gt;$I541,$L540-$L541&gt;25),IF(ABS($I540)&gt;10,$I540/POW(10,$J540),$J540/POW(10,$I540))*MAXIFS(Token!$C:$C,Token!$A:$A,$K540)&gt;0.01),$L540/86400+DATE(1970,1,1)+$G$6,)</f>
        <v/>
      </c>
      <c r="B540" s="27" t="str">
        <f t="shared" si="1"/>
        <v/>
      </c>
      <c r="C540" s="14" t="str">
        <f>IF($A540&lt;&gt;"",MINIFS(Merchant!$A:$A,Merchant!$B:$B,$G$2),)</f>
        <v/>
      </c>
      <c r="D540" s="14" t="str">
        <f t="shared" si="2"/>
        <v/>
      </c>
      <c r="E540" s="14" t="str">
        <f t="shared" si="3"/>
        <v/>
      </c>
      <c r="F540" s="7" t="str">
        <f>IF($A540&lt;&gt;"",MAXIFS(Token!$C:$C,Token!$A:$A,$D540),)</f>
        <v/>
      </c>
    </row>
    <row r="541">
      <c r="A541" s="39" t="str">
        <f>IF(AND($L541*1&gt;=$G$3,$L541*1&lt;=$G$4,$I541*$J541&gt;0,OR($I541&lt;&gt;$I542,$L541-$L542&gt;25),IF(ABS($I541)&gt;10,$I541/POW(10,$J541),$J541/POW(10,$I541))*MAXIFS(Token!$C:$C,Token!$A:$A,$K541)&gt;0.01),$L541/86400+DATE(1970,1,1)+$G$6,)</f>
        <v/>
      </c>
      <c r="B541" s="27" t="str">
        <f t="shared" si="1"/>
        <v/>
      </c>
      <c r="C541" s="14" t="str">
        <f>IF($A541&lt;&gt;"",MINIFS(Merchant!$A:$A,Merchant!$B:$B,$G$2),)</f>
        <v/>
      </c>
      <c r="D541" s="14" t="str">
        <f t="shared" si="2"/>
        <v/>
      </c>
      <c r="E541" s="14" t="str">
        <f t="shared" si="3"/>
        <v/>
      </c>
      <c r="F541" s="7" t="str">
        <f>IF($A541&lt;&gt;"",MAXIFS(Token!$C:$C,Token!$A:$A,$D541),)</f>
        <v/>
      </c>
    </row>
    <row r="542">
      <c r="A542" s="39" t="str">
        <f>IF(AND($L542*1&gt;=$G$3,$L542*1&lt;=$G$4,$I542*$J542&gt;0,OR($I542&lt;&gt;$I543,$L542-$L543&gt;25),IF(ABS($I542)&gt;10,$I542/POW(10,$J542),$J542/POW(10,$I542))*MAXIFS(Token!$C:$C,Token!$A:$A,$K542)&gt;0.01),$L542/86400+DATE(1970,1,1)+$G$6,)</f>
        <v/>
      </c>
      <c r="B542" s="27" t="str">
        <f t="shared" si="1"/>
        <v/>
      </c>
      <c r="C542" s="14" t="str">
        <f>IF($A542&lt;&gt;"",MINIFS(Merchant!$A:$A,Merchant!$B:$B,$G$2),)</f>
        <v/>
      </c>
      <c r="D542" s="14" t="str">
        <f t="shared" si="2"/>
        <v/>
      </c>
      <c r="E542" s="14" t="str">
        <f t="shared" si="3"/>
        <v/>
      </c>
      <c r="F542" s="7" t="str">
        <f>IF($A542&lt;&gt;"",MAXIFS(Token!$C:$C,Token!$A:$A,$D542),)</f>
        <v/>
      </c>
    </row>
    <row r="543">
      <c r="A543" s="39" t="str">
        <f>IF(AND($L543*1&gt;=$G$3,$L543*1&lt;=$G$4,$I543*$J543&gt;0,OR($I543&lt;&gt;$I544,$L543-$L544&gt;25),IF(ABS($I543)&gt;10,$I543/POW(10,$J543),$J543/POW(10,$I543))*MAXIFS(Token!$C:$C,Token!$A:$A,$K543)&gt;0.01),$L543/86400+DATE(1970,1,1)+$G$6,)</f>
        <v/>
      </c>
      <c r="B543" s="27" t="str">
        <f t="shared" si="1"/>
        <v/>
      </c>
      <c r="C543" s="14" t="str">
        <f>IF($A543&lt;&gt;"",MINIFS(Merchant!$A:$A,Merchant!$B:$B,$G$2),)</f>
        <v/>
      </c>
      <c r="D543" s="14" t="str">
        <f t="shared" si="2"/>
        <v/>
      </c>
      <c r="E543" s="14" t="str">
        <f t="shared" si="3"/>
        <v/>
      </c>
      <c r="F543" s="7" t="str">
        <f>IF($A543&lt;&gt;"",MAXIFS(Token!$C:$C,Token!$A:$A,$D543),)</f>
        <v/>
      </c>
    </row>
    <row r="544">
      <c r="A544" s="39" t="str">
        <f>IF(AND($L544*1&gt;=$G$3,$L544*1&lt;=$G$4,$I544*$J544&gt;0,OR($I544&lt;&gt;$I545,$L544-$L545&gt;25),IF(ABS($I544)&gt;10,$I544/POW(10,$J544),$J544/POW(10,$I544))*MAXIFS(Token!$C:$C,Token!$A:$A,$K544)&gt;0.01),$L544/86400+DATE(1970,1,1)+$G$6,)</f>
        <v/>
      </c>
      <c r="B544" s="27" t="str">
        <f t="shared" si="1"/>
        <v/>
      </c>
      <c r="C544" s="14" t="str">
        <f>IF($A544&lt;&gt;"",MINIFS(Merchant!$A:$A,Merchant!$B:$B,$G$2),)</f>
        <v/>
      </c>
      <c r="D544" s="14" t="str">
        <f t="shared" si="2"/>
        <v/>
      </c>
      <c r="E544" s="14" t="str">
        <f t="shared" si="3"/>
        <v/>
      </c>
      <c r="F544" s="7" t="str">
        <f>IF($A544&lt;&gt;"",MAXIFS(Token!$C:$C,Token!$A:$A,$D544),)</f>
        <v/>
      </c>
    </row>
    <row r="545">
      <c r="A545" s="39" t="str">
        <f>IF(AND($L545*1&gt;=$G$3,$L545*1&lt;=$G$4,$I545*$J545&gt;0,OR($I545&lt;&gt;$I546,$L545-$L546&gt;25),IF(ABS($I545)&gt;10,$I545/POW(10,$J545),$J545/POW(10,$I545))*MAXIFS(Token!$C:$C,Token!$A:$A,$K545)&gt;0.01),$L545/86400+DATE(1970,1,1)+$G$6,)</f>
        <v/>
      </c>
      <c r="B545" s="27" t="str">
        <f t="shared" si="1"/>
        <v/>
      </c>
      <c r="C545" s="14" t="str">
        <f>IF($A545&lt;&gt;"",MINIFS(Merchant!$A:$A,Merchant!$B:$B,$G$2),)</f>
        <v/>
      </c>
      <c r="D545" s="14" t="str">
        <f t="shared" si="2"/>
        <v/>
      </c>
      <c r="E545" s="14" t="str">
        <f t="shared" si="3"/>
        <v/>
      </c>
      <c r="F545" s="7" t="str">
        <f>IF($A545&lt;&gt;"",MAXIFS(Token!$C:$C,Token!$A:$A,$D545),)</f>
        <v/>
      </c>
    </row>
    <row r="546">
      <c r="A546" s="39" t="str">
        <f>IF(AND($L546*1&gt;=$G$3,$L546*1&lt;=$G$4,$I546*$J546&gt;0,OR($I546&lt;&gt;$I547,$L546-$L547&gt;25),IF(ABS($I546)&gt;10,$I546/POW(10,$J546),$J546/POW(10,$I546))*MAXIFS(Token!$C:$C,Token!$A:$A,$K546)&gt;0.01),$L546/86400+DATE(1970,1,1)+$G$6,)</f>
        <v/>
      </c>
      <c r="B546" s="27" t="str">
        <f t="shared" si="1"/>
        <v/>
      </c>
      <c r="C546" s="14" t="str">
        <f>IF($A546&lt;&gt;"",MINIFS(Merchant!$A:$A,Merchant!$B:$B,$G$2),)</f>
        <v/>
      </c>
      <c r="D546" s="14" t="str">
        <f t="shared" si="2"/>
        <v/>
      </c>
      <c r="E546" s="14" t="str">
        <f t="shared" si="3"/>
        <v/>
      </c>
      <c r="F546" s="7" t="str">
        <f>IF($A546&lt;&gt;"",MAXIFS(Token!$C:$C,Token!$A:$A,$D546),)</f>
        <v/>
      </c>
    </row>
    <row r="547">
      <c r="A547" s="39" t="str">
        <f>IF(AND($L547*1&gt;=$G$3,$L547*1&lt;=$G$4,$I547*$J547&gt;0,OR($I547&lt;&gt;$I548,$L547-$L548&gt;25),IF(ABS($I547)&gt;10,$I547/POW(10,$J547),$J547/POW(10,$I547))*MAXIFS(Token!$C:$C,Token!$A:$A,$K547)&gt;0.01),$L547/86400+DATE(1970,1,1)+$G$6,)</f>
        <v/>
      </c>
      <c r="B547" s="27" t="str">
        <f t="shared" si="1"/>
        <v/>
      </c>
      <c r="C547" s="14" t="str">
        <f>IF($A547&lt;&gt;"",MINIFS(Merchant!$A:$A,Merchant!$B:$B,$G$2),)</f>
        <v/>
      </c>
      <c r="D547" s="14" t="str">
        <f t="shared" si="2"/>
        <v/>
      </c>
      <c r="E547" s="14" t="str">
        <f t="shared" si="3"/>
        <v/>
      </c>
      <c r="F547" s="7" t="str">
        <f>IF($A547&lt;&gt;"",MAXIFS(Token!$C:$C,Token!$A:$A,$D547),)</f>
        <v/>
      </c>
    </row>
    <row r="548">
      <c r="A548" s="39" t="str">
        <f>IF(AND($L548*1&gt;=$G$3,$L548*1&lt;=$G$4,$I548*$J548&gt;0,OR($I548&lt;&gt;$I549,$L548-$L549&gt;25),IF(ABS($I548)&gt;10,$I548/POW(10,$J548),$J548/POW(10,$I548))*MAXIFS(Token!$C:$C,Token!$A:$A,$K548)&gt;0.01),$L548/86400+DATE(1970,1,1)+$G$6,)</f>
        <v/>
      </c>
      <c r="B548" s="27" t="str">
        <f t="shared" si="1"/>
        <v/>
      </c>
      <c r="C548" s="14" t="str">
        <f>IF($A548&lt;&gt;"",MINIFS(Merchant!$A:$A,Merchant!$B:$B,$G$2),)</f>
        <v/>
      </c>
      <c r="D548" s="14" t="str">
        <f t="shared" si="2"/>
        <v/>
      </c>
      <c r="E548" s="14" t="str">
        <f t="shared" si="3"/>
        <v/>
      </c>
      <c r="F548" s="7" t="str">
        <f>IF($A548&lt;&gt;"",MAXIFS(Token!$C:$C,Token!$A:$A,$D548),)</f>
        <v/>
      </c>
    </row>
    <row r="549">
      <c r="A549" s="39" t="str">
        <f>IF(AND($L549*1&gt;=$G$3,$L549*1&lt;=$G$4,$I549*$J549&gt;0,OR($I549&lt;&gt;$I550,$L549-$L550&gt;25),IF(ABS($I549)&gt;10,$I549/POW(10,$J549),$J549/POW(10,$I549))*MAXIFS(Token!$C:$C,Token!$A:$A,$K549)&gt;0.01),$L549/86400+DATE(1970,1,1)+$G$6,)</f>
        <v/>
      </c>
      <c r="B549" s="27" t="str">
        <f t="shared" si="1"/>
        <v/>
      </c>
      <c r="C549" s="14" t="str">
        <f>IF($A549&lt;&gt;"",MINIFS(Merchant!$A:$A,Merchant!$B:$B,$G$2),)</f>
        <v/>
      </c>
      <c r="D549" s="14" t="str">
        <f t="shared" si="2"/>
        <v/>
      </c>
      <c r="E549" s="14" t="str">
        <f t="shared" si="3"/>
        <v/>
      </c>
      <c r="F549" s="7" t="str">
        <f>IF($A549&lt;&gt;"",MAXIFS(Token!$C:$C,Token!$A:$A,$D549),)</f>
        <v/>
      </c>
    </row>
    <row r="550">
      <c r="A550" s="39" t="str">
        <f>IF(AND($L550*1&gt;=$G$3,$L550*1&lt;=$G$4,$I550*$J550&gt;0,OR($I550&lt;&gt;$I551,$L550-$L551&gt;25),IF(ABS($I550)&gt;10,$I550/POW(10,$J550),$J550/POW(10,$I550))*MAXIFS(Token!$C:$C,Token!$A:$A,$K550)&gt;0.01),$L550/86400+DATE(1970,1,1)+$G$6,)</f>
        <v/>
      </c>
      <c r="B550" s="27" t="str">
        <f t="shared" si="1"/>
        <v/>
      </c>
      <c r="C550" s="14" t="str">
        <f>IF($A550&lt;&gt;"",MINIFS(Merchant!$A:$A,Merchant!$B:$B,$G$2),)</f>
        <v/>
      </c>
      <c r="D550" s="14" t="str">
        <f t="shared" si="2"/>
        <v/>
      </c>
      <c r="E550" s="14" t="str">
        <f t="shared" si="3"/>
        <v/>
      </c>
      <c r="F550" s="7" t="str">
        <f>IF($A550&lt;&gt;"",MAXIFS(Token!$C:$C,Token!$A:$A,$D550),)</f>
        <v/>
      </c>
    </row>
    <row r="551">
      <c r="A551" s="39" t="str">
        <f>IF(AND($L551*1&gt;=$G$3,$L551*1&lt;=$G$4,$I551*$J551&gt;0,OR($I551&lt;&gt;$I552,$L551-$L552&gt;25),IF(ABS($I551)&gt;10,$I551/POW(10,$J551),$J551/POW(10,$I551))*MAXIFS(Token!$C:$C,Token!$A:$A,$K551)&gt;0.01),$L551/86400+DATE(1970,1,1)+$G$6,)</f>
        <v/>
      </c>
      <c r="B551" s="27" t="str">
        <f t="shared" si="1"/>
        <v/>
      </c>
      <c r="C551" s="14" t="str">
        <f>IF($A551&lt;&gt;"",MINIFS(Merchant!$A:$A,Merchant!$B:$B,$G$2),)</f>
        <v/>
      </c>
      <c r="D551" s="14" t="str">
        <f t="shared" si="2"/>
        <v/>
      </c>
      <c r="E551" s="14" t="str">
        <f t="shared" si="3"/>
        <v/>
      </c>
      <c r="F551" s="7" t="str">
        <f>IF($A551&lt;&gt;"",MAXIFS(Token!$C:$C,Token!$A:$A,$D551),)</f>
        <v/>
      </c>
    </row>
    <row r="552">
      <c r="A552" s="39" t="str">
        <f>IF(AND($L552*1&gt;=$G$3,$L552*1&lt;=$G$4,$I552*$J552&gt;0,OR($I552&lt;&gt;$I553,$L552-$L553&gt;25),IF(ABS($I552)&gt;10,$I552/POW(10,$J552),$J552/POW(10,$I552))*MAXIFS(Token!$C:$C,Token!$A:$A,$K552)&gt;0.01),$L552/86400+DATE(1970,1,1)+$G$6,)</f>
        <v/>
      </c>
      <c r="B552" s="27" t="str">
        <f t="shared" si="1"/>
        <v/>
      </c>
      <c r="C552" s="14" t="str">
        <f>IF($A552&lt;&gt;"",MINIFS(Merchant!$A:$A,Merchant!$B:$B,$G$2),)</f>
        <v/>
      </c>
      <c r="D552" s="14" t="str">
        <f t="shared" si="2"/>
        <v/>
      </c>
      <c r="E552" s="14" t="str">
        <f t="shared" si="3"/>
        <v/>
      </c>
      <c r="F552" s="7" t="str">
        <f>IF($A552&lt;&gt;"",MAXIFS(Token!$C:$C,Token!$A:$A,$D552),)</f>
        <v/>
      </c>
    </row>
    <row r="553">
      <c r="A553" s="39" t="str">
        <f>IF(AND($L553*1&gt;=$G$3,$L553*1&lt;=$G$4,$I553*$J553&gt;0,OR($I553&lt;&gt;$I554,$L553-$L554&gt;25),IF(ABS($I553)&gt;10,$I553/POW(10,$J553),$J553/POW(10,$I553))*MAXIFS(Token!$C:$C,Token!$A:$A,$K553)&gt;0.01),$L553/86400+DATE(1970,1,1)+$G$6,)</f>
        <v/>
      </c>
      <c r="B553" s="27" t="str">
        <f t="shared" si="1"/>
        <v/>
      </c>
      <c r="C553" s="14" t="str">
        <f>IF($A553&lt;&gt;"",MINIFS(Merchant!$A:$A,Merchant!$B:$B,$G$2),)</f>
        <v/>
      </c>
      <c r="D553" s="14" t="str">
        <f t="shared" si="2"/>
        <v/>
      </c>
      <c r="E553" s="14" t="str">
        <f t="shared" si="3"/>
        <v/>
      </c>
      <c r="F553" s="7" t="str">
        <f>IF($A553&lt;&gt;"",MAXIFS(Token!$C:$C,Token!$A:$A,$D553),)</f>
        <v/>
      </c>
    </row>
    <row r="554">
      <c r="A554" s="39" t="str">
        <f>IF(AND($L554*1&gt;=$G$3,$L554*1&lt;=$G$4,$I554*$J554&gt;0,OR($I554&lt;&gt;$I555,$L554-$L555&gt;25),IF(ABS($I554)&gt;10,$I554/POW(10,$J554),$J554/POW(10,$I554))*MAXIFS(Token!$C:$C,Token!$A:$A,$K554)&gt;0.01),$L554/86400+DATE(1970,1,1)+$G$6,)</f>
        <v/>
      </c>
      <c r="B554" s="27" t="str">
        <f t="shared" si="1"/>
        <v/>
      </c>
      <c r="C554" s="14" t="str">
        <f>IF($A554&lt;&gt;"",MINIFS(Merchant!$A:$A,Merchant!$B:$B,$G$2),)</f>
        <v/>
      </c>
      <c r="D554" s="14" t="str">
        <f t="shared" si="2"/>
        <v/>
      </c>
      <c r="E554" s="14" t="str">
        <f t="shared" si="3"/>
        <v/>
      </c>
      <c r="F554" s="7" t="str">
        <f>IF($A554&lt;&gt;"",MAXIFS(Token!$C:$C,Token!$A:$A,$D554),)</f>
        <v/>
      </c>
    </row>
    <row r="555">
      <c r="A555" s="39" t="str">
        <f>IF(AND($L555*1&gt;=$G$3,$L555*1&lt;=$G$4,$I555*$J555&gt;0,OR($I555&lt;&gt;$I556,$L555-$L556&gt;25),IF(ABS($I555)&gt;10,$I555/POW(10,$J555),$J555/POW(10,$I555))*MAXIFS(Token!$C:$C,Token!$A:$A,$K555)&gt;0.01),$L555/86400+DATE(1970,1,1)+$G$6,)</f>
        <v/>
      </c>
      <c r="B555" s="27" t="str">
        <f t="shared" si="1"/>
        <v/>
      </c>
      <c r="C555" s="14" t="str">
        <f>IF($A555&lt;&gt;"",MINIFS(Merchant!$A:$A,Merchant!$B:$B,$G$2),)</f>
        <v/>
      </c>
      <c r="D555" s="14" t="str">
        <f t="shared" si="2"/>
        <v/>
      </c>
      <c r="E555" s="14" t="str">
        <f t="shared" si="3"/>
        <v/>
      </c>
      <c r="F555" s="7" t="str">
        <f>IF($A555&lt;&gt;"",MAXIFS(Token!$C:$C,Token!$A:$A,$D555),)</f>
        <v/>
      </c>
    </row>
    <row r="556">
      <c r="A556" s="39" t="str">
        <f>IF(AND($L556*1&gt;=$G$3,$L556*1&lt;=$G$4,$I556*$J556&gt;0,OR($I556&lt;&gt;$I557,$L556-$L557&gt;25),IF(ABS($I556)&gt;10,$I556/POW(10,$J556),$J556/POW(10,$I556))*MAXIFS(Token!$C:$C,Token!$A:$A,$K556)&gt;0.01),$L556/86400+DATE(1970,1,1)+$G$6,)</f>
        <v/>
      </c>
      <c r="B556" s="27" t="str">
        <f t="shared" si="1"/>
        <v/>
      </c>
      <c r="C556" s="14" t="str">
        <f>IF($A556&lt;&gt;"",MINIFS(Merchant!$A:$A,Merchant!$B:$B,$G$2),)</f>
        <v/>
      </c>
      <c r="D556" s="14" t="str">
        <f t="shared" si="2"/>
        <v/>
      </c>
      <c r="E556" s="14" t="str">
        <f t="shared" si="3"/>
        <v/>
      </c>
      <c r="F556" s="7" t="str">
        <f>IF($A556&lt;&gt;"",MAXIFS(Token!$C:$C,Token!$A:$A,$D556),)</f>
        <v/>
      </c>
    </row>
    <row r="557">
      <c r="A557" s="39" t="str">
        <f>IF(AND($L557*1&gt;=$G$3,$L557*1&lt;=$G$4,$I557*$J557&gt;0,OR($I557&lt;&gt;$I558,$L557-$L558&gt;25),IF(ABS($I557)&gt;10,$I557/POW(10,$J557),$J557/POW(10,$I557))*MAXIFS(Token!$C:$C,Token!$A:$A,$K557)&gt;0.01),$L557/86400+DATE(1970,1,1)+$G$6,)</f>
        <v/>
      </c>
      <c r="B557" s="27" t="str">
        <f t="shared" si="1"/>
        <v/>
      </c>
      <c r="C557" s="14" t="str">
        <f>IF($A557&lt;&gt;"",MINIFS(Merchant!$A:$A,Merchant!$B:$B,$G$2),)</f>
        <v/>
      </c>
      <c r="D557" s="14" t="str">
        <f t="shared" si="2"/>
        <v/>
      </c>
      <c r="E557" s="14" t="str">
        <f t="shared" si="3"/>
        <v/>
      </c>
      <c r="F557" s="7" t="str">
        <f>IF($A557&lt;&gt;"",MAXIFS(Token!$C:$C,Token!$A:$A,$D557),)</f>
        <v/>
      </c>
    </row>
    <row r="558">
      <c r="A558" s="39" t="str">
        <f>IF(AND($L558*1&gt;=$G$3,$L558*1&lt;=$G$4,$I558*$J558&gt;0,OR($I558&lt;&gt;$I559,$L558-$L559&gt;25),IF(ABS($I558)&gt;10,$I558/POW(10,$J558),$J558/POW(10,$I558))*MAXIFS(Token!$C:$C,Token!$A:$A,$K558)&gt;0.01),$L558/86400+DATE(1970,1,1)+$G$6,)</f>
        <v/>
      </c>
      <c r="B558" s="27" t="str">
        <f t="shared" si="1"/>
        <v/>
      </c>
      <c r="C558" s="14" t="str">
        <f>IF($A558&lt;&gt;"",MINIFS(Merchant!$A:$A,Merchant!$B:$B,$G$2),)</f>
        <v/>
      </c>
      <c r="D558" s="14" t="str">
        <f t="shared" si="2"/>
        <v/>
      </c>
      <c r="E558" s="14" t="str">
        <f t="shared" si="3"/>
        <v/>
      </c>
      <c r="F558" s="7" t="str">
        <f>IF($A558&lt;&gt;"",MAXIFS(Token!$C:$C,Token!$A:$A,$D558),)</f>
        <v/>
      </c>
    </row>
    <row r="559">
      <c r="A559" s="39" t="str">
        <f>IF(AND($L559*1&gt;=$G$3,$L559*1&lt;=$G$4,$I559*$J559&gt;0,OR($I559&lt;&gt;$I560,$L559-$L560&gt;25),IF(ABS($I559)&gt;10,$I559/POW(10,$J559),$J559/POW(10,$I559))*MAXIFS(Token!$C:$C,Token!$A:$A,$K559)&gt;0.01),$L559/86400+DATE(1970,1,1)+$G$6,)</f>
        <v/>
      </c>
      <c r="B559" s="27" t="str">
        <f t="shared" si="1"/>
        <v/>
      </c>
      <c r="C559" s="14" t="str">
        <f>IF($A559&lt;&gt;"",MINIFS(Merchant!$A:$A,Merchant!$B:$B,$G$2),)</f>
        <v/>
      </c>
      <c r="D559" s="14" t="str">
        <f t="shared" si="2"/>
        <v/>
      </c>
      <c r="E559" s="14" t="str">
        <f t="shared" si="3"/>
        <v/>
      </c>
      <c r="F559" s="7" t="str">
        <f>IF($A559&lt;&gt;"",MAXIFS(Token!$C:$C,Token!$A:$A,$D559),)</f>
        <v/>
      </c>
    </row>
    <row r="560">
      <c r="A560" s="39" t="str">
        <f>IF(AND($L560*1&gt;=$G$3,$L560*1&lt;=$G$4,$I560*$J560&gt;0,OR($I560&lt;&gt;$I561,$L560-$L561&gt;25),IF(ABS($I560)&gt;10,$I560/POW(10,$J560),$J560/POW(10,$I560))*MAXIFS(Token!$C:$C,Token!$A:$A,$K560)&gt;0.01),$L560/86400+DATE(1970,1,1)+$G$6,)</f>
        <v/>
      </c>
      <c r="B560" s="27" t="str">
        <f t="shared" si="1"/>
        <v/>
      </c>
      <c r="C560" s="14" t="str">
        <f>IF($A560&lt;&gt;"",MINIFS(Merchant!$A:$A,Merchant!$B:$B,$G$2),)</f>
        <v/>
      </c>
      <c r="D560" s="14" t="str">
        <f t="shared" si="2"/>
        <v/>
      </c>
      <c r="E560" s="14" t="str">
        <f t="shared" si="3"/>
        <v/>
      </c>
      <c r="F560" s="7" t="str">
        <f>IF($A560&lt;&gt;"",MAXIFS(Token!$C:$C,Token!$A:$A,$D560),)</f>
        <v/>
      </c>
    </row>
    <row r="561">
      <c r="A561" s="39" t="str">
        <f>IF(AND($L561*1&gt;=$G$3,$L561*1&lt;=$G$4,$I561*$J561&gt;0,OR($I561&lt;&gt;$I562,$L561-$L562&gt;25),IF(ABS($I561)&gt;10,$I561/POW(10,$J561),$J561/POW(10,$I561))*MAXIFS(Token!$C:$C,Token!$A:$A,$K561)&gt;0.01),$L561/86400+DATE(1970,1,1)+$G$6,)</f>
        <v/>
      </c>
      <c r="B561" s="27" t="str">
        <f t="shared" si="1"/>
        <v/>
      </c>
      <c r="C561" s="14" t="str">
        <f>IF($A561&lt;&gt;"",MINIFS(Merchant!$A:$A,Merchant!$B:$B,$G$2),)</f>
        <v/>
      </c>
      <c r="D561" s="14" t="str">
        <f t="shared" si="2"/>
        <v/>
      </c>
      <c r="E561" s="14" t="str">
        <f t="shared" si="3"/>
        <v/>
      </c>
      <c r="F561" s="7" t="str">
        <f>IF($A561&lt;&gt;"",MAXIFS(Token!$C:$C,Token!$A:$A,$D561),)</f>
        <v/>
      </c>
    </row>
    <row r="562">
      <c r="A562" s="39" t="str">
        <f>IF(AND($L562*1&gt;=$G$3,$L562*1&lt;=$G$4,$I562*$J562&gt;0,OR($I562&lt;&gt;$I563,$L562-$L563&gt;25),IF(ABS($I562)&gt;10,$I562/POW(10,$J562),$J562/POW(10,$I562))*MAXIFS(Token!$C:$C,Token!$A:$A,$K562)&gt;0.01),$L562/86400+DATE(1970,1,1)+$G$6,)</f>
        <v/>
      </c>
      <c r="B562" s="27" t="str">
        <f t="shared" si="1"/>
        <v/>
      </c>
      <c r="C562" s="14" t="str">
        <f>IF($A562&lt;&gt;"",MINIFS(Merchant!$A:$A,Merchant!$B:$B,$G$2),)</f>
        <v/>
      </c>
      <c r="D562" s="14" t="str">
        <f t="shared" si="2"/>
        <v/>
      </c>
      <c r="E562" s="14" t="str">
        <f t="shared" si="3"/>
        <v/>
      </c>
      <c r="F562" s="7" t="str">
        <f>IF($A562&lt;&gt;"",MAXIFS(Token!$C:$C,Token!$A:$A,$D562),)</f>
        <v/>
      </c>
    </row>
    <row r="563">
      <c r="A563" s="39" t="str">
        <f>IF(AND($L563*1&gt;=$G$3,$L563*1&lt;=$G$4,$I563*$J563&gt;0,OR($I563&lt;&gt;$I564,$L563-$L564&gt;25),IF(ABS($I563)&gt;10,$I563/POW(10,$J563),$J563/POW(10,$I563))*MAXIFS(Token!$C:$C,Token!$A:$A,$K563)&gt;0.01),$L563/86400+DATE(1970,1,1)+$G$6,)</f>
        <v/>
      </c>
      <c r="B563" s="27" t="str">
        <f t="shared" si="1"/>
        <v/>
      </c>
      <c r="C563" s="14" t="str">
        <f>IF($A563&lt;&gt;"",MINIFS(Merchant!$A:$A,Merchant!$B:$B,$G$2),)</f>
        <v/>
      </c>
      <c r="D563" s="14" t="str">
        <f t="shared" si="2"/>
        <v/>
      </c>
      <c r="E563" s="14" t="str">
        <f t="shared" si="3"/>
        <v/>
      </c>
      <c r="F563" s="7" t="str">
        <f>IF($A563&lt;&gt;"",MAXIFS(Token!$C:$C,Token!$A:$A,$D563),)</f>
        <v/>
      </c>
    </row>
    <row r="564">
      <c r="A564" s="39" t="str">
        <f>IF(AND($L564*1&gt;=$G$3,$L564*1&lt;=$G$4,$I564*$J564&gt;0,OR($I564&lt;&gt;$I565,$L564-$L565&gt;25),IF(ABS($I564)&gt;10,$I564/POW(10,$J564),$J564/POW(10,$I564))*MAXIFS(Token!$C:$C,Token!$A:$A,$K564)&gt;0.01),$L564/86400+DATE(1970,1,1)+$G$6,)</f>
        <v/>
      </c>
      <c r="B564" s="27" t="str">
        <f t="shared" si="1"/>
        <v/>
      </c>
      <c r="C564" s="14" t="str">
        <f>IF($A564&lt;&gt;"",MINIFS(Merchant!$A:$A,Merchant!$B:$B,$G$2),)</f>
        <v/>
      </c>
      <c r="D564" s="14" t="str">
        <f t="shared" si="2"/>
        <v/>
      </c>
      <c r="E564" s="14" t="str">
        <f t="shared" si="3"/>
        <v/>
      </c>
      <c r="F564" s="7" t="str">
        <f>IF($A564&lt;&gt;"",MAXIFS(Token!$C:$C,Token!$A:$A,$D564),)</f>
        <v/>
      </c>
    </row>
    <row r="565">
      <c r="A565" s="39" t="str">
        <f>IF(AND($L565*1&gt;=$G$3,$L565*1&lt;=$G$4,$I565*$J565&gt;0,OR($I565&lt;&gt;$I566,$L565-$L566&gt;25),IF(ABS($I565)&gt;10,$I565/POW(10,$J565),$J565/POW(10,$I565))*MAXIFS(Token!$C:$C,Token!$A:$A,$K565)&gt;0.01),$L565/86400+DATE(1970,1,1)+$G$6,)</f>
        <v/>
      </c>
      <c r="B565" s="27" t="str">
        <f t="shared" si="1"/>
        <v/>
      </c>
      <c r="C565" s="14" t="str">
        <f>IF($A565&lt;&gt;"",MINIFS(Merchant!$A:$A,Merchant!$B:$B,$G$2),)</f>
        <v/>
      </c>
      <c r="D565" s="14" t="str">
        <f t="shared" si="2"/>
        <v/>
      </c>
      <c r="E565" s="14" t="str">
        <f t="shared" si="3"/>
        <v/>
      </c>
      <c r="F565" s="7" t="str">
        <f>IF($A565&lt;&gt;"",MAXIFS(Token!$C:$C,Token!$A:$A,$D565),)</f>
        <v/>
      </c>
    </row>
    <row r="566">
      <c r="A566" s="39" t="str">
        <f>IF(AND($L566*1&gt;=$G$3,$L566*1&lt;=$G$4,$I566*$J566&gt;0,OR($I566&lt;&gt;$I567,$L566-$L567&gt;25),IF(ABS($I566)&gt;10,$I566/POW(10,$J566),$J566/POW(10,$I566))*MAXIFS(Token!$C:$C,Token!$A:$A,$K566)&gt;0.01),$L566/86400+DATE(1970,1,1)+$G$6,)</f>
        <v/>
      </c>
      <c r="B566" s="27" t="str">
        <f t="shared" si="1"/>
        <v/>
      </c>
      <c r="C566" s="14" t="str">
        <f>IF($A566&lt;&gt;"",MINIFS(Merchant!$A:$A,Merchant!$B:$B,$G$2),)</f>
        <v/>
      </c>
      <c r="D566" s="14" t="str">
        <f t="shared" si="2"/>
        <v/>
      </c>
      <c r="E566" s="14" t="str">
        <f t="shared" si="3"/>
        <v/>
      </c>
      <c r="F566" s="7" t="str">
        <f>IF($A566&lt;&gt;"",MAXIFS(Token!$C:$C,Token!$A:$A,$D566),)</f>
        <v/>
      </c>
    </row>
    <row r="567">
      <c r="A567" s="39" t="str">
        <f>IF(AND($L567*1&gt;=$G$3,$L567*1&lt;=$G$4,$I567*$J567&gt;0,OR($I567&lt;&gt;$I568,$L567-$L568&gt;25),IF(ABS($I567)&gt;10,$I567/POW(10,$J567),$J567/POW(10,$I567))*MAXIFS(Token!$C:$C,Token!$A:$A,$K567)&gt;0.01),$L567/86400+DATE(1970,1,1)+$G$6,)</f>
        <v/>
      </c>
      <c r="B567" s="27" t="str">
        <f t="shared" si="1"/>
        <v/>
      </c>
      <c r="C567" s="14" t="str">
        <f>IF($A567&lt;&gt;"",MINIFS(Merchant!$A:$A,Merchant!$B:$B,$G$2),)</f>
        <v/>
      </c>
      <c r="D567" s="14" t="str">
        <f t="shared" si="2"/>
        <v/>
      </c>
      <c r="E567" s="14" t="str">
        <f t="shared" si="3"/>
        <v/>
      </c>
      <c r="F567" s="7" t="str">
        <f>IF($A567&lt;&gt;"",MAXIFS(Token!$C:$C,Token!$A:$A,$D567),)</f>
        <v/>
      </c>
    </row>
    <row r="568">
      <c r="A568" s="39" t="str">
        <f>IF(AND($L568*1&gt;=$G$3,$L568*1&lt;=$G$4,$I568*$J568&gt;0,OR($I568&lt;&gt;$I569,$L568-$L569&gt;25),IF(ABS($I568)&gt;10,$I568/POW(10,$J568),$J568/POW(10,$I568))*MAXIFS(Token!$C:$C,Token!$A:$A,$K568)&gt;0.01),$L568/86400+DATE(1970,1,1)+$G$6,)</f>
        <v/>
      </c>
      <c r="B568" s="27" t="str">
        <f t="shared" si="1"/>
        <v/>
      </c>
      <c r="C568" s="14" t="str">
        <f>IF($A568&lt;&gt;"",MINIFS(Merchant!$A:$A,Merchant!$B:$B,$G$2),)</f>
        <v/>
      </c>
      <c r="D568" s="14" t="str">
        <f t="shared" si="2"/>
        <v/>
      </c>
      <c r="E568" s="14" t="str">
        <f t="shared" si="3"/>
        <v/>
      </c>
      <c r="F568" s="7" t="str">
        <f>IF($A568&lt;&gt;"",MAXIFS(Token!$C:$C,Token!$A:$A,$D568),)</f>
        <v/>
      </c>
    </row>
    <row r="569">
      <c r="A569" s="39" t="str">
        <f>IF(AND($L569*1&gt;=$G$3,$L569*1&lt;=$G$4,$I569*$J569&gt;0,OR($I569&lt;&gt;$I570,$L569-$L570&gt;25),IF(ABS($I569)&gt;10,$I569/POW(10,$J569),$J569/POW(10,$I569))*MAXIFS(Token!$C:$C,Token!$A:$A,$K569)&gt;0.01),$L569/86400+DATE(1970,1,1)+$G$6,)</f>
        <v/>
      </c>
      <c r="B569" s="27" t="str">
        <f t="shared" si="1"/>
        <v/>
      </c>
      <c r="C569" s="14" t="str">
        <f>IF($A569&lt;&gt;"",MINIFS(Merchant!$A:$A,Merchant!$B:$B,$G$2),)</f>
        <v/>
      </c>
      <c r="D569" s="14" t="str">
        <f t="shared" si="2"/>
        <v/>
      </c>
      <c r="E569" s="14" t="str">
        <f t="shared" si="3"/>
        <v/>
      </c>
      <c r="F569" s="7" t="str">
        <f>IF($A569&lt;&gt;"",MAXIFS(Token!$C:$C,Token!$A:$A,$D569),)</f>
        <v/>
      </c>
    </row>
    <row r="570">
      <c r="A570" s="39" t="str">
        <f>IF(AND($L570*1&gt;=$G$3,$L570*1&lt;=$G$4,$I570*$J570&gt;0,OR($I570&lt;&gt;$I571,$L570-$L571&gt;25),IF(ABS($I570)&gt;10,$I570/POW(10,$J570),$J570/POW(10,$I570))*MAXIFS(Token!$C:$C,Token!$A:$A,$K570)&gt;0.01),$L570/86400+DATE(1970,1,1)+$G$6,)</f>
        <v/>
      </c>
      <c r="B570" s="27" t="str">
        <f t="shared" si="1"/>
        <v/>
      </c>
      <c r="C570" s="14" t="str">
        <f>IF($A570&lt;&gt;"",MINIFS(Merchant!$A:$A,Merchant!$B:$B,$G$2),)</f>
        <v/>
      </c>
      <c r="D570" s="14" t="str">
        <f t="shared" si="2"/>
        <v/>
      </c>
      <c r="E570" s="14" t="str">
        <f t="shared" si="3"/>
        <v/>
      </c>
      <c r="F570" s="7" t="str">
        <f>IF($A570&lt;&gt;"",MAXIFS(Token!$C:$C,Token!$A:$A,$D570),)</f>
        <v/>
      </c>
    </row>
    <row r="571">
      <c r="A571" s="39" t="str">
        <f>IF(AND($L571*1&gt;=$G$3,$L571*1&lt;=$G$4,$I571*$J571&gt;0,OR($I571&lt;&gt;$I572,$L571-$L572&gt;25),IF(ABS($I571)&gt;10,$I571/POW(10,$J571),$J571/POW(10,$I571))*MAXIFS(Token!$C:$C,Token!$A:$A,$K571)&gt;0.01),$L571/86400+DATE(1970,1,1)+$G$6,)</f>
        <v/>
      </c>
      <c r="B571" s="27" t="str">
        <f t="shared" si="1"/>
        <v/>
      </c>
      <c r="C571" s="14" t="str">
        <f>IF($A571&lt;&gt;"",MINIFS(Merchant!$A:$A,Merchant!$B:$B,$G$2),)</f>
        <v/>
      </c>
      <c r="D571" s="14" t="str">
        <f t="shared" si="2"/>
        <v/>
      </c>
      <c r="E571" s="14" t="str">
        <f t="shared" si="3"/>
        <v/>
      </c>
      <c r="F571" s="7" t="str">
        <f>IF($A571&lt;&gt;"",MAXIFS(Token!$C:$C,Token!$A:$A,$D571),)</f>
        <v/>
      </c>
    </row>
    <row r="572">
      <c r="A572" s="39" t="str">
        <f>IF(AND($L572*1&gt;=$G$3,$L572*1&lt;=$G$4,$I572*$J572&gt;0,OR($I572&lt;&gt;$I573,$L572-$L573&gt;25),IF(ABS($I572)&gt;10,$I572/POW(10,$J572),$J572/POW(10,$I572))*MAXIFS(Token!$C:$C,Token!$A:$A,$K572)&gt;0.01),$L572/86400+DATE(1970,1,1)+$G$6,)</f>
        <v/>
      </c>
      <c r="B572" s="27" t="str">
        <f t="shared" si="1"/>
        <v/>
      </c>
      <c r="C572" s="14" t="str">
        <f>IF($A572&lt;&gt;"",MINIFS(Merchant!$A:$A,Merchant!$B:$B,$G$2),)</f>
        <v/>
      </c>
      <c r="D572" s="14" t="str">
        <f t="shared" si="2"/>
        <v/>
      </c>
      <c r="E572" s="14" t="str">
        <f t="shared" si="3"/>
        <v/>
      </c>
      <c r="F572" s="7" t="str">
        <f>IF($A572&lt;&gt;"",MAXIFS(Token!$C:$C,Token!$A:$A,$D572),)</f>
        <v/>
      </c>
    </row>
    <row r="573">
      <c r="A573" s="39" t="str">
        <f>IF(AND($L573*1&gt;=$G$3,$L573*1&lt;=$G$4,$I573*$J573&gt;0,OR($I573&lt;&gt;$I574,$L573-$L574&gt;25),IF(ABS($I573)&gt;10,$I573/POW(10,$J573),$J573/POW(10,$I573))*MAXIFS(Token!$C:$C,Token!$A:$A,$K573)&gt;0.01),$L573/86400+DATE(1970,1,1)+$G$6,)</f>
        <v/>
      </c>
      <c r="B573" s="27" t="str">
        <f t="shared" si="1"/>
        <v/>
      </c>
      <c r="C573" s="14" t="str">
        <f>IF($A573&lt;&gt;"",MINIFS(Merchant!$A:$A,Merchant!$B:$B,$G$2),)</f>
        <v/>
      </c>
      <c r="D573" s="14" t="str">
        <f t="shared" si="2"/>
        <v/>
      </c>
      <c r="E573" s="14" t="str">
        <f t="shared" si="3"/>
        <v/>
      </c>
      <c r="F573" s="7" t="str">
        <f>IF($A573&lt;&gt;"",MAXIFS(Token!$C:$C,Token!$A:$A,$D573),)</f>
        <v/>
      </c>
    </row>
    <row r="574">
      <c r="A574" s="39" t="str">
        <f>IF(AND($L574*1&gt;=$G$3,$L574*1&lt;=$G$4,$I574*$J574&gt;0,OR($I574&lt;&gt;$I575,$L574-$L575&gt;25),IF(ABS($I574)&gt;10,$I574/POW(10,$J574),$J574/POW(10,$I574))*MAXIFS(Token!$C:$C,Token!$A:$A,$K574)&gt;0.01),$L574/86400+DATE(1970,1,1)+$G$6,)</f>
        <v/>
      </c>
      <c r="B574" s="27" t="str">
        <f t="shared" si="1"/>
        <v/>
      </c>
      <c r="C574" s="14" t="str">
        <f>IF($A574&lt;&gt;"",MINIFS(Merchant!$A:$A,Merchant!$B:$B,$G$2),)</f>
        <v/>
      </c>
      <c r="D574" s="14" t="str">
        <f t="shared" si="2"/>
        <v/>
      </c>
      <c r="E574" s="14" t="str">
        <f t="shared" si="3"/>
        <v/>
      </c>
      <c r="F574" s="7" t="str">
        <f>IF($A574&lt;&gt;"",MAXIFS(Token!$C:$C,Token!$A:$A,$D574),)</f>
        <v/>
      </c>
    </row>
    <row r="575">
      <c r="A575" s="39" t="str">
        <f>IF(AND($L575*1&gt;=$G$3,$L575*1&lt;=$G$4,$I575*$J575&gt;0,OR($I575&lt;&gt;$I576,$L575-$L576&gt;25),IF(ABS($I575)&gt;10,$I575/POW(10,$J575),$J575/POW(10,$I575))*MAXIFS(Token!$C:$C,Token!$A:$A,$K575)&gt;0.01),$L575/86400+DATE(1970,1,1)+$G$6,)</f>
        <v/>
      </c>
      <c r="B575" s="27" t="str">
        <f t="shared" si="1"/>
        <v/>
      </c>
      <c r="C575" s="14" t="str">
        <f>IF($A575&lt;&gt;"",MINIFS(Merchant!$A:$A,Merchant!$B:$B,$G$2),)</f>
        <v/>
      </c>
      <c r="D575" s="14" t="str">
        <f t="shared" si="2"/>
        <v/>
      </c>
      <c r="E575" s="14" t="str">
        <f t="shared" si="3"/>
        <v/>
      </c>
      <c r="F575" s="7" t="str">
        <f>IF($A575&lt;&gt;"",MAXIFS(Token!$C:$C,Token!$A:$A,$D575),)</f>
        <v/>
      </c>
    </row>
    <row r="576">
      <c r="A576" s="39" t="str">
        <f>IF(AND($L576*1&gt;=$G$3,$L576*1&lt;=$G$4,$I576*$J576&gt;0,OR($I576&lt;&gt;$I577,$L576-$L577&gt;25),IF(ABS($I576)&gt;10,$I576/POW(10,$J576),$J576/POW(10,$I576))*MAXIFS(Token!$C:$C,Token!$A:$A,$K576)&gt;0.01),$L576/86400+DATE(1970,1,1)+$G$6,)</f>
        <v/>
      </c>
      <c r="B576" s="27" t="str">
        <f t="shared" si="1"/>
        <v/>
      </c>
      <c r="C576" s="14" t="str">
        <f>IF($A576&lt;&gt;"",MINIFS(Merchant!$A:$A,Merchant!$B:$B,$G$2),)</f>
        <v/>
      </c>
      <c r="D576" s="14" t="str">
        <f t="shared" si="2"/>
        <v/>
      </c>
      <c r="E576" s="14" t="str">
        <f t="shared" si="3"/>
        <v/>
      </c>
      <c r="F576" s="7" t="str">
        <f>IF($A576&lt;&gt;"",MAXIFS(Token!$C:$C,Token!$A:$A,$D576),)</f>
        <v/>
      </c>
    </row>
    <row r="577">
      <c r="A577" s="39" t="str">
        <f>IF(AND($L577*1&gt;=$G$3,$L577*1&lt;=$G$4,$I577*$J577&gt;0,OR($I577&lt;&gt;$I578,$L577-$L578&gt;25),IF(ABS($I577)&gt;10,$I577/POW(10,$J577),$J577/POW(10,$I577))*MAXIFS(Token!$C:$C,Token!$A:$A,$K577)&gt;0.01),$L577/86400+DATE(1970,1,1)+$G$6,)</f>
        <v/>
      </c>
      <c r="B577" s="27" t="str">
        <f t="shared" si="1"/>
        <v/>
      </c>
      <c r="C577" s="14" t="str">
        <f>IF($A577&lt;&gt;"",MINIFS(Merchant!$A:$A,Merchant!$B:$B,$G$2),)</f>
        <v/>
      </c>
      <c r="D577" s="14" t="str">
        <f t="shared" si="2"/>
        <v/>
      </c>
      <c r="E577" s="14" t="str">
        <f t="shared" si="3"/>
        <v/>
      </c>
      <c r="F577" s="7" t="str">
        <f>IF($A577&lt;&gt;"",MAXIFS(Token!$C:$C,Token!$A:$A,$D577),)</f>
        <v/>
      </c>
    </row>
    <row r="578">
      <c r="A578" s="39" t="str">
        <f>IF(AND($L578*1&gt;=$G$3,$L578*1&lt;=$G$4,$I578*$J578&gt;0,OR($I578&lt;&gt;$I579,$L578-$L579&gt;25),IF(ABS($I578)&gt;10,$I578/POW(10,$J578),$J578/POW(10,$I578))*MAXIFS(Token!$C:$C,Token!$A:$A,$K578)&gt;0.01),$L578/86400+DATE(1970,1,1)+$G$6,)</f>
        <v/>
      </c>
      <c r="B578" s="27" t="str">
        <f t="shared" si="1"/>
        <v/>
      </c>
      <c r="C578" s="14" t="str">
        <f>IF($A578&lt;&gt;"",MINIFS(Merchant!$A:$A,Merchant!$B:$B,$G$2),)</f>
        <v/>
      </c>
      <c r="D578" s="14" t="str">
        <f t="shared" si="2"/>
        <v/>
      </c>
      <c r="E578" s="14" t="str">
        <f t="shared" si="3"/>
        <v/>
      </c>
      <c r="F578" s="7" t="str">
        <f>IF($A578&lt;&gt;"",MAXIFS(Token!$C:$C,Token!$A:$A,$D578),)</f>
        <v/>
      </c>
    </row>
    <row r="579">
      <c r="A579" s="39" t="str">
        <f>IF(AND($L579*1&gt;=$G$3,$L579*1&lt;=$G$4,$I579*$J579&gt;0,OR($I579&lt;&gt;$I580,$L579-$L580&gt;25),IF(ABS($I579)&gt;10,$I579/POW(10,$J579),$J579/POW(10,$I579))*MAXIFS(Token!$C:$C,Token!$A:$A,$K579)&gt;0.01),$L579/86400+DATE(1970,1,1)+$G$6,)</f>
        <v/>
      </c>
      <c r="B579" s="27" t="str">
        <f t="shared" si="1"/>
        <v/>
      </c>
      <c r="C579" s="14" t="str">
        <f>IF($A579&lt;&gt;"",MINIFS(Merchant!$A:$A,Merchant!$B:$B,$G$2),)</f>
        <v/>
      </c>
      <c r="D579" s="14" t="str">
        <f t="shared" si="2"/>
        <v/>
      </c>
      <c r="E579" s="14" t="str">
        <f t="shared" si="3"/>
        <v/>
      </c>
      <c r="F579" s="7" t="str">
        <f>IF($A579&lt;&gt;"",MAXIFS(Token!$C:$C,Token!$A:$A,$D579),)</f>
        <v/>
      </c>
    </row>
    <row r="580">
      <c r="A580" s="39" t="str">
        <f>IF(AND($L580*1&gt;=$G$3,$L580*1&lt;=$G$4,$I580*$J580&gt;0,OR($I580&lt;&gt;$I581,$L580-$L581&gt;25),IF(ABS($I580)&gt;10,$I580/POW(10,$J580),$J580/POW(10,$I580))*MAXIFS(Token!$C:$C,Token!$A:$A,$K580)&gt;0.01),$L580/86400+DATE(1970,1,1)+$G$6,)</f>
        <v/>
      </c>
      <c r="B580" s="27" t="str">
        <f t="shared" si="1"/>
        <v/>
      </c>
      <c r="C580" s="14" t="str">
        <f>IF($A580&lt;&gt;"",MINIFS(Merchant!$A:$A,Merchant!$B:$B,$G$2),)</f>
        <v/>
      </c>
      <c r="D580" s="14" t="str">
        <f t="shared" si="2"/>
        <v/>
      </c>
      <c r="E580" s="14" t="str">
        <f t="shared" si="3"/>
        <v/>
      </c>
      <c r="F580" s="7" t="str">
        <f>IF($A580&lt;&gt;"",MAXIFS(Token!$C:$C,Token!$A:$A,$D580),)</f>
        <v/>
      </c>
    </row>
    <row r="581">
      <c r="A581" s="39" t="str">
        <f>IF(AND($L581*1&gt;=$G$3,$L581*1&lt;=$G$4,$I581*$J581&gt;0,OR($I581&lt;&gt;$I582,$L581-$L582&gt;25),IF(ABS($I581)&gt;10,$I581/POW(10,$J581),$J581/POW(10,$I581))*MAXIFS(Token!$C:$C,Token!$A:$A,$K581)&gt;0.01),$L581/86400+DATE(1970,1,1)+$G$6,)</f>
        <v/>
      </c>
      <c r="B581" s="27" t="str">
        <f t="shared" si="1"/>
        <v/>
      </c>
      <c r="C581" s="14" t="str">
        <f>IF($A581&lt;&gt;"",MINIFS(Merchant!$A:$A,Merchant!$B:$B,$G$2),)</f>
        <v/>
      </c>
      <c r="D581" s="14" t="str">
        <f t="shared" si="2"/>
        <v/>
      </c>
      <c r="E581" s="14" t="str">
        <f t="shared" si="3"/>
        <v/>
      </c>
      <c r="F581" s="7" t="str">
        <f>IF($A581&lt;&gt;"",MAXIFS(Token!$C:$C,Token!$A:$A,$D581),)</f>
        <v/>
      </c>
    </row>
    <row r="582">
      <c r="A582" s="39" t="str">
        <f>IF(AND($L582*1&gt;=$G$3,$L582*1&lt;=$G$4,$I582*$J582&gt;0,OR($I582&lt;&gt;$I583,$L582-$L583&gt;25),IF(ABS($I582)&gt;10,$I582/POW(10,$J582),$J582/POW(10,$I582))*MAXIFS(Token!$C:$C,Token!$A:$A,$K582)&gt;0.01),$L582/86400+DATE(1970,1,1)+$G$6,)</f>
        <v/>
      </c>
      <c r="B582" s="27" t="str">
        <f t="shared" si="1"/>
        <v/>
      </c>
      <c r="C582" s="14" t="str">
        <f>IF($A582&lt;&gt;"",MINIFS(Merchant!$A:$A,Merchant!$B:$B,$G$2),)</f>
        <v/>
      </c>
      <c r="D582" s="14" t="str">
        <f t="shared" si="2"/>
        <v/>
      </c>
      <c r="E582" s="14" t="str">
        <f t="shared" si="3"/>
        <v/>
      </c>
      <c r="F582" s="7" t="str">
        <f>IF($A582&lt;&gt;"",MAXIFS(Token!$C:$C,Token!$A:$A,$D582),)</f>
        <v/>
      </c>
    </row>
    <row r="583">
      <c r="A583" s="39" t="str">
        <f>IF(AND($L583*1&gt;=$G$3,$L583*1&lt;=$G$4,$I583*$J583&gt;0,OR($I583&lt;&gt;$I584,$L583-$L584&gt;25),IF(ABS($I583)&gt;10,$I583/POW(10,$J583),$J583/POW(10,$I583))*MAXIFS(Token!$C:$C,Token!$A:$A,$K583)&gt;0.01),$L583/86400+DATE(1970,1,1)+$G$6,)</f>
        <v/>
      </c>
      <c r="B583" s="27" t="str">
        <f t="shared" si="1"/>
        <v/>
      </c>
      <c r="C583" s="14" t="str">
        <f>IF($A583&lt;&gt;"",MINIFS(Merchant!$A:$A,Merchant!$B:$B,$G$2),)</f>
        <v/>
      </c>
      <c r="D583" s="14" t="str">
        <f t="shared" si="2"/>
        <v/>
      </c>
      <c r="E583" s="14" t="str">
        <f t="shared" si="3"/>
        <v/>
      </c>
      <c r="F583" s="7" t="str">
        <f>IF($A583&lt;&gt;"",MAXIFS(Token!$C:$C,Token!$A:$A,$D583),)</f>
        <v/>
      </c>
    </row>
    <row r="584">
      <c r="A584" s="39" t="str">
        <f>IF(AND($L584*1&gt;=$G$3,$L584*1&lt;=$G$4,$I584*$J584&gt;0,OR($I584&lt;&gt;$I585,$L584-$L585&gt;25),IF(ABS($I584)&gt;10,$I584/POW(10,$J584),$J584/POW(10,$I584))*MAXIFS(Token!$C:$C,Token!$A:$A,$K584)&gt;0.01),$L584/86400+DATE(1970,1,1)+$G$6,)</f>
        <v/>
      </c>
      <c r="B584" s="27" t="str">
        <f t="shared" si="1"/>
        <v/>
      </c>
      <c r="C584" s="14" t="str">
        <f>IF($A584&lt;&gt;"",MINIFS(Merchant!$A:$A,Merchant!$B:$B,$G$2),)</f>
        <v/>
      </c>
      <c r="D584" s="14" t="str">
        <f t="shared" si="2"/>
        <v/>
      </c>
      <c r="E584" s="14" t="str">
        <f t="shared" si="3"/>
        <v/>
      </c>
      <c r="F584" s="7" t="str">
        <f>IF($A584&lt;&gt;"",MAXIFS(Token!$C:$C,Token!$A:$A,$D584),)</f>
        <v/>
      </c>
    </row>
    <row r="585">
      <c r="A585" s="39" t="str">
        <f>IF(AND($L585*1&gt;=$G$3,$L585*1&lt;=$G$4,$I585*$J585&gt;0,OR($I585&lt;&gt;$I586,$L585-$L586&gt;25),IF(ABS($I585)&gt;10,$I585/POW(10,$J585),$J585/POW(10,$I585))*MAXIFS(Token!$C:$C,Token!$A:$A,$K585)&gt;0.01),$L585/86400+DATE(1970,1,1)+$G$6,)</f>
        <v/>
      </c>
      <c r="B585" s="27" t="str">
        <f t="shared" si="1"/>
        <v/>
      </c>
      <c r="C585" s="14" t="str">
        <f>IF($A585&lt;&gt;"",MINIFS(Merchant!$A:$A,Merchant!$B:$B,$G$2),)</f>
        <v/>
      </c>
      <c r="D585" s="14" t="str">
        <f t="shared" si="2"/>
        <v/>
      </c>
      <c r="E585" s="14" t="str">
        <f t="shared" si="3"/>
        <v/>
      </c>
      <c r="F585" s="7" t="str">
        <f>IF($A585&lt;&gt;"",MAXIFS(Token!$C:$C,Token!$A:$A,$D585),)</f>
        <v/>
      </c>
    </row>
    <row r="586">
      <c r="A586" s="39" t="str">
        <f>IF(AND($L586*1&gt;=$G$3,$L586*1&lt;=$G$4,$I586*$J586&gt;0,OR($I586&lt;&gt;$I587,$L586-$L587&gt;25),IF(ABS($I586)&gt;10,$I586/POW(10,$J586),$J586/POW(10,$I586))*MAXIFS(Token!$C:$C,Token!$A:$A,$K586)&gt;0.01),$L586/86400+DATE(1970,1,1)+$G$6,)</f>
        <v/>
      </c>
      <c r="B586" s="27" t="str">
        <f t="shared" si="1"/>
        <v/>
      </c>
      <c r="C586" s="14" t="str">
        <f>IF($A586&lt;&gt;"",MINIFS(Merchant!$A:$A,Merchant!$B:$B,$G$2),)</f>
        <v/>
      </c>
      <c r="D586" s="14" t="str">
        <f t="shared" si="2"/>
        <v/>
      </c>
      <c r="E586" s="14" t="str">
        <f t="shared" si="3"/>
        <v/>
      </c>
      <c r="F586" s="7" t="str">
        <f>IF($A586&lt;&gt;"",MAXIFS(Token!$C:$C,Token!$A:$A,$D586),)</f>
        <v/>
      </c>
    </row>
    <row r="587">
      <c r="A587" s="39" t="str">
        <f>IF(AND($L587*1&gt;=$G$3,$L587*1&lt;=$G$4,$I587*$J587&gt;0,OR($I587&lt;&gt;$I588,$L587-$L588&gt;25),IF(ABS($I587)&gt;10,$I587/POW(10,$J587),$J587/POW(10,$I587))*MAXIFS(Token!$C:$C,Token!$A:$A,$K587)&gt;0.01),$L587/86400+DATE(1970,1,1)+$G$6,)</f>
        <v/>
      </c>
      <c r="B587" s="27" t="str">
        <f t="shared" si="1"/>
        <v/>
      </c>
      <c r="C587" s="14" t="str">
        <f>IF($A587&lt;&gt;"",MINIFS(Merchant!$A:$A,Merchant!$B:$B,$G$2),)</f>
        <v/>
      </c>
      <c r="D587" s="14" t="str">
        <f t="shared" si="2"/>
        <v/>
      </c>
      <c r="E587" s="14" t="str">
        <f t="shared" si="3"/>
        <v/>
      </c>
      <c r="F587" s="7" t="str">
        <f>IF($A587&lt;&gt;"",MAXIFS(Token!$C:$C,Token!$A:$A,$D587),)</f>
        <v/>
      </c>
    </row>
    <row r="588">
      <c r="A588" s="39" t="str">
        <f>IF(AND($L588*1&gt;=$G$3,$L588*1&lt;=$G$4,$I588*$J588&gt;0,OR($I588&lt;&gt;$I589,$L588-$L589&gt;25),IF(ABS($I588)&gt;10,$I588/POW(10,$J588),$J588/POW(10,$I588))*MAXIFS(Token!$C:$C,Token!$A:$A,$K588)&gt;0.01),$L588/86400+DATE(1970,1,1)+$G$6,)</f>
        <v/>
      </c>
      <c r="B588" s="27" t="str">
        <f t="shared" si="1"/>
        <v/>
      </c>
      <c r="C588" s="14" t="str">
        <f>IF($A588&lt;&gt;"",MINIFS(Merchant!$A:$A,Merchant!$B:$B,$G$2),)</f>
        <v/>
      </c>
      <c r="D588" s="14" t="str">
        <f t="shared" si="2"/>
        <v/>
      </c>
      <c r="E588" s="14" t="str">
        <f t="shared" si="3"/>
        <v/>
      </c>
      <c r="F588" s="7" t="str">
        <f>IF($A588&lt;&gt;"",MAXIFS(Token!$C:$C,Token!$A:$A,$D588),)</f>
        <v/>
      </c>
    </row>
    <row r="589">
      <c r="A589" s="39" t="str">
        <f>IF(AND($L589*1&gt;=$G$3,$L589*1&lt;=$G$4,$I589*$J589&gt;0,OR($I589&lt;&gt;$I590,$L589-$L590&gt;25),IF(ABS($I589)&gt;10,$I589/POW(10,$J589),$J589/POW(10,$I589))*MAXIFS(Token!$C:$C,Token!$A:$A,$K589)&gt;0.01),$L589/86400+DATE(1970,1,1)+$G$6,)</f>
        <v/>
      </c>
      <c r="B589" s="27" t="str">
        <f t="shared" si="1"/>
        <v/>
      </c>
      <c r="C589" s="14" t="str">
        <f>IF($A589&lt;&gt;"",MINIFS(Merchant!$A:$A,Merchant!$B:$B,$G$2),)</f>
        <v/>
      </c>
      <c r="D589" s="14" t="str">
        <f t="shared" si="2"/>
        <v/>
      </c>
      <c r="E589" s="14" t="str">
        <f t="shared" si="3"/>
        <v/>
      </c>
      <c r="F589" s="7" t="str">
        <f>IF($A589&lt;&gt;"",MAXIFS(Token!$C:$C,Token!$A:$A,$D589),)</f>
        <v/>
      </c>
    </row>
    <row r="590">
      <c r="A590" s="39" t="str">
        <f>IF(AND($L590*1&gt;=$G$3,$L590*1&lt;=$G$4,$I590*$J590&gt;0,OR($I590&lt;&gt;$I591,$L590-$L591&gt;25),IF(ABS($I590)&gt;10,$I590/POW(10,$J590),$J590/POW(10,$I590))*MAXIFS(Token!$C:$C,Token!$A:$A,$K590)&gt;0.01),$L590/86400+DATE(1970,1,1)+$G$6,)</f>
        <v/>
      </c>
      <c r="B590" s="27" t="str">
        <f t="shared" si="1"/>
        <v/>
      </c>
      <c r="C590" s="14" t="str">
        <f>IF($A590&lt;&gt;"",MINIFS(Merchant!$A:$A,Merchant!$B:$B,$G$2),)</f>
        <v/>
      </c>
      <c r="D590" s="14" t="str">
        <f t="shared" si="2"/>
        <v/>
      </c>
      <c r="E590" s="14" t="str">
        <f t="shared" si="3"/>
        <v/>
      </c>
      <c r="F590" s="7" t="str">
        <f>IF($A590&lt;&gt;"",MAXIFS(Token!$C:$C,Token!$A:$A,$D590),)</f>
        <v/>
      </c>
    </row>
    <row r="591">
      <c r="A591" s="39" t="str">
        <f>IF(AND($L591*1&gt;=$G$3,$L591*1&lt;=$G$4,$I591*$J591&gt;0,OR($I591&lt;&gt;$I592,$L591-$L592&gt;25),IF(ABS($I591)&gt;10,$I591/POW(10,$J591),$J591/POW(10,$I591))*MAXIFS(Token!$C:$C,Token!$A:$A,$K591)&gt;0.01),$L591/86400+DATE(1970,1,1)+$G$6,)</f>
        <v/>
      </c>
      <c r="B591" s="27" t="str">
        <f t="shared" si="1"/>
        <v/>
      </c>
      <c r="C591" s="14" t="str">
        <f>IF($A591&lt;&gt;"",MINIFS(Merchant!$A:$A,Merchant!$B:$B,$G$2),)</f>
        <v/>
      </c>
      <c r="D591" s="14" t="str">
        <f t="shared" si="2"/>
        <v/>
      </c>
      <c r="E591" s="14" t="str">
        <f t="shared" si="3"/>
        <v/>
      </c>
      <c r="F591" s="7" t="str">
        <f>IF($A591&lt;&gt;"",MAXIFS(Token!$C:$C,Token!$A:$A,$D591),)</f>
        <v/>
      </c>
    </row>
    <row r="592">
      <c r="A592" s="39" t="str">
        <f>IF(AND($L592*1&gt;=$G$3,$L592*1&lt;=$G$4,$I592*$J592&gt;0,OR($I592&lt;&gt;$I593,$L592-$L593&gt;25),IF(ABS($I592)&gt;10,$I592/POW(10,$J592),$J592/POW(10,$I592))*MAXIFS(Token!$C:$C,Token!$A:$A,$K592)&gt;0.01),$L592/86400+DATE(1970,1,1)+$G$6,)</f>
        <v/>
      </c>
      <c r="B592" s="27" t="str">
        <f t="shared" si="1"/>
        <v/>
      </c>
      <c r="C592" s="14" t="str">
        <f>IF($A592&lt;&gt;"",MINIFS(Merchant!$A:$A,Merchant!$B:$B,$G$2),)</f>
        <v/>
      </c>
      <c r="D592" s="14" t="str">
        <f t="shared" si="2"/>
        <v/>
      </c>
      <c r="E592" s="14" t="str">
        <f t="shared" si="3"/>
        <v/>
      </c>
      <c r="F592" s="7" t="str">
        <f>IF($A592&lt;&gt;"",MAXIFS(Token!$C:$C,Token!$A:$A,$D592),)</f>
        <v/>
      </c>
    </row>
    <row r="593">
      <c r="A593" s="39" t="str">
        <f>IF(AND($L593*1&gt;=$G$3,$L593*1&lt;=$G$4,$I593*$J593&gt;0,OR($I593&lt;&gt;$I594,$L593-$L594&gt;25),IF(ABS($I593)&gt;10,$I593/POW(10,$J593),$J593/POW(10,$I593))*MAXIFS(Token!$C:$C,Token!$A:$A,$K593)&gt;0.01),$L593/86400+DATE(1970,1,1)+$G$6,)</f>
        <v/>
      </c>
      <c r="B593" s="27" t="str">
        <f t="shared" si="1"/>
        <v/>
      </c>
      <c r="C593" s="14" t="str">
        <f>IF($A593&lt;&gt;"",MINIFS(Merchant!$A:$A,Merchant!$B:$B,$G$2),)</f>
        <v/>
      </c>
      <c r="D593" s="14" t="str">
        <f t="shared" si="2"/>
        <v/>
      </c>
      <c r="E593" s="14" t="str">
        <f t="shared" si="3"/>
        <v/>
      </c>
      <c r="F593" s="7" t="str">
        <f>IF($A593&lt;&gt;"",MAXIFS(Token!$C:$C,Token!$A:$A,$D593),)</f>
        <v/>
      </c>
    </row>
    <row r="594">
      <c r="A594" s="39" t="str">
        <f>IF(AND($L594*1&gt;=$G$3,$L594*1&lt;=$G$4,$I594*$J594&gt;0,OR($I594&lt;&gt;$I595,$L594-$L595&gt;25),IF(ABS($I594)&gt;10,$I594/POW(10,$J594),$J594/POW(10,$I594))*MAXIFS(Token!$C:$C,Token!$A:$A,$K594)&gt;0.01),$L594/86400+DATE(1970,1,1)+$G$6,)</f>
        <v/>
      </c>
      <c r="B594" s="27" t="str">
        <f t="shared" si="1"/>
        <v/>
      </c>
      <c r="C594" s="14" t="str">
        <f>IF($A594&lt;&gt;"",MINIFS(Merchant!$A:$A,Merchant!$B:$B,$G$2),)</f>
        <v/>
      </c>
      <c r="D594" s="14" t="str">
        <f t="shared" si="2"/>
        <v/>
      </c>
      <c r="E594" s="14" t="str">
        <f t="shared" si="3"/>
        <v/>
      </c>
      <c r="F594" s="7" t="str">
        <f>IF($A594&lt;&gt;"",MAXIFS(Token!$C:$C,Token!$A:$A,$D594),)</f>
        <v/>
      </c>
    </row>
    <row r="595">
      <c r="A595" s="39" t="str">
        <f>IF(AND($L595*1&gt;=$G$3,$L595*1&lt;=$G$4,$I595*$J595&gt;0,OR($I595&lt;&gt;$I596,$L595-$L596&gt;25),IF(ABS($I595)&gt;10,$I595/POW(10,$J595),$J595/POW(10,$I595))*MAXIFS(Token!$C:$C,Token!$A:$A,$K595)&gt;0.01),$L595/86400+DATE(1970,1,1)+$G$6,)</f>
        <v/>
      </c>
      <c r="B595" s="27" t="str">
        <f t="shared" si="1"/>
        <v/>
      </c>
      <c r="C595" s="14" t="str">
        <f>IF($A595&lt;&gt;"",MINIFS(Merchant!$A:$A,Merchant!$B:$B,$G$2),)</f>
        <v/>
      </c>
      <c r="D595" s="14" t="str">
        <f t="shared" si="2"/>
        <v/>
      </c>
      <c r="E595" s="14" t="str">
        <f t="shared" si="3"/>
        <v/>
      </c>
      <c r="F595" s="7" t="str">
        <f>IF($A595&lt;&gt;"",MAXIFS(Token!$C:$C,Token!$A:$A,$D595),)</f>
        <v/>
      </c>
    </row>
    <row r="596">
      <c r="A596" s="39" t="str">
        <f>IF(AND($L596*1&gt;=$G$3,$L596*1&lt;=$G$4,$I596*$J596&gt;0,OR($I596&lt;&gt;$I597,$L596-$L597&gt;25),IF(ABS($I596)&gt;10,$I596/POW(10,$J596),$J596/POW(10,$I596))*MAXIFS(Token!$C:$C,Token!$A:$A,$K596)&gt;0.01),$L596/86400+DATE(1970,1,1)+$G$6,)</f>
        <v/>
      </c>
      <c r="B596" s="27" t="str">
        <f t="shared" si="1"/>
        <v/>
      </c>
      <c r="C596" s="14" t="str">
        <f>IF($A596&lt;&gt;"",MINIFS(Merchant!$A:$A,Merchant!$B:$B,$G$2),)</f>
        <v/>
      </c>
      <c r="D596" s="14" t="str">
        <f t="shared" si="2"/>
        <v/>
      </c>
      <c r="E596" s="14" t="str">
        <f t="shared" si="3"/>
        <v/>
      </c>
      <c r="F596" s="7" t="str">
        <f>IF($A596&lt;&gt;"",MAXIFS(Token!$C:$C,Token!$A:$A,$D596),)</f>
        <v/>
      </c>
    </row>
    <row r="597">
      <c r="A597" s="39" t="str">
        <f>IF(AND($L597*1&gt;=$G$3,$L597*1&lt;=$G$4,$I597*$J597&gt;0,OR($I597&lt;&gt;$I598,$L597-$L598&gt;25),IF(ABS($I597)&gt;10,$I597/POW(10,$J597),$J597/POW(10,$I597))*MAXIFS(Token!$C:$C,Token!$A:$A,$K597)&gt;0.01),$L597/86400+DATE(1970,1,1)+$G$6,)</f>
        <v/>
      </c>
      <c r="B597" s="27" t="str">
        <f t="shared" si="1"/>
        <v/>
      </c>
      <c r="C597" s="14" t="str">
        <f>IF($A597&lt;&gt;"",MINIFS(Merchant!$A:$A,Merchant!$B:$B,$G$2),)</f>
        <v/>
      </c>
      <c r="D597" s="14" t="str">
        <f t="shared" si="2"/>
        <v/>
      </c>
      <c r="E597" s="14" t="str">
        <f t="shared" si="3"/>
        <v/>
      </c>
      <c r="F597" s="7" t="str">
        <f>IF($A597&lt;&gt;"",MAXIFS(Token!$C:$C,Token!$A:$A,$D597),)</f>
        <v/>
      </c>
    </row>
    <row r="598">
      <c r="A598" s="39" t="str">
        <f>IF(AND($L598*1&gt;=$G$3,$L598*1&lt;=$G$4,$I598*$J598&gt;0,OR($I598&lt;&gt;$I599,$L598-$L599&gt;25),IF(ABS($I598)&gt;10,$I598/POW(10,$J598),$J598/POW(10,$I598))*MAXIFS(Token!$C:$C,Token!$A:$A,$K598)&gt;0.01),$L598/86400+DATE(1970,1,1)+$G$6,)</f>
        <v/>
      </c>
      <c r="B598" s="27" t="str">
        <f t="shared" si="1"/>
        <v/>
      </c>
      <c r="C598" s="14" t="str">
        <f>IF($A598&lt;&gt;"",MINIFS(Merchant!$A:$A,Merchant!$B:$B,$G$2),)</f>
        <v/>
      </c>
      <c r="D598" s="14" t="str">
        <f t="shared" si="2"/>
        <v/>
      </c>
      <c r="E598" s="14" t="str">
        <f t="shared" si="3"/>
        <v/>
      </c>
      <c r="F598" s="7" t="str">
        <f>IF($A598&lt;&gt;"",MAXIFS(Token!$C:$C,Token!$A:$A,$D598),)</f>
        <v/>
      </c>
    </row>
    <row r="599">
      <c r="A599" s="39" t="str">
        <f>IF(AND($L599*1&gt;=$G$3,$L599*1&lt;=$G$4,$I599*$J599&gt;0,OR($I599&lt;&gt;$I600,$L599-$L600&gt;25),IF(ABS($I599)&gt;10,$I599/POW(10,$J599),$J599/POW(10,$I599))*MAXIFS(Token!$C:$C,Token!$A:$A,$K599)&gt;0.01),$L599/86400+DATE(1970,1,1)+$G$6,)</f>
        <v/>
      </c>
      <c r="B599" s="27" t="str">
        <f t="shared" si="1"/>
        <v/>
      </c>
      <c r="C599" s="14" t="str">
        <f>IF($A599&lt;&gt;"",MINIFS(Merchant!$A:$A,Merchant!$B:$B,$G$2),)</f>
        <v/>
      </c>
      <c r="D599" s="14" t="str">
        <f t="shared" si="2"/>
        <v/>
      </c>
      <c r="E599" s="14" t="str">
        <f t="shared" si="3"/>
        <v/>
      </c>
      <c r="F599" s="7" t="str">
        <f>IF($A599&lt;&gt;"",MAXIFS(Token!$C:$C,Token!$A:$A,$D599),)</f>
        <v/>
      </c>
    </row>
    <row r="600">
      <c r="A600" s="39" t="str">
        <f>IF(AND($L600*1&gt;=$G$3,$L600*1&lt;=$G$4,$I600*$J600&gt;0,OR($I600&lt;&gt;$I601,$L600-$L601&gt;25),IF(ABS($I600)&gt;10,$I600/POW(10,$J600),$J600/POW(10,$I600))*MAXIFS(Token!$C:$C,Token!$A:$A,$K600)&gt;0.01),$L600/86400+DATE(1970,1,1)+$G$6,)</f>
        <v/>
      </c>
      <c r="B600" s="27" t="str">
        <f t="shared" si="1"/>
        <v/>
      </c>
      <c r="C600" s="14" t="str">
        <f>IF($A600&lt;&gt;"",MINIFS(Merchant!$A:$A,Merchant!$B:$B,$G$2),)</f>
        <v/>
      </c>
      <c r="D600" s="14" t="str">
        <f t="shared" si="2"/>
        <v/>
      </c>
      <c r="E600" s="14" t="str">
        <f t="shared" si="3"/>
        <v/>
      </c>
      <c r="F600" s="7" t="str">
        <f>IF($A600&lt;&gt;"",MAXIFS(Token!$C:$C,Token!$A:$A,$D600),)</f>
        <v/>
      </c>
    </row>
    <row r="601">
      <c r="A601" s="39" t="str">
        <f>IF(AND($L601*1&gt;=$G$3,$L601*1&lt;=$G$4,$I601*$J601&gt;0,OR($I601&lt;&gt;$I602,$L601-$L602&gt;25),IF(ABS($I601)&gt;10,$I601/POW(10,$J601),$J601/POW(10,$I601))*MAXIFS(Token!$C:$C,Token!$A:$A,$K601)&gt;0.01),$L601/86400+DATE(1970,1,1)+$G$6,)</f>
        <v/>
      </c>
      <c r="B601" s="27" t="str">
        <f t="shared" si="1"/>
        <v/>
      </c>
      <c r="C601" s="14" t="str">
        <f>IF($A601&lt;&gt;"",MINIFS(Merchant!$A:$A,Merchant!$B:$B,$G$2),)</f>
        <v/>
      </c>
      <c r="D601" s="14" t="str">
        <f t="shared" si="2"/>
        <v/>
      </c>
      <c r="E601" s="14" t="str">
        <f t="shared" si="3"/>
        <v/>
      </c>
      <c r="F601" s="7" t="str">
        <f>IF($A601&lt;&gt;"",MAXIFS(Token!$C:$C,Token!$A:$A,$D601),)</f>
        <v/>
      </c>
    </row>
    <row r="602">
      <c r="A602" s="39" t="str">
        <f>IF(AND($L602*1&gt;=$G$3,$L602*1&lt;=$G$4,$I602*$J602&gt;0,OR($I602&lt;&gt;$I603,$L602-$L603&gt;25),IF(ABS($I602)&gt;10,$I602/POW(10,$J602),$J602/POW(10,$I602))*MAXIFS(Token!$C:$C,Token!$A:$A,$K602)&gt;0.01),$L602/86400+DATE(1970,1,1)+$G$6,)</f>
        <v/>
      </c>
      <c r="B602" s="27" t="str">
        <f t="shared" si="1"/>
        <v/>
      </c>
      <c r="C602" s="14" t="str">
        <f>IF($A602&lt;&gt;"",MINIFS(Merchant!$A:$A,Merchant!$B:$B,$G$2),)</f>
        <v/>
      </c>
      <c r="D602" s="14" t="str">
        <f t="shared" si="2"/>
        <v/>
      </c>
      <c r="E602" s="14" t="str">
        <f t="shared" si="3"/>
        <v/>
      </c>
      <c r="F602" s="7" t="str">
        <f>IF($A602&lt;&gt;"",MAXIFS(Token!$C:$C,Token!$A:$A,$D602),)</f>
        <v/>
      </c>
    </row>
    <row r="603">
      <c r="A603" s="39" t="str">
        <f>IF(AND($L603*1&gt;=$G$3,$L603*1&lt;=$G$4,$I603*$J603&gt;0,OR($I603&lt;&gt;$I604,$L603-$L604&gt;25),IF(ABS($I603)&gt;10,$I603/POW(10,$J603),$J603/POW(10,$I603))*MAXIFS(Token!$C:$C,Token!$A:$A,$K603)&gt;0.01),$L603/86400+DATE(1970,1,1)+$G$6,)</f>
        <v/>
      </c>
      <c r="B603" s="27" t="str">
        <f t="shared" si="1"/>
        <v/>
      </c>
      <c r="C603" s="14" t="str">
        <f>IF($A603&lt;&gt;"",MINIFS(Merchant!$A:$A,Merchant!$B:$B,$G$2),)</f>
        <v/>
      </c>
      <c r="D603" s="14" t="str">
        <f t="shared" si="2"/>
        <v/>
      </c>
      <c r="E603" s="14" t="str">
        <f t="shared" si="3"/>
        <v/>
      </c>
      <c r="F603" s="7" t="str">
        <f>IF($A603&lt;&gt;"",MAXIFS(Token!$C:$C,Token!$A:$A,$D603),)</f>
        <v/>
      </c>
    </row>
    <row r="604">
      <c r="A604" s="39" t="str">
        <f>IF(AND($L604*1&gt;=$G$3,$L604*1&lt;=$G$4,$I604*$J604&gt;0,OR($I604&lt;&gt;$I605,$L604-$L605&gt;25),IF(ABS($I604)&gt;10,$I604/POW(10,$J604),$J604/POW(10,$I604))*MAXIFS(Token!$C:$C,Token!$A:$A,$K604)&gt;0.01),$L604/86400+DATE(1970,1,1)+$G$6,)</f>
        <v/>
      </c>
      <c r="B604" s="27" t="str">
        <f t="shared" si="1"/>
        <v/>
      </c>
      <c r="C604" s="14" t="str">
        <f>IF($A604&lt;&gt;"",MINIFS(Merchant!$A:$A,Merchant!$B:$B,$G$2),)</f>
        <v/>
      </c>
      <c r="D604" s="14" t="str">
        <f t="shared" si="2"/>
        <v/>
      </c>
      <c r="E604" s="14" t="str">
        <f t="shared" si="3"/>
        <v/>
      </c>
      <c r="F604" s="7" t="str">
        <f>IF($A604&lt;&gt;"",MAXIFS(Token!$C:$C,Token!$A:$A,$D604),)</f>
        <v/>
      </c>
    </row>
    <row r="605">
      <c r="A605" s="39" t="str">
        <f>IF(AND($L605*1&gt;=$G$3,$L605*1&lt;=$G$4,$I605*$J605&gt;0,OR($I605&lt;&gt;$I606,$L605-$L606&gt;25),IF(ABS($I605)&gt;10,$I605/POW(10,$J605),$J605/POW(10,$I605))*MAXIFS(Token!$C:$C,Token!$A:$A,$K605)&gt;0.01),$L605/86400+DATE(1970,1,1)+$G$6,)</f>
        <v/>
      </c>
      <c r="B605" s="27" t="str">
        <f t="shared" si="1"/>
        <v/>
      </c>
      <c r="C605" s="14" t="str">
        <f>IF($A605&lt;&gt;"",MINIFS(Merchant!$A:$A,Merchant!$B:$B,$G$2),)</f>
        <v/>
      </c>
      <c r="D605" s="14" t="str">
        <f t="shared" si="2"/>
        <v/>
      </c>
      <c r="E605" s="14" t="str">
        <f t="shared" si="3"/>
        <v/>
      </c>
      <c r="F605" s="7" t="str">
        <f>IF($A605&lt;&gt;"",MAXIFS(Token!$C:$C,Token!$A:$A,$D605),)</f>
        <v/>
      </c>
    </row>
    <row r="606">
      <c r="A606" s="39" t="str">
        <f>IF(AND($L606*1&gt;=$G$3,$L606*1&lt;=$G$4,$I606*$J606&gt;0,OR($I606&lt;&gt;$I607,$L606-$L607&gt;25),IF(ABS($I606)&gt;10,$I606/POW(10,$J606),$J606/POW(10,$I606))*MAXIFS(Token!$C:$C,Token!$A:$A,$K606)&gt;0.01),$L606/86400+DATE(1970,1,1)+$G$6,)</f>
        <v/>
      </c>
      <c r="B606" s="27" t="str">
        <f t="shared" si="1"/>
        <v/>
      </c>
      <c r="C606" s="14" t="str">
        <f>IF($A606&lt;&gt;"",MINIFS(Merchant!$A:$A,Merchant!$B:$B,$G$2),)</f>
        <v/>
      </c>
      <c r="D606" s="14" t="str">
        <f t="shared" si="2"/>
        <v/>
      </c>
      <c r="E606" s="14" t="str">
        <f t="shared" si="3"/>
        <v/>
      </c>
      <c r="F606" s="7" t="str">
        <f>IF($A606&lt;&gt;"",MAXIFS(Token!$C:$C,Token!$A:$A,$D606),)</f>
        <v/>
      </c>
    </row>
    <row r="607">
      <c r="A607" s="39" t="str">
        <f>IF(AND($L607*1&gt;=$G$3,$L607*1&lt;=$G$4,$I607*$J607&gt;0,OR($I607&lt;&gt;$I608,$L607-$L608&gt;25),IF(ABS($I607)&gt;10,$I607/POW(10,$J607),$J607/POW(10,$I607))*MAXIFS(Token!$C:$C,Token!$A:$A,$K607)&gt;0.01),$L607/86400+DATE(1970,1,1)+$G$6,)</f>
        <v/>
      </c>
      <c r="B607" s="27" t="str">
        <f t="shared" si="1"/>
        <v/>
      </c>
      <c r="C607" s="14" t="str">
        <f>IF($A607&lt;&gt;"",MINIFS(Merchant!$A:$A,Merchant!$B:$B,$G$2),)</f>
        <v/>
      </c>
      <c r="D607" s="14" t="str">
        <f t="shared" si="2"/>
        <v/>
      </c>
      <c r="E607" s="14" t="str">
        <f t="shared" si="3"/>
        <v/>
      </c>
      <c r="F607" s="7" t="str">
        <f>IF($A607&lt;&gt;"",MAXIFS(Token!$C:$C,Token!$A:$A,$D607),)</f>
        <v/>
      </c>
    </row>
    <row r="608">
      <c r="A608" s="39" t="str">
        <f>IF(AND($L608*1&gt;=$G$3,$L608*1&lt;=$G$4,$I608*$J608&gt;0,OR($I608&lt;&gt;$I609,$L608-$L609&gt;25),IF(ABS($I608)&gt;10,$I608/POW(10,$J608),$J608/POW(10,$I608))*MAXIFS(Token!$C:$C,Token!$A:$A,$K608)&gt;0.01),$L608/86400+DATE(1970,1,1)+$G$6,)</f>
        <v/>
      </c>
      <c r="B608" s="27" t="str">
        <f t="shared" si="1"/>
        <v/>
      </c>
      <c r="C608" s="14" t="str">
        <f>IF($A608&lt;&gt;"",MINIFS(Merchant!$A:$A,Merchant!$B:$B,$G$2),)</f>
        <v/>
      </c>
      <c r="D608" s="14" t="str">
        <f t="shared" si="2"/>
        <v/>
      </c>
      <c r="E608" s="14" t="str">
        <f t="shared" si="3"/>
        <v/>
      </c>
      <c r="F608" s="7" t="str">
        <f>IF($A608&lt;&gt;"",MAXIFS(Token!$C:$C,Token!$A:$A,$D608),)</f>
        <v/>
      </c>
    </row>
    <row r="609">
      <c r="A609" s="39" t="str">
        <f>IF(AND($L609*1&gt;=$G$3,$L609*1&lt;=$G$4,$I609*$J609&gt;0,OR($I609&lt;&gt;$I610,$L609-$L610&gt;25),IF(ABS($I609)&gt;10,$I609/POW(10,$J609),$J609/POW(10,$I609))*MAXIFS(Token!$C:$C,Token!$A:$A,$K609)&gt;0.01),$L609/86400+DATE(1970,1,1)+$G$6,)</f>
        <v/>
      </c>
      <c r="B609" s="27" t="str">
        <f t="shared" si="1"/>
        <v/>
      </c>
      <c r="C609" s="14" t="str">
        <f>IF($A609&lt;&gt;"",MINIFS(Merchant!$A:$A,Merchant!$B:$B,$G$2),)</f>
        <v/>
      </c>
      <c r="D609" s="14" t="str">
        <f t="shared" si="2"/>
        <v/>
      </c>
      <c r="E609" s="14" t="str">
        <f t="shared" si="3"/>
        <v/>
      </c>
      <c r="F609" s="7" t="str">
        <f>IF($A609&lt;&gt;"",MAXIFS(Token!$C:$C,Token!$A:$A,$D609),)</f>
        <v/>
      </c>
    </row>
    <row r="610">
      <c r="A610" s="39" t="str">
        <f>IF(AND($L610*1&gt;=$G$3,$L610*1&lt;=$G$4,$I610*$J610&gt;0,OR($I610&lt;&gt;$I611,$L610-$L611&gt;25),IF(ABS($I610)&gt;10,$I610/POW(10,$J610),$J610/POW(10,$I610))*MAXIFS(Token!$C:$C,Token!$A:$A,$K610)&gt;0.01),$L610/86400+DATE(1970,1,1)+$G$6,)</f>
        <v/>
      </c>
      <c r="B610" s="27" t="str">
        <f t="shared" si="1"/>
        <v/>
      </c>
      <c r="C610" s="14" t="str">
        <f>IF($A610&lt;&gt;"",MINIFS(Merchant!$A:$A,Merchant!$B:$B,$G$2),)</f>
        <v/>
      </c>
      <c r="D610" s="14" t="str">
        <f t="shared" si="2"/>
        <v/>
      </c>
      <c r="E610" s="14" t="str">
        <f t="shared" si="3"/>
        <v/>
      </c>
      <c r="F610" s="7" t="str">
        <f>IF($A610&lt;&gt;"",MAXIFS(Token!$C:$C,Token!$A:$A,$D610),)</f>
        <v/>
      </c>
    </row>
    <row r="611">
      <c r="A611" s="39" t="str">
        <f>IF(AND($L611*1&gt;=$G$3,$L611*1&lt;=$G$4,$I611*$J611&gt;0,OR($I611&lt;&gt;$I612,$L611-$L612&gt;25),IF(ABS($I611)&gt;10,$I611/POW(10,$J611),$J611/POW(10,$I611))*MAXIFS(Token!$C:$C,Token!$A:$A,$K611)&gt;0.01),$L611/86400+DATE(1970,1,1)+$G$6,)</f>
        <v/>
      </c>
      <c r="B611" s="27" t="str">
        <f t="shared" si="1"/>
        <v/>
      </c>
      <c r="C611" s="14" t="str">
        <f>IF($A611&lt;&gt;"",MINIFS(Merchant!$A:$A,Merchant!$B:$B,$G$2),)</f>
        <v/>
      </c>
      <c r="D611" s="14" t="str">
        <f t="shared" si="2"/>
        <v/>
      </c>
      <c r="E611" s="14" t="str">
        <f t="shared" si="3"/>
        <v/>
      </c>
      <c r="F611" s="7" t="str">
        <f>IF($A611&lt;&gt;"",MAXIFS(Token!$C:$C,Token!$A:$A,$D611),)</f>
        <v/>
      </c>
    </row>
    <row r="612">
      <c r="A612" s="39" t="str">
        <f>IF(AND($L612*1&gt;=$G$3,$L612*1&lt;=$G$4,$I612*$J612&gt;0,OR($I612&lt;&gt;$I613,$L612-$L613&gt;25),IF(ABS($I612)&gt;10,$I612/POW(10,$J612),$J612/POW(10,$I612))*MAXIFS(Token!$C:$C,Token!$A:$A,$K612)&gt;0.01),$L612/86400+DATE(1970,1,1)+$G$6,)</f>
        <v/>
      </c>
      <c r="B612" s="27" t="str">
        <f t="shared" si="1"/>
        <v/>
      </c>
      <c r="C612" s="14" t="str">
        <f>IF($A612&lt;&gt;"",MINIFS(Merchant!$A:$A,Merchant!$B:$B,$G$2),)</f>
        <v/>
      </c>
      <c r="D612" s="14" t="str">
        <f t="shared" si="2"/>
        <v/>
      </c>
      <c r="E612" s="14" t="str">
        <f t="shared" si="3"/>
        <v/>
      </c>
      <c r="F612" s="7" t="str">
        <f>IF($A612&lt;&gt;"",MAXIFS(Token!$C:$C,Token!$A:$A,$D612),)</f>
        <v/>
      </c>
    </row>
    <row r="613">
      <c r="A613" s="39" t="str">
        <f>IF(AND($L613*1&gt;=$G$3,$L613*1&lt;=$G$4,$I613*$J613&gt;0,OR($I613&lt;&gt;$I614,$L613-$L614&gt;25),IF(ABS($I613)&gt;10,$I613/POW(10,$J613),$J613/POW(10,$I613))*MAXIFS(Token!$C:$C,Token!$A:$A,$K613)&gt;0.01),$L613/86400+DATE(1970,1,1)+$G$6,)</f>
        <v/>
      </c>
      <c r="B613" s="27" t="str">
        <f t="shared" si="1"/>
        <v/>
      </c>
      <c r="C613" s="14" t="str">
        <f>IF($A613&lt;&gt;"",MINIFS(Merchant!$A:$A,Merchant!$B:$B,$G$2),)</f>
        <v/>
      </c>
      <c r="D613" s="14" t="str">
        <f t="shared" si="2"/>
        <v/>
      </c>
      <c r="E613" s="14" t="str">
        <f t="shared" si="3"/>
        <v/>
      </c>
      <c r="F613" s="7" t="str">
        <f>IF($A613&lt;&gt;"",MAXIFS(Token!$C:$C,Token!$A:$A,$D613),)</f>
        <v/>
      </c>
    </row>
    <row r="614">
      <c r="A614" s="39" t="str">
        <f>IF(AND($L614*1&gt;=$G$3,$L614*1&lt;=$G$4,$I614*$J614&gt;0,OR($I614&lt;&gt;$I615,$L614-$L615&gt;25),IF(ABS($I614)&gt;10,$I614/POW(10,$J614),$J614/POW(10,$I614))*MAXIFS(Token!$C:$C,Token!$A:$A,$K614)&gt;0.01),$L614/86400+DATE(1970,1,1)+$G$6,)</f>
        <v/>
      </c>
      <c r="B614" s="27" t="str">
        <f t="shared" si="1"/>
        <v/>
      </c>
      <c r="C614" s="14" t="str">
        <f>IF($A614&lt;&gt;"",MINIFS(Merchant!$A:$A,Merchant!$B:$B,$G$2),)</f>
        <v/>
      </c>
      <c r="D614" s="14" t="str">
        <f t="shared" si="2"/>
        <v/>
      </c>
      <c r="E614" s="14" t="str">
        <f t="shared" si="3"/>
        <v/>
      </c>
      <c r="F614" s="7" t="str">
        <f>IF($A614&lt;&gt;"",MAXIFS(Token!$C:$C,Token!$A:$A,$D614),)</f>
        <v/>
      </c>
    </row>
    <row r="615">
      <c r="A615" s="39" t="str">
        <f>IF(AND($L615*1&gt;=$G$3,$L615*1&lt;=$G$4,$I615*$J615&gt;0,OR($I615&lt;&gt;$I616,$L615-$L616&gt;25),IF(ABS($I615)&gt;10,$I615/POW(10,$J615),$J615/POW(10,$I615))*MAXIFS(Token!$C:$C,Token!$A:$A,$K615)&gt;0.01),$L615/86400+DATE(1970,1,1)+$G$6,)</f>
        <v/>
      </c>
      <c r="B615" s="27" t="str">
        <f t="shared" si="1"/>
        <v/>
      </c>
      <c r="C615" s="14" t="str">
        <f>IF($A615&lt;&gt;"",MINIFS(Merchant!$A:$A,Merchant!$B:$B,$G$2),)</f>
        <v/>
      </c>
      <c r="D615" s="14" t="str">
        <f t="shared" si="2"/>
        <v/>
      </c>
      <c r="E615" s="14" t="str">
        <f t="shared" si="3"/>
        <v/>
      </c>
      <c r="F615" s="7" t="str">
        <f>IF($A615&lt;&gt;"",MAXIFS(Token!$C:$C,Token!$A:$A,$D615),)</f>
        <v/>
      </c>
    </row>
    <row r="616">
      <c r="A616" s="39" t="str">
        <f>IF(AND($L616*1&gt;=$G$3,$L616*1&lt;=$G$4,$I616*$J616&gt;0,OR($I616&lt;&gt;$I617,$L616-$L617&gt;25),IF(ABS($I616)&gt;10,$I616/POW(10,$J616),$J616/POW(10,$I616))*MAXIFS(Token!$C:$C,Token!$A:$A,$K616)&gt;0.01),$L616/86400+DATE(1970,1,1)+$G$6,)</f>
        <v/>
      </c>
      <c r="B616" s="27" t="str">
        <f t="shared" si="1"/>
        <v/>
      </c>
      <c r="C616" s="14" t="str">
        <f>IF($A616&lt;&gt;"",MINIFS(Merchant!$A:$A,Merchant!$B:$B,$G$2),)</f>
        <v/>
      </c>
      <c r="D616" s="14" t="str">
        <f t="shared" si="2"/>
        <v/>
      </c>
      <c r="E616" s="14" t="str">
        <f t="shared" si="3"/>
        <v/>
      </c>
      <c r="F616" s="7" t="str">
        <f>IF($A616&lt;&gt;"",MAXIFS(Token!$C:$C,Token!$A:$A,$D616),)</f>
        <v/>
      </c>
    </row>
    <row r="617">
      <c r="A617" s="39" t="str">
        <f>IF(AND($L617*1&gt;=$G$3,$L617*1&lt;=$G$4,$I617*$J617&gt;0,OR($I617&lt;&gt;$I618,$L617-$L618&gt;25),IF(ABS($I617)&gt;10,$I617/POW(10,$J617),$J617/POW(10,$I617))*MAXIFS(Token!$C:$C,Token!$A:$A,$K617)&gt;0.01),$L617/86400+DATE(1970,1,1)+$G$6,)</f>
        <v/>
      </c>
      <c r="B617" s="27" t="str">
        <f t="shared" si="1"/>
        <v/>
      </c>
      <c r="C617" s="14" t="str">
        <f>IF($A617&lt;&gt;"",MINIFS(Merchant!$A:$A,Merchant!$B:$B,$G$2),)</f>
        <v/>
      </c>
      <c r="D617" s="14" t="str">
        <f t="shared" si="2"/>
        <v/>
      </c>
      <c r="E617" s="14" t="str">
        <f t="shared" si="3"/>
        <v/>
      </c>
      <c r="F617" s="7" t="str">
        <f>IF($A617&lt;&gt;"",MAXIFS(Token!$C:$C,Token!$A:$A,$D617),)</f>
        <v/>
      </c>
    </row>
    <row r="618">
      <c r="A618" s="39" t="str">
        <f>IF(AND($L618*1&gt;=$G$3,$L618*1&lt;=$G$4,$I618*$J618&gt;0,OR($I618&lt;&gt;$I619,$L618-$L619&gt;25),IF(ABS($I618)&gt;10,$I618/POW(10,$J618),$J618/POW(10,$I618))*MAXIFS(Token!$C:$C,Token!$A:$A,$K618)&gt;0.01),$L618/86400+DATE(1970,1,1)+$G$6,)</f>
        <v/>
      </c>
      <c r="B618" s="27" t="str">
        <f t="shared" si="1"/>
        <v/>
      </c>
      <c r="C618" s="14" t="str">
        <f>IF($A618&lt;&gt;"",MINIFS(Merchant!$A:$A,Merchant!$B:$B,$G$2),)</f>
        <v/>
      </c>
      <c r="D618" s="14" t="str">
        <f t="shared" si="2"/>
        <v/>
      </c>
      <c r="E618" s="14" t="str">
        <f t="shared" si="3"/>
        <v/>
      </c>
      <c r="F618" s="7" t="str">
        <f>IF($A618&lt;&gt;"",MAXIFS(Token!$C:$C,Token!$A:$A,$D618),)</f>
        <v/>
      </c>
    </row>
    <row r="619">
      <c r="A619" s="39" t="str">
        <f>IF(AND($L619*1&gt;=$G$3,$L619*1&lt;=$G$4,$I619*$J619&gt;0,OR($I619&lt;&gt;$I620,$L619-$L620&gt;25),IF(ABS($I619)&gt;10,$I619/POW(10,$J619),$J619/POW(10,$I619))*MAXIFS(Token!$C:$C,Token!$A:$A,$K619)&gt;0.01),$L619/86400+DATE(1970,1,1)+$G$6,)</f>
        <v/>
      </c>
      <c r="B619" s="27" t="str">
        <f t="shared" si="1"/>
        <v/>
      </c>
      <c r="C619" s="14" t="str">
        <f>IF($A619&lt;&gt;"",MINIFS(Merchant!$A:$A,Merchant!$B:$B,$G$2),)</f>
        <v/>
      </c>
      <c r="D619" s="14" t="str">
        <f t="shared" si="2"/>
        <v/>
      </c>
      <c r="E619" s="14" t="str">
        <f t="shared" si="3"/>
        <v/>
      </c>
      <c r="F619" s="7" t="str">
        <f>IF($A619&lt;&gt;"",MAXIFS(Token!$C:$C,Token!$A:$A,$D619),)</f>
        <v/>
      </c>
    </row>
    <row r="620">
      <c r="A620" s="39" t="str">
        <f>IF(AND($L620*1&gt;=$G$3,$L620*1&lt;=$G$4,$I620*$J620&gt;0,OR($I620&lt;&gt;$I621,$L620-$L621&gt;25),IF(ABS($I620)&gt;10,$I620/POW(10,$J620),$J620/POW(10,$I620))*MAXIFS(Token!$C:$C,Token!$A:$A,$K620)&gt;0.01),$L620/86400+DATE(1970,1,1)+$G$6,)</f>
        <v/>
      </c>
      <c r="B620" s="27" t="str">
        <f t="shared" si="1"/>
        <v/>
      </c>
      <c r="C620" s="14" t="str">
        <f>IF($A620&lt;&gt;"",MINIFS(Merchant!$A:$A,Merchant!$B:$B,$G$2),)</f>
        <v/>
      </c>
      <c r="D620" s="14" t="str">
        <f t="shared" si="2"/>
        <v/>
      </c>
      <c r="E620" s="14" t="str">
        <f t="shared" si="3"/>
        <v/>
      </c>
      <c r="F620" s="7" t="str">
        <f>IF($A620&lt;&gt;"",MAXIFS(Token!$C:$C,Token!$A:$A,$D620),)</f>
        <v/>
      </c>
    </row>
    <row r="621">
      <c r="A621" s="39" t="str">
        <f>IF(AND($L621*1&gt;=$G$3,$L621*1&lt;=$G$4,$I621*$J621&gt;0,OR($I621&lt;&gt;$I622,$L621-$L622&gt;25),IF(ABS($I621)&gt;10,$I621/POW(10,$J621),$J621/POW(10,$I621))*MAXIFS(Token!$C:$C,Token!$A:$A,$K621)&gt;0.01),$L621/86400+DATE(1970,1,1)+$G$6,)</f>
        <v/>
      </c>
      <c r="B621" s="27" t="str">
        <f t="shared" si="1"/>
        <v/>
      </c>
      <c r="C621" s="14" t="str">
        <f>IF($A621&lt;&gt;"",MINIFS(Merchant!$A:$A,Merchant!$B:$B,$G$2),)</f>
        <v/>
      </c>
      <c r="D621" s="14" t="str">
        <f t="shared" si="2"/>
        <v/>
      </c>
      <c r="E621" s="14" t="str">
        <f t="shared" si="3"/>
        <v/>
      </c>
      <c r="F621" s="7" t="str">
        <f>IF($A621&lt;&gt;"",MAXIFS(Token!$C:$C,Token!$A:$A,$D621),)</f>
        <v/>
      </c>
    </row>
    <row r="622">
      <c r="A622" s="39" t="str">
        <f>IF(AND($L622*1&gt;=$G$3,$L622*1&lt;=$G$4,$I622*$J622&gt;0,OR($I622&lt;&gt;$I623,$L622-$L623&gt;25),IF(ABS($I622)&gt;10,$I622/POW(10,$J622),$J622/POW(10,$I622))*MAXIFS(Token!$C:$C,Token!$A:$A,$K622)&gt;0.01),$L622/86400+DATE(1970,1,1)+$G$6,)</f>
        <v/>
      </c>
      <c r="B622" s="27" t="str">
        <f t="shared" si="1"/>
        <v/>
      </c>
      <c r="C622" s="14" t="str">
        <f>IF($A622&lt;&gt;"",MINIFS(Merchant!$A:$A,Merchant!$B:$B,$G$2),)</f>
        <v/>
      </c>
      <c r="D622" s="14" t="str">
        <f t="shared" si="2"/>
        <v/>
      </c>
      <c r="E622" s="14" t="str">
        <f t="shared" si="3"/>
        <v/>
      </c>
      <c r="F622" s="7" t="str">
        <f>IF($A622&lt;&gt;"",MAXIFS(Token!$C:$C,Token!$A:$A,$D622),)</f>
        <v/>
      </c>
    </row>
    <row r="623">
      <c r="A623" s="39" t="str">
        <f>IF(AND($L623*1&gt;=$G$3,$L623*1&lt;=$G$4,$I623*$J623&gt;0,OR($I623&lt;&gt;$I624,$L623-$L624&gt;25),IF(ABS($I623)&gt;10,$I623/POW(10,$J623),$J623/POW(10,$I623))*MAXIFS(Token!$C:$C,Token!$A:$A,$K623)&gt;0.01),$L623/86400+DATE(1970,1,1)+$G$6,)</f>
        <v/>
      </c>
      <c r="B623" s="27" t="str">
        <f t="shared" si="1"/>
        <v/>
      </c>
      <c r="C623" s="14" t="str">
        <f>IF($A623&lt;&gt;"",MINIFS(Merchant!$A:$A,Merchant!$B:$B,$G$2),)</f>
        <v/>
      </c>
      <c r="D623" s="14" t="str">
        <f t="shared" si="2"/>
        <v/>
      </c>
      <c r="E623" s="14" t="str">
        <f t="shared" si="3"/>
        <v/>
      </c>
      <c r="F623" s="7" t="str">
        <f>IF($A623&lt;&gt;"",MAXIFS(Token!$C:$C,Token!$A:$A,$D623),)</f>
        <v/>
      </c>
    </row>
    <row r="624">
      <c r="A624" s="39" t="str">
        <f>IF(AND($L624*1&gt;=$G$3,$L624*1&lt;=$G$4,$I624*$J624&gt;0,OR($I624&lt;&gt;$I625,$L624-$L625&gt;25),IF(ABS($I624)&gt;10,$I624/POW(10,$J624),$J624/POW(10,$I624))*MAXIFS(Token!$C:$C,Token!$A:$A,$K624)&gt;0.01),$L624/86400+DATE(1970,1,1)+$G$6,)</f>
        <v/>
      </c>
      <c r="B624" s="27" t="str">
        <f t="shared" si="1"/>
        <v/>
      </c>
      <c r="C624" s="14" t="str">
        <f>IF($A624&lt;&gt;"",MINIFS(Merchant!$A:$A,Merchant!$B:$B,$G$2),)</f>
        <v/>
      </c>
      <c r="D624" s="14" t="str">
        <f t="shared" si="2"/>
        <v/>
      </c>
      <c r="E624" s="14" t="str">
        <f t="shared" si="3"/>
        <v/>
      </c>
      <c r="F624" s="7" t="str">
        <f>IF($A624&lt;&gt;"",MAXIFS(Token!$C:$C,Token!$A:$A,$D624),)</f>
        <v/>
      </c>
    </row>
    <row r="625">
      <c r="A625" s="39" t="str">
        <f>IF(AND($L625*1&gt;=$G$3,$L625*1&lt;=$G$4,$I625*$J625&gt;0,OR($I625&lt;&gt;$I626,$L625-$L626&gt;25),IF(ABS($I625)&gt;10,$I625/POW(10,$J625),$J625/POW(10,$I625))*MAXIFS(Token!$C:$C,Token!$A:$A,$K625)&gt;0.01),$L625/86400+DATE(1970,1,1)+$G$6,)</f>
        <v/>
      </c>
      <c r="B625" s="27" t="str">
        <f t="shared" si="1"/>
        <v/>
      </c>
      <c r="C625" s="14" t="str">
        <f>IF($A625&lt;&gt;"",MINIFS(Merchant!$A:$A,Merchant!$B:$B,$G$2),)</f>
        <v/>
      </c>
      <c r="D625" s="14" t="str">
        <f t="shared" si="2"/>
        <v/>
      </c>
      <c r="E625" s="14" t="str">
        <f t="shared" si="3"/>
        <v/>
      </c>
      <c r="F625" s="7" t="str">
        <f>IF($A625&lt;&gt;"",MAXIFS(Token!$C:$C,Token!$A:$A,$D625),)</f>
        <v/>
      </c>
    </row>
    <row r="626">
      <c r="A626" s="39" t="str">
        <f>IF(AND($L626*1&gt;=$G$3,$L626*1&lt;=$G$4,$I626*$J626&gt;0,OR($I626&lt;&gt;$I627,$L626-$L627&gt;25),IF(ABS($I626)&gt;10,$I626/POW(10,$J626),$J626/POW(10,$I626))*MAXIFS(Token!$C:$C,Token!$A:$A,$K626)&gt;0.01),$L626/86400+DATE(1970,1,1)+$G$6,)</f>
        <v/>
      </c>
      <c r="B626" s="27" t="str">
        <f t="shared" si="1"/>
        <v/>
      </c>
      <c r="C626" s="14" t="str">
        <f>IF($A626&lt;&gt;"",MINIFS(Merchant!$A:$A,Merchant!$B:$B,$G$2),)</f>
        <v/>
      </c>
      <c r="D626" s="14" t="str">
        <f t="shared" si="2"/>
        <v/>
      </c>
      <c r="E626" s="14" t="str">
        <f t="shared" si="3"/>
        <v/>
      </c>
      <c r="F626" s="7" t="str">
        <f>IF($A626&lt;&gt;"",MAXIFS(Token!$C:$C,Token!$A:$A,$D626),)</f>
        <v/>
      </c>
    </row>
    <row r="627">
      <c r="A627" s="39" t="str">
        <f>IF(AND($L627*1&gt;=$G$3,$L627*1&lt;=$G$4,$I627*$J627&gt;0,OR($I627&lt;&gt;$I628,$L627-$L628&gt;25),IF(ABS($I627)&gt;10,$I627/POW(10,$J627),$J627/POW(10,$I627))*MAXIFS(Token!$C:$C,Token!$A:$A,$K627)&gt;0.01),$L627/86400+DATE(1970,1,1)+$G$6,)</f>
        <v/>
      </c>
      <c r="B627" s="27" t="str">
        <f t="shared" si="1"/>
        <v/>
      </c>
      <c r="C627" s="14" t="str">
        <f>IF($A627&lt;&gt;"",MINIFS(Merchant!$A:$A,Merchant!$B:$B,$G$2),)</f>
        <v/>
      </c>
      <c r="D627" s="14" t="str">
        <f t="shared" si="2"/>
        <v/>
      </c>
      <c r="E627" s="14" t="str">
        <f t="shared" si="3"/>
        <v/>
      </c>
      <c r="F627" s="7" t="str">
        <f>IF($A627&lt;&gt;"",MAXIFS(Token!$C:$C,Token!$A:$A,$D627),)</f>
        <v/>
      </c>
    </row>
    <row r="628">
      <c r="A628" s="39" t="str">
        <f>IF(AND($L628*1&gt;=$G$3,$L628*1&lt;=$G$4,$I628*$J628&gt;0,OR($I628&lt;&gt;$I629,$L628-$L629&gt;25),IF(ABS($I628)&gt;10,$I628/POW(10,$J628),$J628/POW(10,$I628))*MAXIFS(Token!$C:$C,Token!$A:$A,$K628)&gt;0.01),$L628/86400+DATE(1970,1,1)+$G$6,)</f>
        <v/>
      </c>
      <c r="B628" s="27" t="str">
        <f t="shared" si="1"/>
        <v/>
      </c>
      <c r="C628" s="14" t="str">
        <f>IF($A628&lt;&gt;"",MINIFS(Merchant!$A:$A,Merchant!$B:$B,$G$2),)</f>
        <v/>
      </c>
      <c r="D628" s="14" t="str">
        <f t="shared" si="2"/>
        <v/>
      </c>
      <c r="E628" s="14" t="str">
        <f t="shared" si="3"/>
        <v/>
      </c>
      <c r="F628" s="7" t="str">
        <f>IF($A628&lt;&gt;"",MAXIFS(Token!$C:$C,Token!$A:$A,$D628),)</f>
        <v/>
      </c>
    </row>
    <row r="629">
      <c r="A629" s="39" t="str">
        <f>IF(AND($L629*1&gt;=$G$3,$L629*1&lt;=$G$4,$I629*$J629&gt;0,OR($I629&lt;&gt;$I630,$L629-$L630&gt;25),IF(ABS($I629)&gt;10,$I629/POW(10,$J629),$J629/POW(10,$I629))*MAXIFS(Token!$C:$C,Token!$A:$A,$K629)&gt;0.01),$L629/86400+DATE(1970,1,1)+$G$6,)</f>
        <v/>
      </c>
      <c r="B629" s="27" t="str">
        <f t="shared" si="1"/>
        <v/>
      </c>
      <c r="C629" s="14" t="str">
        <f>IF($A629&lt;&gt;"",MINIFS(Merchant!$A:$A,Merchant!$B:$B,$G$2),)</f>
        <v/>
      </c>
      <c r="D629" s="14" t="str">
        <f t="shared" si="2"/>
        <v/>
      </c>
      <c r="E629" s="14" t="str">
        <f t="shared" si="3"/>
        <v/>
      </c>
      <c r="F629" s="7" t="str">
        <f>IF($A629&lt;&gt;"",MAXIFS(Token!$C:$C,Token!$A:$A,$D629),)</f>
        <v/>
      </c>
    </row>
    <row r="630">
      <c r="A630" s="39" t="str">
        <f>IF(AND($L630*1&gt;=$G$3,$L630*1&lt;=$G$4,$I630*$J630&gt;0,OR($I630&lt;&gt;$I631,$L630-$L631&gt;25),IF(ABS($I630)&gt;10,$I630/POW(10,$J630),$J630/POW(10,$I630))*MAXIFS(Token!$C:$C,Token!$A:$A,$K630)&gt;0.01),$L630/86400+DATE(1970,1,1)+$G$6,)</f>
        <v/>
      </c>
      <c r="B630" s="27" t="str">
        <f t="shared" si="1"/>
        <v/>
      </c>
      <c r="C630" s="14" t="str">
        <f>IF($A630&lt;&gt;"",MINIFS(Merchant!$A:$A,Merchant!$B:$B,$G$2),)</f>
        <v/>
      </c>
      <c r="D630" s="14" t="str">
        <f t="shared" si="2"/>
        <v/>
      </c>
      <c r="E630" s="14" t="str">
        <f t="shared" si="3"/>
        <v/>
      </c>
      <c r="F630" s="7" t="str">
        <f>IF($A630&lt;&gt;"",MAXIFS(Token!$C:$C,Token!$A:$A,$D630),)</f>
        <v/>
      </c>
    </row>
    <row r="631">
      <c r="A631" s="39" t="str">
        <f>IF(AND($L631*1&gt;=$G$3,$L631*1&lt;=$G$4,$I631*$J631&gt;0,OR($I631&lt;&gt;$I632,$L631-$L632&gt;25),IF(ABS($I631)&gt;10,$I631/POW(10,$J631),$J631/POW(10,$I631))*MAXIFS(Token!$C:$C,Token!$A:$A,$K631)&gt;0.01),$L631/86400+DATE(1970,1,1)+$G$6,)</f>
        <v/>
      </c>
      <c r="B631" s="27" t="str">
        <f t="shared" si="1"/>
        <v/>
      </c>
      <c r="C631" s="14" t="str">
        <f>IF($A631&lt;&gt;"",MINIFS(Merchant!$A:$A,Merchant!$B:$B,$G$2),)</f>
        <v/>
      </c>
      <c r="D631" s="14" t="str">
        <f t="shared" si="2"/>
        <v/>
      </c>
      <c r="E631" s="14" t="str">
        <f t="shared" si="3"/>
        <v/>
      </c>
      <c r="F631" s="7" t="str">
        <f>IF($A631&lt;&gt;"",MAXIFS(Token!$C:$C,Token!$A:$A,$D631),)</f>
        <v/>
      </c>
    </row>
    <row r="632">
      <c r="A632" s="39" t="str">
        <f>IF(AND($L632*1&gt;=$G$3,$L632*1&lt;=$G$4,$I632*$J632&gt;0,OR($I632&lt;&gt;$I633,$L632-$L633&gt;25),IF(ABS($I632)&gt;10,$I632/POW(10,$J632),$J632/POW(10,$I632))*MAXIFS(Token!$C:$C,Token!$A:$A,$K632)&gt;0.01),$L632/86400+DATE(1970,1,1)+$G$6,)</f>
        <v/>
      </c>
      <c r="B632" s="27" t="str">
        <f t="shared" si="1"/>
        <v/>
      </c>
      <c r="C632" s="14" t="str">
        <f>IF($A632&lt;&gt;"",MINIFS(Merchant!$A:$A,Merchant!$B:$B,$G$2),)</f>
        <v/>
      </c>
      <c r="D632" s="14" t="str">
        <f t="shared" si="2"/>
        <v/>
      </c>
      <c r="E632" s="14" t="str">
        <f t="shared" si="3"/>
        <v/>
      </c>
      <c r="F632" s="7" t="str">
        <f>IF($A632&lt;&gt;"",MAXIFS(Token!$C:$C,Token!$A:$A,$D632),)</f>
        <v/>
      </c>
    </row>
    <row r="633">
      <c r="A633" s="39" t="str">
        <f>IF(AND($L633*1&gt;=$G$3,$L633*1&lt;=$G$4,$I633*$J633&gt;0,OR($I633&lt;&gt;$I634,$L633-$L634&gt;25),IF(ABS($I633)&gt;10,$I633/POW(10,$J633),$J633/POW(10,$I633))*MAXIFS(Token!$C:$C,Token!$A:$A,$K633)&gt;0.01),$L633/86400+DATE(1970,1,1)+$G$6,)</f>
        <v/>
      </c>
      <c r="B633" s="27" t="str">
        <f t="shared" si="1"/>
        <v/>
      </c>
      <c r="C633" s="14" t="str">
        <f>IF($A633&lt;&gt;"",MINIFS(Merchant!$A:$A,Merchant!$B:$B,$G$2),)</f>
        <v/>
      </c>
      <c r="D633" s="14" t="str">
        <f t="shared" si="2"/>
        <v/>
      </c>
      <c r="E633" s="14" t="str">
        <f t="shared" si="3"/>
        <v/>
      </c>
      <c r="F633" s="7" t="str">
        <f>IF($A633&lt;&gt;"",MAXIFS(Token!$C:$C,Token!$A:$A,$D633),)</f>
        <v/>
      </c>
    </row>
    <row r="634">
      <c r="A634" s="39" t="str">
        <f>IF(AND($L634*1&gt;=$G$3,$L634*1&lt;=$G$4,$I634*$J634&gt;0,OR($I634&lt;&gt;$I635,$L634-$L635&gt;25),IF(ABS($I634)&gt;10,$I634/POW(10,$J634),$J634/POW(10,$I634))*MAXIFS(Token!$C:$C,Token!$A:$A,$K634)&gt;0.01),$L634/86400+DATE(1970,1,1)+$G$6,)</f>
        <v/>
      </c>
      <c r="B634" s="27" t="str">
        <f t="shared" si="1"/>
        <v/>
      </c>
      <c r="C634" s="14" t="str">
        <f>IF($A634&lt;&gt;"",MINIFS(Merchant!$A:$A,Merchant!$B:$B,$G$2),)</f>
        <v/>
      </c>
      <c r="D634" s="14" t="str">
        <f t="shared" si="2"/>
        <v/>
      </c>
      <c r="E634" s="14" t="str">
        <f t="shared" si="3"/>
        <v/>
      </c>
      <c r="F634" s="7" t="str">
        <f>IF($A634&lt;&gt;"",MAXIFS(Token!$C:$C,Token!$A:$A,$D634),)</f>
        <v/>
      </c>
    </row>
    <row r="635">
      <c r="A635" s="39" t="str">
        <f>IF(AND($L635*1&gt;=$G$3,$L635*1&lt;=$G$4,$I635*$J635&gt;0,OR($I635&lt;&gt;$I636,$L635-$L636&gt;25),IF(ABS($I635)&gt;10,$I635/POW(10,$J635),$J635/POW(10,$I635))*MAXIFS(Token!$C:$C,Token!$A:$A,$K635)&gt;0.01),$L635/86400+DATE(1970,1,1)+$G$6,)</f>
        <v/>
      </c>
      <c r="B635" s="27" t="str">
        <f t="shared" si="1"/>
        <v/>
      </c>
      <c r="C635" s="14" t="str">
        <f>IF($A635&lt;&gt;"",MINIFS(Merchant!$A:$A,Merchant!$B:$B,$G$2),)</f>
        <v/>
      </c>
      <c r="D635" s="14" t="str">
        <f t="shared" si="2"/>
        <v/>
      </c>
      <c r="E635" s="14" t="str">
        <f t="shared" si="3"/>
        <v/>
      </c>
      <c r="F635" s="7" t="str">
        <f>IF($A635&lt;&gt;"",MAXIFS(Token!$C:$C,Token!$A:$A,$D635),)</f>
        <v/>
      </c>
    </row>
    <row r="636">
      <c r="A636" s="39" t="str">
        <f>IF(AND($L636*1&gt;=$G$3,$L636*1&lt;=$G$4,$I636*$J636&gt;0,OR($I636&lt;&gt;$I637,$L636-$L637&gt;25),IF(ABS($I636)&gt;10,$I636/POW(10,$J636),$J636/POW(10,$I636))*MAXIFS(Token!$C:$C,Token!$A:$A,$K636)&gt;0.01),$L636/86400+DATE(1970,1,1)+$G$6,)</f>
        <v/>
      </c>
      <c r="B636" s="27" t="str">
        <f t="shared" si="1"/>
        <v/>
      </c>
      <c r="C636" s="14" t="str">
        <f>IF($A636&lt;&gt;"",MINIFS(Merchant!$A:$A,Merchant!$B:$B,$G$2),)</f>
        <v/>
      </c>
      <c r="D636" s="14" t="str">
        <f t="shared" si="2"/>
        <v/>
      </c>
      <c r="E636" s="14" t="str">
        <f t="shared" si="3"/>
        <v/>
      </c>
      <c r="F636" s="7" t="str">
        <f>IF($A636&lt;&gt;"",MAXIFS(Token!$C:$C,Token!$A:$A,$D636),)</f>
        <v/>
      </c>
    </row>
    <row r="637">
      <c r="A637" s="39" t="str">
        <f>IF(AND($L637*1&gt;=$G$3,$L637*1&lt;=$G$4,$I637*$J637&gt;0,OR($I637&lt;&gt;$I638,$L637-$L638&gt;25),IF(ABS($I637)&gt;10,$I637/POW(10,$J637),$J637/POW(10,$I637))*MAXIFS(Token!$C:$C,Token!$A:$A,$K637)&gt;0.01),$L637/86400+DATE(1970,1,1)+$G$6,)</f>
        <v/>
      </c>
      <c r="B637" s="27" t="str">
        <f t="shared" si="1"/>
        <v/>
      </c>
      <c r="C637" s="14" t="str">
        <f>IF($A637&lt;&gt;"",MINIFS(Merchant!$A:$A,Merchant!$B:$B,$G$2),)</f>
        <v/>
      </c>
      <c r="D637" s="14" t="str">
        <f t="shared" si="2"/>
        <v/>
      </c>
      <c r="E637" s="14" t="str">
        <f t="shared" si="3"/>
        <v/>
      </c>
      <c r="F637" s="7" t="str">
        <f>IF($A637&lt;&gt;"",MAXIFS(Token!$C:$C,Token!$A:$A,$D637),)</f>
        <v/>
      </c>
    </row>
    <row r="638">
      <c r="A638" s="39" t="str">
        <f>IF(AND($L638*1&gt;=$G$3,$L638*1&lt;=$G$4,$I638*$J638&gt;0,OR($I638&lt;&gt;$I639,$L638-$L639&gt;25),IF(ABS($I638)&gt;10,$I638/POW(10,$J638),$J638/POW(10,$I638))*MAXIFS(Token!$C:$C,Token!$A:$A,$K638)&gt;0.01),$L638/86400+DATE(1970,1,1)+$G$6,)</f>
        <v/>
      </c>
      <c r="B638" s="27" t="str">
        <f t="shared" si="1"/>
        <v/>
      </c>
      <c r="C638" s="14" t="str">
        <f>IF($A638&lt;&gt;"",MINIFS(Merchant!$A:$A,Merchant!$B:$B,$G$2),)</f>
        <v/>
      </c>
      <c r="D638" s="14" t="str">
        <f t="shared" si="2"/>
        <v/>
      </c>
      <c r="E638" s="14" t="str">
        <f t="shared" si="3"/>
        <v/>
      </c>
      <c r="F638" s="7" t="str">
        <f>IF($A638&lt;&gt;"",MAXIFS(Token!$C:$C,Token!$A:$A,$D638),)</f>
        <v/>
      </c>
    </row>
    <row r="639">
      <c r="A639" s="39" t="str">
        <f>IF(AND($L639*1&gt;=$G$3,$L639*1&lt;=$G$4,$I639*$J639&gt;0,OR($I639&lt;&gt;$I640,$L639-$L640&gt;25),IF(ABS($I639)&gt;10,$I639/POW(10,$J639),$J639/POW(10,$I639))*MAXIFS(Token!$C:$C,Token!$A:$A,$K639)&gt;0.01),$L639/86400+DATE(1970,1,1)+$G$6,)</f>
        <v/>
      </c>
      <c r="B639" s="27" t="str">
        <f t="shared" si="1"/>
        <v/>
      </c>
      <c r="C639" s="14" t="str">
        <f>IF($A639&lt;&gt;"",MINIFS(Merchant!$A:$A,Merchant!$B:$B,$G$2),)</f>
        <v/>
      </c>
      <c r="D639" s="14" t="str">
        <f t="shared" si="2"/>
        <v/>
      </c>
      <c r="E639" s="14" t="str">
        <f t="shared" si="3"/>
        <v/>
      </c>
      <c r="F639" s="7" t="str">
        <f>IF($A639&lt;&gt;"",MAXIFS(Token!$C:$C,Token!$A:$A,$D639),)</f>
        <v/>
      </c>
    </row>
    <row r="640">
      <c r="A640" s="39" t="str">
        <f>IF(AND($L640*1&gt;=$G$3,$L640*1&lt;=$G$4,$I640*$J640&gt;0,OR($I640&lt;&gt;$I641,$L640-$L641&gt;25),IF(ABS($I640)&gt;10,$I640/POW(10,$J640),$J640/POW(10,$I640))*MAXIFS(Token!$C:$C,Token!$A:$A,$K640)&gt;0.01),$L640/86400+DATE(1970,1,1)+$G$6,)</f>
        <v/>
      </c>
      <c r="B640" s="27" t="str">
        <f t="shared" si="1"/>
        <v/>
      </c>
      <c r="C640" s="14" t="str">
        <f>IF($A640&lt;&gt;"",MINIFS(Merchant!$A:$A,Merchant!$B:$B,$G$2),)</f>
        <v/>
      </c>
      <c r="D640" s="14" t="str">
        <f t="shared" si="2"/>
        <v/>
      </c>
      <c r="E640" s="14" t="str">
        <f t="shared" si="3"/>
        <v/>
      </c>
      <c r="F640" s="7" t="str">
        <f>IF($A640&lt;&gt;"",MAXIFS(Token!$C:$C,Token!$A:$A,$D640),)</f>
        <v/>
      </c>
    </row>
    <row r="641">
      <c r="A641" s="39" t="str">
        <f>IF(AND($L641*1&gt;=$G$3,$L641*1&lt;=$G$4,$I641*$J641&gt;0,OR($I641&lt;&gt;$I642,$L641-$L642&gt;25),IF(ABS($I641)&gt;10,$I641/POW(10,$J641),$J641/POW(10,$I641))*MAXIFS(Token!$C:$C,Token!$A:$A,$K641)&gt;0.01),$L641/86400+DATE(1970,1,1)+$G$6,)</f>
        <v/>
      </c>
      <c r="B641" s="27" t="str">
        <f t="shared" si="1"/>
        <v/>
      </c>
      <c r="C641" s="14" t="str">
        <f>IF($A641&lt;&gt;"",MINIFS(Merchant!$A:$A,Merchant!$B:$B,$G$2),)</f>
        <v/>
      </c>
      <c r="D641" s="14" t="str">
        <f t="shared" si="2"/>
        <v/>
      </c>
      <c r="E641" s="14" t="str">
        <f t="shared" si="3"/>
        <v/>
      </c>
      <c r="F641" s="7" t="str">
        <f>IF($A641&lt;&gt;"",MAXIFS(Token!$C:$C,Token!$A:$A,$D641),)</f>
        <v/>
      </c>
    </row>
    <row r="642">
      <c r="A642" s="39" t="str">
        <f>IF(AND($L642*1&gt;=$G$3,$L642*1&lt;=$G$4,$I642*$J642&gt;0,OR($I642&lt;&gt;$I643,$L642-$L643&gt;25),IF(ABS($I642)&gt;10,$I642/POW(10,$J642),$J642/POW(10,$I642))*MAXIFS(Token!$C:$C,Token!$A:$A,$K642)&gt;0.01),$L642/86400+DATE(1970,1,1)+$G$6,)</f>
        <v/>
      </c>
      <c r="B642" s="27" t="str">
        <f t="shared" si="1"/>
        <v/>
      </c>
      <c r="C642" s="14" t="str">
        <f>IF($A642&lt;&gt;"",MINIFS(Merchant!$A:$A,Merchant!$B:$B,$G$2),)</f>
        <v/>
      </c>
      <c r="D642" s="14" t="str">
        <f t="shared" si="2"/>
        <v/>
      </c>
      <c r="E642" s="14" t="str">
        <f t="shared" si="3"/>
        <v/>
      </c>
      <c r="F642" s="7" t="str">
        <f>IF($A642&lt;&gt;"",MAXIFS(Token!$C:$C,Token!$A:$A,$D642),)</f>
        <v/>
      </c>
    </row>
    <row r="643">
      <c r="A643" s="39" t="str">
        <f>IF(AND($L643*1&gt;=$G$3,$L643*1&lt;=$G$4,$I643*$J643&gt;0,OR($I643&lt;&gt;$I644,$L643-$L644&gt;25),IF(ABS($I643)&gt;10,$I643/POW(10,$J643),$J643/POW(10,$I643))*MAXIFS(Token!$C:$C,Token!$A:$A,$K643)&gt;0.01),$L643/86400+DATE(1970,1,1)+$G$6,)</f>
        <v/>
      </c>
      <c r="B643" s="27" t="str">
        <f t="shared" si="1"/>
        <v/>
      </c>
      <c r="C643" s="14" t="str">
        <f>IF($A643&lt;&gt;"",MINIFS(Merchant!$A:$A,Merchant!$B:$B,$G$2),)</f>
        <v/>
      </c>
      <c r="D643" s="14" t="str">
        <f t="shared" si="2"/>
        <v/>
      </c>
      <c r="E643" s="14" t="str">
        <f t="shared" si="3"/>
        <v/>
      </c>
      <c r="F643" s="7" t="str">
        <f>IF($A643&lt;&gt;"",MAXIFS(Token!$C:$C,Token!$A:$A,$D643),)</f>
        <v/>
      </c>
    </row>
    <row r="644">
      <c r="A644" s="39" t="str">
        <f>IF(AND($L644*1&gt;=$G$3,$L644*1&lt;=$G$4,$I644*$J644&gt;0,OR($I644&lt;&gt;$I645,$L644-$L645&gt;25),IF(ABS($I644)&gt;10,$I644/POW(10,$J644),$J644/POW(10,$I644))*MAXIFS(Token!$C:$C,Token!$A:$A,$K644)&gt;0.01),$L644/86400+DATE(1970,1,1)+$G$6,)</f>
        <v/>
      </c>
      <c r="B644" s="27" t="str">
        <f t="shared" si="1"/>
        <v/>
      </c>
      <c r="C644" s="14" t="str">
        <f>IF($A644&lt;&gt;"",MINIFS(Merchant!$A:$A,Merchant!$B:$B,$G$2),)</f>
        <v/>
      </c>
      <c r="D644" s="14" t="str">
        <f t="shared" si="2"/>
        <v/>
      </c>
      <c r="E644" s="14" t="str">
        <f t="shared" si="3"/>
        <v/>
      </c>
      <c r="F644" s="7" t="str">
        <f>IF($A644&lt;&gt;"",MAXIFS(Token!$C:$C,Token!$A:$A,$D644),)</f>
        <v/>
      </c>
    </row>
    <row r="645">
      <c r="A645" s="39" t="str">
        <f>IF(AND($L645*1&gt;=$G$3,$L645*1&lt;=$G$4,$I645*$J645&gt;0,OR($I645&lt;&gt;$I646,$L645-$L646&gt;25),IF(ABS($I645)&gt;10,$I645/POW(10,$J645),$J645/POW(10,$I645))*MAXIFS(Token!$C:$C,Token!$A:$A,$K645)&gt;0.01),$L645/86400+DATE(1970,1,1)+$G$6,)</f>
        <v/>
      </c>
      <c r="B645" s="27" t="str">
        <f t="shared" si="1"/>
        <v/>
      </c>
      <c r="C645" s="14" t="str">
        <f>IF($A645&lt;&gt;"",MINIFS(Merchant!$A:$A,Merchant!$B:$B,$G$2),)</f>
        <v/>
      </c>
      <c r="D645" s="14" t="str">
        <f t="shared" si="2"/>
        <v/>
      </c>
      <c r="E645" s="14" t="str">
        <f t="shared" si="3"/>
        <v/>
      </c>
      <c r="F645" s="7" t="str">
        <f>IF($A645&lt;&gt;"",MAXIFS(Token!$C:$C,Token!$A:$A,$D645),)</f>
        <v/>
      </c>
    </row>
    <row r="646">
      <c r="A646" s="39" t="str">
        <f>IF(AND($L646*1&gt;=$G$3,$L646*1&lt;=$G$4,$I646*$J646&gt;0,OR($I646&lt;&gt;$I647,$L646-$L647&gt;25),IF(ABS($I646)&gt;10,$I646/POW(10,$J646),$J646/POW(10,$I646))*MAXIFS(Token!$C:$C,Token!$A:$A,$K646)&gt;0.01),$L646/86400+DATE(1970,1,1)+$G$6,)</f>
        <v/>
      </c>
      <c r="B646" s="27" t="str">
        <f t="shared" si="1"/>
        <v/>
      </c>
      <c r="C646" s="14" t="str">
        <f>IF($A646&lt;&gt;"",MINIFS(Merchant!$A:$A,Merchant!$B:$B,$G$2),)</f>
        <v/>
      </c>
      <c r="D646" s="14" t="str">
        <f t="shared" si="2"/>
        <v/>
      </c>
      <c r="E646" s="14" t="str">
        <f t="shared" si="3"/>
        <v/>
      </c>
      <c r="F646" s="7" t="str">
        <f>IF($A646&lt;&gt;"",MAXIFS(Token!$C:$C,Token!$A:$A,$D646),)</f>
        <v/>
      </c>
    </row>
    <row r="647">
      <c r="A647" s="39" t="str">
        <f>IF(AND($L647*1&gt;=$G$3,$L647*1&lt;=$G$4,$I647*$J647&gt;0,OR($I647&lt;&gt;$I648,$L647-$L648&gt;25),IF(ABS($I647)&gt;10,$I647/POW(10,$J647),$J647/POW(10,$I647))*MAXIFS(Token!$C:$C,Token!$A:$A,$K647)&gt;0.01),$L647/86400+DATE(1970,1,1)+$G$6,)</f>
        <v/>
      </c>
      <c r="B647" s="27" t="str">
        <f t="shared" si="1"/>
        <v/>
      </c>
      <c r="C647" s="14" t="str">
        <f>IF($A647&lt;&gt;"",MINIFS(Merchant!$A:$A,Merchant!$B:$B,$G$2),)</f>
        <v/>
      </c>
      <c r="D647" s="14" t="str">
        <f t="shared" si="2"/>
        <v/>
      </c>
      <c r="E647" s="14" t="str">
        <f t="shared" si="3"/>
        <v/>
      </c>
      <c r="F647" s="7" t="str">
        <f>IF($A647&lt;&gt;"",MAXIFS(Token!$C:$C,Token!$A:$A,$D647),)</f>
        <v/>
      </c>
    </row>
    <row r="648">
      <c r="A648" s="39" t="str">
        <f>IF(AND($L648*1&gt;=$G$3,$L648*1&lt;=$G$4,$I648*$J648&gt;0,OR($I648&lt;&gt;$I649,$L648-$L649&gt;25),IF(ABS($I648)&gt;10,$I648/POW(10,$J648),$J648/POW(10,$I648))*MAXIFS(Token!$C:$C,Token!$A:$A,$K648)&gt;0.01),$L648/86400+DATE(1970,1,1)+$G$6,)</f>
        <v/>
      </c>
      <c r="B648" s="27" t="str">
        <f t="shared" si="1"/>
        <v/>
      </c>
      <c r="C648" s="14" t="str">
        <f>IF($A648&lt;&gt;"",MINIFS(Merchant!$A:$A,Merchant!$B:$B,$G$2),)</f>
        <v/>
      </c>
      <c r="D648" s="14" t="str">
        <f t="shared" si="2"/>
        <v/>
      </c>
      <c r="E648" s="14" t="str">
        <f t="shared" si="3"/>
        <v/>
      </c>
      <c r="F648" s="7" t="str">
        <f>IF($A648&lt;&gt;"",MAXIFS(Token!$C:$C,Token!$A:$A,$D648),)</f>
        <v/>
      </c>
    </row>
    <row r="649">
      <c r="A649" s="39" t="str">
        <f>IF(AND($L649*1&gt;=$G$3,$L649*1&lt;=$G$4,$I649*$J649&gt;0,OR($I649&lt;&gt;$I650,$L649-$L650&gt;25),IF(ABS($I649)&gt;10,$I649/POW(10,$J649),$J649/POW(10,$I649))*MAXIFS(Token!$C:$C,Token!$A:$A,$K649)&gt;0.01),$L649/86400+DATE(1970,1,1)+$G$6,)</f>
        <v/>
      </c>
      <c r="B649" s="27" t="str">
        <f t="shared" si="1"/>
        <v/>
      </c>
      <c r="C649" s="14" t="str">
        <f>IF($A649&lt;&gt;"",MINIFS(Merchant!$A:$A,Merchant!$B:$B,$G$2),)</f>
        <v/>
      </c>
      <c r="D649" s="14" t="str">
        <f t="shared" si="2"/>
        <v/>
      </c>
      <c r="E649" s="14" t="str">
        <f t="shared" si="3"/>
        <v/>
      </c>
      <c r="F649" s="7" t="str">
        <f>IF($A649&lt;&gt;"",MAXIFS(Token!$C:$C,Token!$A:$A,$D649),)</f>
        <v/>
      </c>
    </row>
    <row r="650">
      <c r="A650" s="39" t="str">
        <f>IF(AND($L650*1&gt;=$G$3,$L650*1&lt;=$G$4,$I650*$J650&gt;0,OR($I650&lt;&gt;$I651,$L650-$L651&gt;25),IF(ABS($I650)&gt;10,$I650/POW(10,$J650),$J650/POW(10,$I650))*MAXIFS(Token!$C:$C,Token!$A:$A,$K650)&gt;0.01),$L650/86400+DATE(1970,1,1)+$G$6,)</f>
        <v/>
      </c>
      <c r="B650" s="27" t="str">
        <f t="shared" si="1"/>
        <v/>
      </c>
      <c r="C650" s="14" t="str">
        <f>IF($A650&lt;&gt;"",MINIFS(Merchant!$A:$A,Merchant!$B:$B,$G$2),)</f>
        <v/>
      </c>
      <c r="D650" s="14" t="str">
        <f t="shared" si="2"/>
        <v/>
      </c>
      <c r="E650" s="14" t="str">
        <f t="shared" si="3"/>
        <v/>
      </c>
      <c r="F650" s="7" t="str">
        <f>IF($A650&lt;&gt;"",MAXIFS(Token!$C:$C,Token!$A:$A,$D650),)</f>
        <v/>
      </c>
    </row>
    <row r="651">
      <c r="A651" s="39" t="str">
        <f>IF(AND($L651*1&gt;=$G$3,$L651*1&lt;=$G$4,$I651*$J651&gt;0,OR($I651&lt;&gt;$I652,$L651-$L652&gt;25),IF(ABS($I651)&gt;10,$I651/POW(10,$J651),$J651/POW(10,$I651))*MAXIFS(Token!$C:$C,Token!$A:$A,$K651)&gt;0.01),$L651/86400+DATE(1970,1,1)+$G$6,)</f>
        <v/>
      </c>
      <c r="B651" s="27" t="str">
        <f t="shared" si="1"/>
        <v/>
      </c>
      <c r="C651" s="14" t="str">
        <f>IF($A651&lt;&gt;"",MINIFS(Merchant!$A:$A,Merchant!$B:$B,$G$2),)</f>
        <v/>
      </c>
      <c r="D651" s="14" t="str">
        <f t="shared" si="2"/>
        <v/>
      </c>
      <c r="E651" s="14" t="str">
        <f t="shared" si="3"/>
        <v/>
      </c>
      <c r="F651" s="7" t="str">
        <f>IF($A651&lt;&gt;"",MAXIFS(Token!$C:$C,Token!$A:$A,$D651),)</f>
        <v/>
      </c>
    </row>
    <row r="652">
      <c r="A652" s="39" t="str">
        <f>IF(AND($L652*1&gt;=$G$3,$L652*1&lt;=$G$4,$I652*$J652&gt;0,OR($I652&lt;&gt;$I653,$L652-$L653&gt;25),IF(ABS($I652)&gt;10,$I652/POW(10,$J652),$J652/POW(10,$I652))*MAXIFS(Token!$C:$C,Token!$A:$A,$K652)&gt;0.01),$L652/86400+DATE(1970,1,1)+$G$6,)</f>
        <v/>
      </c>
      <c r="B652" s="27" t="str">
        <f t="shared" si="1"/>
        <v/>
      </c>
      <c r="C652" s="14" t="str">
        <f>IF($A652&lt;&gt;"",MINIFS(Merchant!$A:$A,Merchant!$B:$B,$G$2),)</f>
        <v/>
      </c>
      <c r="D652" s="14" t="str">
        <f t="shared" si="2"/>
        <v/>
      </c>
      <c r="E652" s="14" t="str">
        <f t="shared" si="3"/>
        <v/>
      </c>
      <c r="F652" s="7" t="str">
        <f>IF($A652&lt;&gt;"",MAXIFS(Token!$C:$C,Token!$A:$A,$D652),)</f>
        <v/>
      </c>
    </row>
    <row r="653">
      <c r="A653" s="39" t="str">
        <f>IF(AND($L653*1&gt;=$G$3,$L653*1&lt;=$G$4,$I653*$J653&gt;0,OR($I653&lt;&gt;$I654,$L653-$L654&gt;25),IF(ABS($I653)&gt;10,$I653/POW(10,$J653),$J653/POW(10,$I653))*MAXIFS(Token!$C:$C,Token!$A:$A,$K653)&gt;0.01),$L653/86400+DATE(1970,1,1)+$G$6,)</f>
        <v/>
      </c>
      <c r="B653" s="27" t="str">
        <f t="shared" si="1"/>
        <v/>
      </c>
      <c r="C653" s="14" t="str">
        <f>IF($A653&lt;&gt;"",MINIFS(Merchant!$A:$A,Merchant!$B:$B,$G$2),)</f>
        <v/>
      </c>
      <c r="D653" s="14" t="str">
        <f t="shared" si="2"/>
        <v/>
      </c>
      <c r="E653" s="14" t="str">
        <f t="shared" si="3"/>
        <v/>
      </c>
      <c r="F653" s="7" t="str">
        <f>IF($A653&lt;&gt;"",MAXIFS(Token!$C:$C,Token!$A:$A,$D653),)</f>
        <v/>
      </c>
    </row>
    <row r="654">
      <c r="A654" s="39" t="str">
        <f>IF(AND($L654*1&gt;=$G$3,$L654*1&lt;=$G$4,$I654*$J654&gt;0,OR($I654&lt;&gt;$I655,$L654-$L655&gt;25),IF(ABS($I654)&gt;10,$I654/POW(10,$J654),$J654/POW(10,$I654))*MAXIFS(Token!$C:$C,Token!$A:$A,$K654)&gt;0.01),$L654/86400+DATE(1970,1,1)+$G$6,)</f>
        <v/>
      </c>
      <c r="B654" s="27" t="str">
        <f t="shared" si="1"/>
        <v/>
      </c>
      <c r="C654" s="14" t="str">
        <f>IF($A654&lt;&gt;"",MINIFS(Merchant!$A:$A,Merchant!$B:$B,$G$2),)</f>
        <v/>
      </c>
      <c r="D654" s="14" t="str">
        <f t="shared" si="2"/>
        <v/>
      </c>
      <c r="E654" s="14" t="str">
        <f t="shared" si="3"/>
        <v/>
      </c>
      <c r="F654" s="7" t="str">
        <f>IF($A654&lt;&gt;"",MAXIFS(Token!$C:$C,Token!$A:$A,$D654),)</f>
        <v/>
      </c>
    </row>
    <row r="655">
      <c r="A655" s="39" t="str">
        <f>IF(AND($L655*1&gt;=$G$3,$L655*1&lt;=$G$4,$I655*$J655&gt;0,OR($I655&lt;&gt;$I656,$L655-$L656&gt;25),IF(ABS($I655)&gt;10,$I655/POW(10,$J655),$J655/POW(10,$I655))*MAXIFS(Token!$C:$C,Token!$A:$A,$K655)&gt;0.01),$L655/86400+DATE(1970,1,1)+$G$6,)</f>
        <v/>
      </c>
      <c r="B655" s="27" t="str">
        <f t="shared" si="1"/>
        <v/>
      </c>
      <c r="C655" s="14" t="str">
        <f>IF($A655&lt;&gt;"",MINIFS(Merchant!$A:$A,Merchant!$B:$B,$G$2),)</f>
        <v/>
      </c>
      <c r="D655" s="14" t="str">
        <f t="shared" si="2"/>
        <v/>
      </c>
      <c r="E655" s="14" t="str">
        <f t="shared" si="3"/>
        <v/>
      </c>
      <c r="F655" s="7" t="str">
        <f>IF($A655&lt;&gt;"",MAXIFS(Token!$C:$C,Token!$A:$A,$D655),)</f>
        <v/>
      </c>
    </row>
    <row r="656">
      <c r="A656" s="39" t="str">
        <f>IF(AND($L656*1&gt;=$G$3,$L656*1&lt;=$G$4,$I656*$J656&gt;0,OR($I656&lt;&gt;$I657,$L656-$L657&gt;25),IF(ABS($I656)&gt;10,$I656/POW(10,$J656),$J656/POW(10,$I656))*MAXIFS(Token!$C:$C,Token!$A:$A,$K656)&gt;0.01),$L656/86400+DATE(1970,1,1)+$G$6,)</f>
        <v/>
      </c>
      <c r="B656" s="27" t="str">
        <f t="shared" si="1"/>
        <v/>
      </c>
      <c r="C656" s="14" t="str">
        <f>IF($A656&lt;&gt;"",MINIFS(Merchant!$A:$A,Merchant!$B:$B,$G$2),)</f>
        <v/>
      </c>
      <c r="D656" s="14" t="str">
        <f t="shared" si="2"/>
        <v/>
      </c>
      <c r="E656" s="14" t="str">
        <f t="shared" si="3"/>
        <v/>
      </c>
      <c r="F656" s="7" t="str">
        <f>IF($A656&lt;&gt;"",MAXIFS(Token!$C:$C,Token!$A:$A,$D656),)</f>
        <v/>
      </c>
    </row>
    <row r="657">
      <c r="A657" s="39" t="str">
        <f>IF(AND($L657*1&gt;=$G$3,$L657*1&lt;=$G$4,$I657*$J657&gt;0,OR($I657&lt;&gt;$I658,$L657-$L658&gt;25),IF(ABS($I657)&gt;10,$I657/POW(10,$J657),$J657/POW(10,$I657))*MAXIFS(Token!$C:$C,Token!$A:$A,$K657)&gt;0.01),$L657/86400+DATE(1970,1,1)+$G$6,)</f>
        <v/>
      </c>
      <c r="B657" s="27" t="str">
        <f t="shared" si="1"/>
        <v/>
      </c>
      <c r="C657" s="14" t="str">
        <f>IF($A657&lt;&gt;"",MINIFS(Merchant!$A:$A,Merchant!$B:$B,$G$2),)</f>
        <v/>
      </c>
      <c r="D657" s="14" t="str">
        <f t="shared" si="2"/>
        <v/>
      </c>
      <c r="E657" s="14" t="str">
        <f t="shared" si="3"/>
        <v/>
      </c>
      <c r="F657" s="7" t="str">
        <f>IF($A657&lt;&gt;"",MAXIFS(Token!$C:$C,Token!$A:$A,$D657),)</f>
        <v/>
      </c>
    </row>
    <row r="658">
      <c r="A658" s="39" t="str">
        <f>IF(AND($L658*1&gt;=$G$3,$L658*1&lt;=$G$4,$I658*$J658&gt;0,OR($I658&lt;&gt;$I659,$L658-$L659&gt;25),IF(ABS($I658)&gt;10,$I658/POW(10,$J658),$J658/POW(10,$I658))*MAXIFS(Token!$C:$C,Token!$A:$A,$K658)&gt;0.01),$L658/86400+DATE(1970,1,1)+$G$6,)</f>
        <v/>
      </c>
      <c r="B658" s="27" t="str">
        <f t="shared" si="1"/>
        <v/>
      </c>
      <c r="C658" s="14" t="str">
        <f>IF($A658&lt;&gt;"",MINIFS(Merchant!$A:$A,Merchant!$B:$B,$G$2),)</f>
        <v/>
      </c>
      <c r="D658" s="14" t="str">
        <f t="shared" si="2"/>
        <v/>
      </c>
      <c r="E658" s="14" t="str">
        <f t="shared" si="3"/>
        <v/>
      </c>
      <c r="F658" s="7" t="str">
        <f>IF($A658&lt;&gt;"",MAXIFS(Token!$C:$C,Token!$A:$A,$D658),)</f>
        <v/>
      </c>
    </row>
    <row r="659">
      <c r="A659" s="39" t="str">
        <f>IF(AND($L659*1&gt;=$G$3,$L659*1&lt;=$G$4,$I659*$J659&gt;0,OR($I659&lt;&gt;$I660,$L659-$L660&gt;25),IF(ABS($I659)&gt;10,$I659/POW(10,$J659),$J659/POW(10,$I659))*MAXIFS(Token!$C:$C,Token!$A:$A,$K659)&gt;0.01),$L659/86400+DATE(1970,1,1)+$G$6,)</f>
        <v/>
      </c>
      <c r="B659" s="27" t="str">
        <f t="shared" si="1"/>
        <v/>
      </c>
      <c r="C659" s="14" t="str">
        <f>IF($A659&lt;&gt;"",MINIFS(Merchant!$A:$A,Merchant!$B:$B,$G$2),)</f>
        <v/>
      </c>
      <c r="D659" s="14" t="str">
        <f t="shared" si="2"/>
        <v/>
      </c>
      <c r="E659" s="14" t="str">
        <f t="shared" si="3"/>
        <v/>
      </c>
      <c r="F659" s="7" t="str">
        <f>IF($A659&lt;&gt;"",MAXIFS(Token!$C:$C,Token!$A:$A,$D659),)</f>
        <v/>
      </c>
    </row>
    <row r="660">
      <c r="A660" s="39" t="str">
        <f>IF(AND($L660*1&gt;=$G$3,$L660*1&lt;=$G$4,$I660*$J660&gt;0,OR($I660&lt;&gt;$I661,$L660-$L661&gt;25),IF(ABS($I660)&gt;10,$I660/POW(10,$J660),$J660/POW(10,$I660))*MAXIFS(Token!$C:$C,Token!$A:$A,$K660)&gt;0.01),$L660/86400+DATE(1970,1,1)+$G$6,)</f>
        <v/>
      </c>
      <c r="B660" s="27" t="str">
        <f t="shared" si="1"/>
        <v/>
      </c>
      <c r="C660" s="14" t="str">
        <f>IF($A660&lt;&gt;"",MINIFS(Merchant!$A:$A,Merchant!$B:$B,$G$2),)</f>
        <v/>
      </c>
      <c r="D660" s="14" t="str">
        <f t="shared" si="2"/>
        <v/>
      </c>
      <c r="E660" s="14" t="str">
        <f t="shared" si="3"/>
        <v/>
      </c>
      <c r="F660" s="7" t="str">
        <f>IF($A660&lt;&gt;"",MAXIFS(Token!$C:$C,Token!$A:$A,$D660),)</f>
        <v/>
      </c>
    </row>
    <row r="661">
      <c r="A661" s="39" t="str">
        <f>IF(AND($L661*1&gt;=$G$3,$L661*1&lt;=$G$4,$I661*$J661&gt;0,OR($I661&lt;&gt;$I662,$L661-$L662&gt;25),IF(ABS($I661)&gt;10,$I661/POW(10,$J661),$J661/POW(10,$I661))*MAXIFS(Token!$C:$C,Token!$A:$A,$K661)&gt;0.01),$L661/86400+DATE(1970,1,1)+$G$6,)</f>
        <v/>
      </c>
      <c r="B661" s="27" t="str">
        <f t="shared" si="1"/>
        <v/>
      </c>
      <c r="C661" s="14" t="str">
        <f>IF($A661&lt;&gt;"",MINIFS(Merchant!$A:$A,Merchant!$B:$B,$G$2),)</f>
        <v/>
      </c>
      <c r="D661" s="14" t="str">
        <f t="shared" si="2"/>
        <v/>
      </c>
      <c r="E661" s="14" t="str">
        <f t="shared" si="3"/>
        <v/>
      </c>
      <c r="F661" s="7" t="str">
        <f>IF($A661&lt;&gt;"",MAXIFS(Token!$C:$C,Token!$A:$A,$D661),)</f>
        <v/>
      </c>
    </row>
    <row r="662">
      <c r="A662" s="39" t="str">
        <f>IF(AND($L662*1&gt;=$G$3,$L662*1&lt;=$G$4,$I662*$J662&gt;0,OR($I662&lt;&gt;$I663,$L662-$L663&gt;25),IF(ABS($I662)&gt;10,$I662/POW(10,$J662),$J662/POW(10,$I662))*MAXIFS(Token!$C:$C,Token!$A:$A,$K662)&gt;0.01),$L662/86400+DATE(1970,1,1)+$G$6,)</f>
        <v/>
      </c>
      <c r="B662" s="27" t="str">
        <f t="shared" si="1"/>
        <v/>
      </c>
      <c r="C662" s="14" t="str">
        <f>IF($A662&lt;&gt;"",MINIFS(Merchant!$A:$A,Merchant!$B:$B,$G$2),)</f>
        <v/>
      </c>
      <c r="D662" s="14" t="str">
        <f t="shared" si="2"/>
        <v/>
      </c>
      <c r="E662" s="14" t="str">
        <f t="shared" si="3"/>
        <v/>
      </c>
      <c r="F662" s="7" t="str">
        <f>IF($A662&lt;&gt;"",MAXIFS(Token!$C:$C,Token!$A:$A,$D662),)</f>
        <v/>
      </c>
    </row>
    <row r="663">
      <c r="A663" s="39" t="str">
        <f>IF(AND($L663*1&gt;=$G$3,$L663*1&lt;=$G$4,$I663*$J663&gt;0,OR($I663&lt;&gt;$I664,$L663-$L664&gt;25),IF(ABS($I663)&gt;10,$I663/POW(10,$J663),$J663/POW(10,$I663))*MAXIFS(Token!$C:$C,Token!$A:$A,$K663)&gt;0.01),$L663/86400+DATE(1970,1,1)+$G$6,)</f>
        <v/>
      </c>
      <c r="B663" s="27" t="str">
        <f t="shared" si="1"/>
        <v/>
      </c>
      <c r="C663" s="14" t="str">
        <f>IF($A663&lt;&gt;"",MINIFS(Merchant!$A:$A,Merchant!$B:$B,$G$2),)</f>
        <v/>
      </c>
      <c r="D663" s="14" t="str">
        <f t="shared" si="2"/>
        <v/>
      </c>
      <c r="E663" s="14" t="str">
        <f t="shared" si="3"/>
        <v/>
      </c>
      <c r="F663" s="7" t="str">
        <f>IF($A663&lt;&gt;"",MAXIFS(Token!$C:$C,Token!$A:$A,$D663),)</f>
        <v/>
      </c>
    </row>
    <row r="664">
      <c r="A664" s="39" t="str">
        <f>IF(AND($L664*1&gt;=$G$3,$L664*1&lt;=$G$4,$I664*$J664&gt;0,OR($I664&lt;&gt;$I665,$L664-$L665&gt;25),IF(ABS($I664)&gt;10,$I664/POW(10,$J664),$J664/POW(10,$I664))*MAXIFS(Token!$C:$C,Token!$A:$A,$K664)&gt;0.01),$L664/86400+DATE(1970,1,1)+$G$6,)</f>
        <v/>
      </c>
      <c r="B664" s="27" t="str">
        <f t="shared" si="1"/>
        <v/>
      </c>
      <c r="C664" s="14" t="str">
        <f>IF($A664&lt;&gt;"",MINIFS(Merchant!$A:$A,Merchant!$B:$B,$G$2),)</f>
        <v/>
      </c>
      <c r="D664" s="14" t="str">
        <f t="shared" si="2"/>
        <v/>
      </c>
      <c r="E664" s="14" t="str">
        <f t="shared" si="3"/>
        <v/>
      </c>
      <c r="F664" s="7" t="str">
        <f>IF($A664&lt;&gt;"",MAXIFS(Token!$C:$C,Token!$A:$A,$D664),)</f>
        <v/>
      </c>
    </row>
    <row r="665">
      <c r="A665" s="39" t="str">
        <f>IF(AND($L665*1&gt;=$G$3,$L665*1&lt;=$G$4,$I665*$J665&gt;0,OR($I665&lt;&gt;$I666,$L665-$L666&gt;25),IF(ABS($I665)&gt;10,$I665/POW(10,$J665),$J665/POW(10,$I665))*MAXIFS(Token!$C:$C,Token!$A:$A,$K665)&gt;0.01),$L665/86400+DATE(1970,1,1)+$G$6,)</f>
        <v/>
      </c>
      <c r="B665" s="27" t="str">
        <f t="shared" si="1"/>
        <v/>
      </c>
      <c r="C665" s="14" t="str">
        <f>IF($A665&lt;&gt;"",MINIFS(Merchant!$A:$A,Merchant!$B:$B,$G$2),)</f>
        <v/>
      </c>
      <c r="D665" s="14" t="str">
        <f t="shared" si="2"/>
        <v/>
      </c>
      <c r="E665" s="14" t="str">
        <f t="shared" si="3"/>
        <v/>
      </c>
      <c r="F665" s="7" t="str">
        <f>IF($A665&lt;&gt;"",MAXIFS(Token!$C:$C,Token!$A:$A,$D665),)</f>
        <v/>
      </c>
    </row>
    <row r="666">
      <c r="A666" s="39" t="str">
        <f>IF(AND($L666*1&gt;=$G$3,$L666*1&lt;=$G$4,$I666*$J666&gt;0,OR($I666&lt;&gt;$I667,$L666-$L667&gt;25),IF(ABS($I666)&gt;10,$I666/POW(10,$J666),$J666/POW(10,$I666))*MAXIFS(Token!$C:$C,Token!$A:$A,$K666)&gt;0.01),$L666/86400+DATE(1970,1,1)+$G$6,)</f>
        <v/>
      </c>
      <c r="B666" s="27" t="str">
        <f t="shared" si="1"/>
        <v/>
      </c>
      <c r="C666" s="14" t="str">
        <f>IF($A666&lt;&gt;"",MINIFS(Merchant!$A:$A,Merchant!$B:$B,$G$2),)</f>
        <v/>
      </c>
      <c r="D666" s="14" t="str">
        <f t="shared" si="2"/>
        <v/>
      </c>
      <c r="E666" s="14" t="str">
        <f t="shared" si="3"/>
        <v/>
      </c>
      <c r="F666" s="7" t="str">
        <f>IF($A666&lt;&gt;"",MAXIFS(Token!$C:$C,Token!$A:$A,$D666),)</f>
        <v/>
      </c>
    </row>
    <row r="667">
      <c r="A667" s="39" t="str">
        <f>IF(AND($L667*1&gt;=$G$3,$L667*1&lt;=$G$4,$I667*$J667&gt;0,OR($I667&lt;&gt;$I668,$L667-$L668&gt;25),IF(ABS($I667)&gt;10,$I667/POW(10,$J667),$J667/POW(10,$I667))*MAXIFS(Token!$C:$C,Token!$A:$A,$K667)&gt;0.01),$L667/86400+DATE(1970,1,1)+$G$6,)</f>
        <v/>
      </c>
      <c r="B667" s="27" t="str">
        <f t="shared" si="1"/>
        <v/>
      </c>
      <c r="C667" s="14" t="str">
        <f>IF($A667&lt;&gt;"",MINIFS(Merchant!$A:$A,Merchant!$B:$B,$G$2),)</f>
        <v/>
      </c>
      <c r="D667" s="14" t="str">
        <f t="shared" si="2"/>
        <v/>
      </c>
      <c r="E667" s="14" t="str">
        <f t="shared" si="3"/>
        <v/>
      </c>
      <c r="F667" s="7" t="str">
        <f>IF($A667&lt;&gt;"",MAXIFS(Token!$C:$C,Token!$A:$A,$D667),)</f>
        <v/>
      </c>
    </row>
    <row r="668">
      <c r="A668" s="39" t="str">
        <f>IF(AND($L668*1&gt;=$G$3,$L668*1&lt;=$G$4,$I668*$J668&gt;0,OR($I668&lt;&gt;$I669,$L668-$L669&gt;25),IF(ABS($I668)&gt;10,$I668/POW(10,$J668),$J668/POW(10,$I668))*MAXIFS(Token!$C:$C,Token!$A:$A,$K668)&gt;0.01),$L668/86400+DATE(1970,1,1)+$G$6,)</f>
        <v/>
      </c>
      <c r="B668" s="27" t="str">
        <f t="shared" si="1"/>
        <v/>
      </c>
      <c r="C668" s="14" t="str">
        <f>IF($A668&lt;&gt;"",MINIFS(Merchant!$A:$A,Merchant!$B:$B,$G$2),)</f>
        <v/>
      </c>
      <c r="D668" s="14" t="str">
        <f t="shared" si="2"/>
        <v/>
      </c>
      <c r="E668" s="14" t="str">
        <f t="shared" si="3"/>
        <v/>
      </c>
      <c r="F668" s="7" t="str">
        <f>IF($A668&lt;&gt;"",MAXIFS(Token!$C:$C,Token!$A:$A,$D668),)</f>
        <v/>
      </c>
    </row>
    <row r="669">
      <c r="A669" s="39" t="str">
        <f>IF(AND($L669*1&gt;=$G$3,$L669*1&lt;=$G$4,$I669*$J669&gt;0,OR($I669&lt;&gt;$I670,$L669-$L670&gt;25),IF(ABS($I669)&gt;10,$I669/POW(10,$J669),$J669/POW(10,$I669))*MAXIFS(Token!$C:$C,Token!$A:$A,$K669)&gt;0.01),$L669/86400+DATE(1970,1,1)+$G$6,)</f>
        <v/>
      </c>
      <c r="B669" s="27" t="str">
        <f t="shared" si="1"/>
        <v/>
      </c>
      <c r="C669" s="14" t="str">
        <f>IF($A669&lt;&gt;"",MINIFS(Merchant!$A:$A,Merchant!$B:$B,$G$2),)</f>
        <v/>
      </c>
      <c r="D669" s="14" t="str">
        <f t="shared" si="2"/>
        <v/>
      </c>
      <c r="E669" s="14" t="str">
        <f t="shared" si="3"/>
        <v/>
      </c>
      <c r="F669" s="7" t="str">
        <f>IF($A669&lt;&gt;"",MAXIFS(Token!$C:$C,Token!$A:$A,$D669),)</f>
        <v/>
      </c>
    </row>
    <row r="670">
      <c r="A670" s="39" t="str">
        <f>IF(AND($L670*1&gt;=$G$3,$L670*1&lt;=$G$4,$I670*$J670&gt;0,OR($I670&lt;&gt;$I671,$L670-$L671&gt;25),IF(ABS($I670)&gt;10,$I670/POW(10,$J670),$J670/POW(10,$I670))*MAXIFS(Token!$C:$C,Token!$A:$A,$K670)&gt;0.01),$L670/86400+DATE(1970,1,1)+$G$6,)</f>
        <v/>
      </c>
      <c r="B670" s="27" t="str">
        <f t="shared" si="1"/>
        <v/>
      </c>
      <c r="C670" s="14" t="str">
        <f>IF($A670&lt;&gt;"",MINIFS(Merchant!$A:$A,Merchant!$B:$B,$G$2),)</f>
        <v/>
      </c>
      <c r="D670" s="14" t="str">
        <f t="shared" si="2"/>
        <v/>
      </c>
      <c r="E670" s="14" t="str">
        <f t="shared" si="3"/>
        <v/>
      </c>
      <c r="F670" s="7" t="str">
        <f>IF($A670&lt;&gt;"",MAXIFS(Token!$C:$C,Token!$A:$A,$D670),)</f>
        <v/>
      </c>
    </row>
    <row r="671">
      <c r="A671" s="39" t="str">
        <f>IF(AND($L671*1&gt;=$G$3,$L671*1&lt;=$G$4,$I671*$J671&gt;0,OR($I671&lt;&gt;$I672,$L671-$L672&gt;25),IF(ABS($I671)&gt;10,$I671/POW(10,$J671),$J671/POW(10,$I671))*MAXIFS(Token!$C:$C,Token!$A:$A,$K671)&gt;0.01),$L671/86400+DATE(1970,1,1)+$G$6,)</f>
        <v/>
      </c>
      <c r="B671" s="27" t="str">
        <f t="shared" si="1"/>
        <v/>
      </c>
      <c r="C671" s="14" t="str">
        <f>IF($A671&lt;&gt;"",MINIFS(Merchant!$A:$A,Merchant!$B:$B,$G$2),)</f>
        <v/>
      </c>
      <c r="D671" s="14" t="str">
        <f t="shared" si="2"/>
        <v/>
      </c>
      <c r="E671" s="14" t="str">
        <f t="shared" si="3"/>
        <v/>
      </c>
      <c r="F671" s="7" t="str">
        <f>IF($A671&lt;&gt;"",MAXIFS(Token!$C:$C,Token!$A:$A,$D671),)</f>
        <v/>
      </c>
    </row>
    <row r="672">
      <c r="A672" s="39" t="str">
        <f>IF(AND($L672*1&gt;=$G$3,$L672*1&lt;=$G$4,$I672*$J672&gt;0,OR($I672&lt;&gt;$I673,$L672-$L673&gt;25),IF(ABS($I672)&gt;10,$I672/POW(10,$J672),$J672/POW(10,$I672))*MAXIFS(Token!$C:$C,Token!$A:$A,$K672)&gt;0.01),$L672/86400+DATE(1970,1,1)+$G$6,)</f>
        <v/>
      </c>
      <c r="B672" s="27" t="str">
        <f t="shared" si="1"/>
        <v/>
      </c>
      <c r="C672" s="14" t="str">
        <f>IF($A672&lt;&gt;"",MINIFS(Merchant!$A:$A,Merchant!$B:$B,$G$2),)</f>
        <v/>
      </c>
      <c r="D672" s="14" t="str">
        <f t="shared" si="2"/>
        <v/>
      </c>
      <c r="E672" s="14" t="str">
        <f t="shared" si="3"/>
        <v/>
      </c>
      <c r="F672" s="7" t="str">
        <f>IF($A672&lt;&gt;"",MAXIFS(Token!$C:$C,Token!$A:$A,$D672),)</f>
        <v/>
      </c>
    </row>
    <row r="673">
      <c r="A673" s="39" t="str">
        <f>IF(AND($L673*1&gt;=$G$3,$L673*1&lt;=$G$4,$I673*$J673&gt;0,OR($I673&lt;&gt;$I674,$L673-$L674&gt;25),IF(ABS($I673)&gt;10,$I673/POW(10,$J673),$J673/POW(10,$I673))*MAXIFS(Token!$C:$C,Token!$A:$A,$K673)&gt;0.01),$L673/86400+DATE(1970,1,1)+$G$6,)</f>
        <v/>
      </c>
      <c r="B673" s="27" t="str">
        <f t="shared" si="1"/>
        <v/>
      </c>
      <c r="C673" s="14" t="str">
        <f>IF($A673&lt;&gt;"",MINIFS(Merchant!$A:$A,Merchant!$B:$B,$G$2),)</f>
        <v/>
      </c>
      <c r="D673" s="14" t="str">
        <f t="shared" si="2"/>
        <v/>
      </c>
      <c r="E673" s="14" t="str">
        <f t="shared" si="3"/>
        <v/>
      </c>
      <c r="F673" s="7" t="str">
        <f>IF($A673&lt;&gt;"",MAXIFS(Token!$C:$C,Token!$A:$A,$D673),)</f>
        <v/>
      </c>
    </row>
    <row r="674">
      <c r="A674" s="39" t="str">
        <f>IF(AND($L674*1&gt;=$G$3,$L674*1&lt;=$G$4,$I674*$J674&gt;0,OR($I674&lt;&gt;$I675,$L674-$L675&gt;25),IF(ABS($I674)&gt;10,$I674/POW(10,$J674),$J674/POW(10,$I674))*MAXIFS(Token!$C:$C,Token!$A:$A,$K674)&gt;0.01),$L674/86400+DATE(1970,1,1)+$G$6,)</f>
        <v/>
      </c>
      <c r="B674" s="27" t="str">
        <f t="shared" si="1"/>
        <v/>
      </c>
      <c r="C674" s="14" t="str">
        <f>IF($A674&lt;&gt;"",MINIFS(Merchant!$A:$A,Merchant!$B:$B,$G$2),)</f>
        <v/>
      </c>
      <c r="D674" s="14" t="str">
        <f t="shared" si="2"/>
        <v/>
      </c>
      <c r="E674" s="14" t="str">
        <f t="shared" si="3"/>
        <v/>
      </c>
      <c r="F674" s="7" t="str">
        <f>IF($A674&lt;&gt;"",MAXIFS(Token!$C:$C,Token!$A:$A,$D674),)</f>
        <v/>
      </c>
    </row>
    <row r="675">
      <c r="A675" s="39" t="str">
        <f>IF(AND($L675*1&gt;=$G$3,$L675*1&lt;=$G$4,$I675*$J675&gt;0,OR($I675&lt;&gt;$I676,$L675-$L676&gt;25),IF(ABS($I675)&gt;10,$I675/POW(10,$J675),$J675/POW(10,$I675))*MAXIFS(Token!$C:$C,Token!$A:$A,$K675)&gt;0.01),$L675/86400+DATE(1970,1,1)+$G$6,)</f>
        <v/>
      </c>
      <c r="B675" s="27" t="str">
        <f t="shared" si="1"/>
        <v/>
      </c>
      <c r="C675" s="14" t="str">
        <f>IF($A675&lt;&gt;"",MINIFS(Merchant!$A:$A,Merchant!$B:$B,$G$2),)</f>
        <v/>
      </c>
      <c r="D675" s="14" t="str">
        <f t="shared" si="2"/>
        <v/>
      </c>
      <c r="E675" s="14" t="str">
        <f t="shared" si="3"/>
        <v/>
      </c>
      <c r="F675" s="7" t="str">
        <f>IF($A675&lt;&gt;"",MAXIFS(Token!$C:$C,Token!$A:$A,$D675),)</f>
        <v/>
      </c>
    </row>
    <row r="676">
      <c r="A676" s="39" t="str">
        <f>IF(AND($L676*1&gt;=$G$3,$L676*1&lt;=$G$4,$I676*$J676&gt;0,OR($I676&lt;&gt;$I677,$L676-$L677&gt;25),IF(ABS($I676)&gt;10,$I676/POW(10,$J676),$J676/POW(10,$I676))*MAXIFS(Token!$C:$C,Token!$A:$A,$K676)&gt;0.01),$L676/86400+DATE(1970,1,1)+$G$6,)</f>
        <v/>
      </c>
      <c r="B676" s="27" t="str">
        <f t="shared" si="1"/>
        <v/>
      </c>
      <c r="C676" s="14" t="str">
        <f>IF($A676&lt;&gt;"",MINIFS(Merchant!$A:$A,Merchant!$B:$B,$G$2),)</f>
        <v/>
      </c>
      <c r="D676" s="14" t="str">
        <f t="shared" si="2"/>
        <v/>
      </c>
      <c r="E676" s="14" t="str">
        <f t="shared" si="3"/>
        <v/>
      </c>
      <c r="F676" s="7" t="str">
        <f>IF($A676&lt;&gt;"",MAXIFS(Token!$C:$C,Token!$A:$A,$D676),)</f>
        <v/>
      </c>
    </row>
    <row r="677">
      <c r="A677" s="39" t="str">
        <f>IF(AND($L677*1&gt;=$G$3,$L677*1&lt;=$G$4,$I677*$J677&gt;0,OR($I677&lt;&gt;$I678,$L677-$L678&gt;25),IF(ABS($I677)&gt;10,$I677/POW(10,$J677),$J677/POW(10,$I677))*MAXIFS(Token!$C:$C,Token!$A:$A,$K677)&gt;0.01),$L677/86400+DATE(1970,1,1)+$G$6,)</f>
        <v/>
      </c>
      <c r="B677" s="27" t="str">
        <f t="shared" si="1"/>
        <v/>
      </c>
      <c r="C677" s="14" t="str">
        <f>IF($A677&lt;&gt;"",MINIFS(Merchant!$A:$A,Merchant!$B:$B,$G$2),)</f>
        <v/>
      </c>
      <c r="D677" s="14" t="str">
        <f t="shared" si="2"/>
        <v/>
      </c>
      <c r="E677" s="14" t="str">
        <f t="shared" si="3"/>
        <v/>
      </c>
      <c r="F677" s="7" t="str">
        <f>IF($A677&lt;&gt;"",MAXIFS(Token!$C:$C,Token!$A:$A,$D677),)</f>
        <v/>
      </c>
    </row>
    <row r="678">
      <c r="A678" s="39" t="str">
        <f>IF(AND($L678*1&gt;=$G$3,$L678*1&lt;=$G$4,$I678*$J678&gt;0,OR($I678&lt;&gt;$I679,$L678-$L679&gt;25),IF(ABS($I678)&gt;10,$I678/POW(10,$J678),$J678/POW(10,$I678))*MAXIFS(Token!$C:$C,Token!$A:$A,$K678)&gt;0.01),$L678/86400+DATE(1970,1,1)+$G$6,)</f>
        <v/>
      </c>
      <c r="B678" s="27" t="str">
        <f t="shared" si="1"/>
        <v/>
      </c>
      <c r="C678" s="14" t="str">
        <f>IF($A678&lt;&gt;"",MINIFS(Merchant!$A:$A,Merchant!$B:$B,$G$2),)</f>
        <v/>
      </c>
      <c r="D678" s="14" t="str">
        <f t="shared" si="2"/>
        <v/>
      </c>
      <c r="E678" s="14" t="str">
        <f t="shared" si="3"/>
        <v/>
      </c>
      <c r="F678" s="7" t="str">
        <f>IF($A678&lt;&gt;"",MAXIFS(Token!$C:$C,Token!$A:$A,$D678),)</f>
        <v/>
      </c>
    </row>
    <row r="679">
      <c r="A679" s="39" t="str">
        <f>IF(AND($L679*1&gt;=$G$3,$L679*1&lt;=$G$4,$I679*$J679&gt;0,OR($I679&lt;&gt;$I680,$L679-$L680&gt;25),IF(ABS($I679)&gt;10,$I679/POW(10,$J679),$J679/POW(10,$I679))*MAXIFS(Token!$C:$C,Token!$A:$A,$K679)&gt;0.01),$L679/86400+DATE(1970,1,1)+$G$6,)</f>
        <v/>
      </c>
      <c r="B679" s="27" t="str">
        <f t="shared" si="1"/>
        <v/>
      </c>
      <c r="C679" s="14" t="str">
        <f>IF($A679&lt;&gt;"",MINIFS(Merchant!$A:$A,Merchant!$B:$B,$G$2),)</f>
        <v/>
      </c>
      <c r="D679" s="14" t="str">
        <f t="shared" si="2"/>
        <v/>
      </c>
      <c r="E679" s="14" t="str">
        <f t="shared" si="3"/>
        <v/>
      </c>
      <c r="F679" s="7" t="str">
        <f>IF($A679&lt;&gt;"",MAXIFS(Token!$C:$C,Token!$A:$A,$D679),)</f>
        <v/>
      </c>
    </row>
    <row r="680">
      <c r="A680" s="39" t="str">
        <f>IF(AND($L680*1&gt;=$G$3,$L680*1&lt;=$G$4,$I680*$J680&gt;0,OR($I680&lt;&gt;$I681,$L680-$L681&gt;25),IF(ABS($I680)&gt;10,$I680/POW(10,$J680),$J680/POW(10,$I680))*MAXIFS(Token!$C:$C,Token!$A:$A,$K680)&gt;0.01),$L680/86400+DATE(1970,1,1)+$G$6,)</f>
        <v/>
      </c>
      <c r="B680" s="27" t="str">
        <f t="shared" si="1"/>
        <v/>
      </c>
      <c r="C680" s="14" t="str">
        <f>IF($A680&lt;&gt;"",MINIFS(Merchant!$A:$A,Merchant!$B:$B,$G$2),)</f>
        <v/>
      </c>
      <c r="D680" s="14" t="str">
        <f t="shared" si="2"/>
        <v/>
      </c>
      <c r="E680" s="14" t="str">
        <f t="shared" si="3"/>
        <v/>
      </c>
      <c r="F680" s="7" t="str">
        <f>IF($A680&lt;&gt;"",MAXIFS(Token!$C:$C,Token!$A:$A,$D680),)</f>
        <v/>
      </c>
    </row>
    <row r="681">
      <c r="A681" s="39" t="str">
        <f>IF(AND($L681*1&gt;=$G$3,$L681*1&lt;=$G$4,$I681*$J681&gt;0,OR($I681&lt;&gt;$I682,$L681-$L682&gt;25),IF(ABS($I681)&gt;10,$I681/POW(10,$J681),$J681/POW(10,$I681))*MAXIFS(Token!$C:$C,Token!$A:$A,$K681)&gt;0.01),$L681/86400+DATE(1970,1,1)+$G$6,)</f>
        <v/>
      </c>
      <c r="B681" s="27" t="str">
        <f t="shared" si="1"/>
        <v/>
      </c>
      <c r="C681" s="14" t="str">
        <f>IF($A681&lt;&gt;"",MINIFS(Merchant!$A:$A,Merchant!$B:$B,$G$2),)</f>
        <v/>
      </c>
      <c r="D681" s="14" t="str">
        <f t="shared" si="2"/>
        <v/>
      </c>
      <c r="E681" s="14" t="str">
        <f t="shared" si="3"/>
        <v/>
      </c>
      <c r="F681" s="7" t="str">
        <f>IF($A681&lt;&gt;"",MAXIFS(Token!$C:$C,Token!$A:$A,$D681),)</f>
        <v/>
      </c>
    </row>
    <row r="682">
      <c r="A682" s="39" t="str">
        <f>IF(AND($L682*1&gt;=$G$3,$L682*1&lt;=$G$4,$I682*$J682&gt;0,OR($I682&lt;&gt;$I683,$L682-$L683&gt;25),IF(ABS($I682)&gt;10,$I682/POW(10,$J682),$J682/POW(10,$I682))*MAXIFS(Token!$C:$C,Token!$A:$A,$K682)&gt;0.01),$L682/86400+DATE(1970,1,1)+$G$6,)</f>
        <v/>
      </c>
      <c r="B682" s="27" t="str">
        <f t="shared" si="1"/>
        <v/>
      </c>
      <c r="C682" s="14" t="str">
        <f>IF($A682&lt;&gt;"",MINIFS(Merchant!$A:$A,Merchant!$B:$B,$G$2),)</f>
        <v/>
      </c>
      <c r="D682" s="14" t="str">
        <f t="shared" si="2"/>
        <v/>
      </c>
      <c r="E682" s="14" t="str">
        <f t="shared" si="3"/>
        <v/>
      </c>
      <c r="F682" s="7" t="str">
        <f>IF($A682&lt;&gt;"",MAXIFS(Token!$C:$C,Token!$A:$A,$D682),)</f>
        <v/>
      </c>
    </row>
    <row r="683">
      <c r="A683" s="39" t="str">
        <f>IF(AND($L683*1&gt;=$G$3,$L683*1&lt;=$G$4,$I683*$J683&gt;0,OR($I683&lt;&gt;$I684,$L683-$L684&gt;25),IF(ABS($I683)&gt;10,$I683/POW(10,$J683),$J683/POW(10,$I683))*MAXIFS(Token!$C:$C,Token!$A:$A,$K683)&gt;0.01),$L683/86400+DATE(1970,1,1)+$G$6,)</f>
        <v/>
      </c>
      <c r="B683" s="27" t="str">
        <f t="shared" si="1"/>
        <v/>
      </c>
      <c r="C683" s="14" t="str">
        <f>IF($A683&lt;&gt;"",MINIFS(Merchant!$A:$A,Merchant!$B:$B,$G$2),)</f>
        <v/>
      </c>
      <c r="D683" s="14" t="str">
        <f t="shared" si="2"/>
        <v/>
      </c>
      <c r="E683" s="14" t="str">
        <f t="shared" si="3"/>
        <v/>
      </c>
      <c r="F683" s="7" t="str">
        <f>IF($A683&lt;&gt;"",MAXIFS(Token!$C:$C,Token!$A:$A,$D683),)</f>
        <v/>
      </c>
    </row>
    <row r="684">
      <c r="A684" s="39" t="str">
        <f>IF(AND($L684*1&gt;=$G$3,$L684*1&lt;=$G$4,$I684*$J684&gt;0,OR($I684&lt;&gt;$I685,$L684-$L685&gt;25),IF(ABS($I684)&gt;10,$I684/POW(10,$J684),$J684/POW(10,$I684))*MAXIFS(Token!$C:$C,Token!$A:$A,$K684)&gt;0.01),$L684/86400+DATE(1970,1,1)+$G$6,)</f>
        <v/>
      </c>
      <c r="B684" s="27" t="str">
        <f t="shared" si="1"/>
        <v/>
      </c>
      <c r="C684" s="14" t="str">
        <f>IF($A684&lt;&gt;"",MINIFS(Merchant!$A:$A,Merchant!$B:$B,$G$2),)</f>
        <v/>
      </c>
      <c r="D684" s="14" t="str">
        <f t="shared" si="2"/>
        <v/>
      </c>
      <c r="E684" s="14" t="str">
        <f t="shared" si="3"/>
        <v/>
      </c>
      <c r="F684" s="7" t="str">
        <f>IF($A684&lt;&gt;"",MAXIFS(Token!$C:$C,Token!$A:$A,$D684),)</f>
        <v/>
      </c>
    </row>
    <row r="685">
      <c r="A685" s="39" t="str">
        <f>IF(AND($L685*1&gt;=$G$3,$L685*1&lt;=$G$4,$I685*$J685&gt;0,OR($I685&lt;&gt;$I686,$L685-$L686&gt;25),IF(ABS($I685)&gt;10,$I685/POW(10,$J685),$J685/POW(10,$I685))*MAXIFS(Token!$C:$C,Token!$A:$A,$K685)&gt;0.01),$L685/86400+DATE(1970,1,1)+$G$6,)</f>
        <v/>
      </c>
      <c r="B685" s="27" t="str">
        <f t="shared" si="1"/>
        <v/>
      </c>
      <c r="C685" s="14" t="str">
        <f>IF($A685&lt;&gt;"",MINIFS(Merchant!$A:$A,Merchant!$B:$B,$G$2),)</f>
        <v/>
      </c>
      <c r="D685" s="14" t="str">
        <f t="shared" si="2"/>
        <v/>
      </c>
      <c r="E685" s="14" t="str">
        <f t="shared" si="3"/>
        <v/>
      </c>
      <c r="F685" s="7" t="str">
        <f>IF($A685&lt;&gt;"",MAXIFS(Token!$C:$C,Token!$A:$A,$D685),)</f>
        <v/>
      </c>
    </row>
    <row r="686">
      <c r="A686" s="39" t="str">
        <f>IF(AND($L686*1&gt;=$G$3,$L686*1&lt;=$G$4,$I686*$J686&gt;0,OR($I686&lt;&gt;$I687,$L686-$L687&gt;25),IF(ABS($I686)&gt;10,$I686/POW(10,$J686),$J686/POW(10,$I686))*MAXIFS(Token!$C:$C,Token!$A:$A,$K686)&gt;0.01),$L686/86400+DATE(1970,1,1)+$G$6,)</f>
        <v/>
      </c>
      <c r="B686" s="27" t="str">
        <f t="shared" si="1"/>
        <v/>
      </c>
      <c r="C686" s="14" t="str">
        <f>IF($A686&lt;&gt;"",MINIFS(Merchant!$A:$A,Merchant!$B:$B,$G$2),)</f>
        <v/>
      </c>
      <c r="D686" s="14" t="str">
        <f t="shared" si="2"/>
        <v/>
      </c>
      <c r="E686" s="14" t="str">
        <f t="shared" si="3"/>
        <v/>
      </c>
      <c r="F686" s="7" t="str">
        <f>IF($A686&lt;&gt;"",MAXIFS(Token!$C:$C,Token!$A:$A,$D686),)</f>
        <v/>
      </c>
    </row>
    <row r="687">
      <c r="A687" s="39" t="str">
        <f>IF(AND($L687*1&gt;=$G$3,$L687*1&lt;=$G$4,$I687*$J687&gt;0,OR($I687&lt;&gt;$I688,$L687-$L688&gt;25),IF(ABS($I687)&gt;10,$I687/POW(10,$J687),$J687/POW(10,$I687))*MAXIFS(Token!$C:$C,Token!$A:$A,$K687)&gt;0.01),$L687/86400+DATE(1970,1,1)+$G$6,)</f>
        <v/>
      </c>
      <c r="B687" s="27" t="str">
        <f t="shared" si="1"/>
        <v/>
      </c>
      <c r="C687" s="14" t="str">
        <f>IF($A687&lt;&gt;"",MINIFS(Merchant!$A:$A,Merchant!$B:$B,$G$2),)</f>
        <v/>
      </c>
      <c r="D687" s="14" t="str">
        <f t="shared" si="2"/>
        <v/>
      </c>
      <c r="E687" s="14" t="str">
        <f t="shared" si="3"/>
        <v/>
      </c>
      <c r="F687" s="7" t="str">
        <f>IF($A687&lt;&gt;"",MAXIFS(Token!$C:$C,Token!$A:$A,$D687),)</f>
        <v/>
      </c>
    </row>
    <row r="688">
      <c r="A688" s="39" t="str">
        <f>IF(AND($L688*1&gt;=$G$3,$L688*1&lt;=$G$4,$I688*$J688&gt;0,OR($I688&lt;&gt;$I689,$L688-$L689&gt;25),IF(ABS($I688)&gt;10,$I688/POW(10,$J688),$J688/POW(10,$I688))*MAXIFS(Token!$C:$C,Token!$A:$A,$K688)&gt;0.01),$L688/86400+DATE(1970,1,1)+$G$6,)</f>
        <v/>
      </c>
      <c r="B688" s="27" t="str">
        <f t="shared" si="1"/>
        <v/>
      </c>
      <c r="C688" s="14" t="str">
        <f>IF($A688&lt;&gt;"",MINIFS(Merchant!$A:$A,Merchant!$B:$B,$G$2),)</f>
        <v/>
      </c>
      <c r="D688" s="14" t="str">
        <f t="shared" si="2"/>
        <v/>
      </c>
      <c r="E688" s="14" t="str">
        <f t="shared" si="3"/>
        <v/>
      </c>
      <c r="F688" s="7" t="str">
        <f>IF($A688&lt;&gt;"",MAXIFS(Token!$C:$C,Token!$A:$A,$D688),)</f>
        <v/>
      </c>
    </row>
    <row r="689">
      <c r="A689" s="39" t="str">
        <f>IF(AND($L689*1&gt;=$G$3,$L689*1&lt;=$G$4,$I689*$J689&gt;0,OR($I689&lt;&gt;$I690,$L689-$L690&gt;25),IF(ABS($I689)&gt;10,$I689/POW(10,$J689),$J689/POW(10,$I689))*MAXIFS(Token!$C:$C,Token!$A:$A,$K689)&gt;0.01),$L689/86400+DATE(1970,1,1)+$G$6,)</f>
        <v/>
      </c>
      <c r="B689" s="27" t="str">
        <f t="shared" si="1"/>
        <v/>
      </c>
      <c r="C689" s="14" t="str">
        <f>IF($A689&lt;&gt;"",MINIFS(Merchant!$A:$A,Merchant!$B:$B,$G$2),)</f>
        <v/>
      </c>
      <c r="D689" s="14" t="str">
        <f t="shared" si="2"/>
        <v/>
      </c>
      <c r="E689" s="14" t="str">
        <f t="shared" si="3"/>
        <v/>
      </c>
      <c r="F689" s="7" t="str">
        <f>IF($A689&lt;&gt;"",MAXIFS(Token!$C:$C,Token!$A:$A,$D689),)</f>
        <v/>
      </c>
    </row>
    <row r="690">
      <c r="A690" s="39" t="str">
        <f>IF(AND($L690*1&gt;=$G$3,$L690*1&lt;=$G$4,$I690*$J690&gt;0,OR($I690&lt;&gt;$I691,$L690-$L691&gt;25),IF(ABS($I690)&gt;10,$I690/POW(10,$J690),$J690/POW(10,$I690))*MAXIFS(Token!$C:$C,Token!$A:$A,$K690)&gt;0.01),$L690/86400+DATE(1970,1,1)+$G$6,)</f>
        <v/>
      </c>
      <c r="B690" s="27" t="str">
        <f t="shared" si="1"/>
        <v/>
      </c>
      <c r="C690" s="14" t="str">
        <f>IF($A690&lt;&gt;"",MINIFS(Merchant!$A:$A,Merchant!$B:$B,$G$2),)</f>
        <v/>
      </c>
      <c r="D690" s="14" t="str">
        <f t="shared" si="2"/>
        <v/>
      </c>
      <c r="E690" s="14" t="str">
        <f t="shared" si="3"/>
        <v/>
      </c>
      <c r="F690" s="7" t="str">
        <f>IF($A690&lt;&gt;"",MAXIFS(Token!$C:$C,Token!$A:$A,$D690),)</f>
        <v/>
      </c>
    </row>
    <row r="691">
      <c r="A691" s="39" t="str">
        <f>IF(AND($L691*1&gt;=$G$3,$L691*1&lt;=$G$4,$I691*$J691&gt;0,OR($I691&lt;&gt;$I692,$L691-$L692&gt;25),IF(ABS($I691)&gt;10,$I691/POW(10,$J691),$J691/POW(10,$I691))*MAXIFS(Token!$C:$C,Token!$A:$A,$K691)&gt;0.01),$L691/86400+DATE(1970,1,1)+$G$6,)</f>
        <v/>
      </c>
      <c r="B691" s="27" t="str">
        <f t="shared" si="1"/>
        <v/>
      </c>
      <c r="C691" s="14" t="str">
        <f>IF($A691&lt;&gt;"",MINIFS(Merchant!$A:$A,Merchant!$B:$B,$G$2),)</f>
        <v/>
      </c>
      <c r="D691" s="14" t="str">
        <f t="shared" si="2"/>
        <v/>
      </c>
      <c r="E691" s="14" t="str">
        <f t="shared" si="3"/>
        <v/>
      </c>
      <c r="F691" s="7" t="str">
        <f>IF($A691&lt;&gt;"",MAXIFS(Token!$C:$C,Token!$A:$A,$D691),)</f>
        <v/>
      </c>
    </row>
    <row r="692">
      <c r="A692" s="39" t="str">
        <f>IF(AND($L692*1&gt;=$G$3,$L692*1&lt;=$G$4,$I692*$J692&gt;0,OR($I692&lt;&gt;$I693,$L692-$L693&gt;25),IF(ABS($I692)&gt;10,$I692/POW(10,$J692),$J692/POW(10,$I692))*MAXIFS(Token!$C:$C,Token!$A:$A,$K692)&gt;0.01),$L692/86400+DATE(1970,1,1)+$G$6,)</f>
        <v/>
      </c>
      <c r="B692" s="27" t="str">
        <f t="shared" si="1"/>
        <v/>
      </c>
      <c r="C692" s="14" t="str">
        <f>IF($A692&lt;&gt;"",MINIFS(Merchant!$A:$A,Merchant!$B:$B,$G$2),)</f>
        <v/>
      </c>
      <c r="D692" s="14" t="str">
        <f t="shared" si="2"/>
        <v/>
      </c>
      <c r="E692" s="14" t="str">
        <f t="shared" si="3"/>
        <v/>
      </c>
      <c r="F692" s="7" t="str">
        <f>IF($A692&lt;&gt;"",MAXIFS(Token!$C:$C,Token!$A:$A,$D692),)</f>
        <v/>
      </c>
    </row>
    <row r="693">
      <c r="A693" s="39" t="str">
        <f>IF(AND($L693*1&gt;=$G$3,$L693*1&lt;=$G$4,$I693*$J693&gt;0,OR($I693&lt;&gt;$I694,$L693-$L694&gt;25),IF(ABS($I693)&gt;10,$I693/POW(10,$J693),$J693/POW(10,$I693))*MAXIFS(Token!$C:$C,Token!$A:$A,$K693)&gt;0.01),$L693/86400+DATE(1970,1,1)+$G$6,)</f>
        <v/>
      </c>
      <c r="B693" s="27" t="str">
        <f t="shared" si="1"/>
        <v/>
      </c>
      <c r="C693" s="14" t="str">
        <f>IF($A693&lt;&gt;"",MINIFS(Merchant!$A:$A,Merchant!$B:$B,$G$2),)</f>
        <v/>
      </c>
      <c r="D693" s="14" t="str">
        <f t="shared" si="2"/>
        <v/>
      </c>
      <c r="E693" s="14" t="str">
        <f t="shared" si="3"/>
        <v/>
      </c>
      <c r="F693" s="7" t="str">
        <f>IF($A693&lt;&gt;"",MAXIFS(Token!$C:$C,Token!$A:$A,$D693),)</f>
        <v/>
      </c>
    </row>
    <row r="694">
      <c r="A694" s="39" t="str">
        <f>IF(AND($L694*1&gt;=$G$3,$L694*1&lt;=$G$4,$I694*$J694&gt;0,OR($I694&lt;&gt;$I695,$L694-$L695&gt;25),IF(ABS($I694)&gt;10,$I694/POW(10,$J694),$J694/POW(10,$I694))*MAXIFS(Token!$C:$C,Token!$A:$A,$K694)&gt;0.01),$L694/86400+DATE(1970,1,1)+$G$6,)</f>
        <v/>
      </c>
      <c r="B694" s="27" t="str">
        <f t="shared" si="1"/>
        <v/>
      </c>
      <c r="C694" s="14" t="str">
        <f>IF($A694&lt;&gt;"",MINIFS(Merchant!$A:$A,Merchant!$B:$B,$G$2),)</f>
        <v/>
      </c>
      <c r="D694" s="14" t="str">
        <f t="shared" si="2"/>
        <v/>
      </c>
      <c r="E694" s="14" t="str">
        <f t="shared" si="3"/>
        <v/>
      </c>
      <c r="F694" s="7" t="str">
        <f>IF($A694&lt;&gt;"",MAXIFS(Token!$C:$C,Token!$A:$A,$D694),)</f>
        <v/>
      </c>
    </row>
    <row r="695">
      <c r="A695" s="39" t="str">
        <f>IF(AND($L695*1&gt;=$G$3,$L695*1&lt;=$G$4,$I695*$J695&gt;0,OR($I695&lt;&gt;$I696,$L695-$L696&gt;25),IF(ABS($I695)&gt;10,$I695/POW(10,$J695),$J695/POW(10,$I695))*MAXIFS(Token!$C:$C,Token!$A:$A,$K695)&gt;0.01),$L695/86400+DATE(1970,1,1)+$G$6,)</f>
        <v/>
      </c>
      <c r="B695" s="27" t="str">
        <f t="shared" si="1"/>
        <v/>
      </c>
      <c r="C695" s="14" t="str">
        <f>IF($A695&lt;&gt;"",MINIFS(Merchant!$A:$A,Merchant!$B:$B,$G$2),)</f>
        <v/>
      </c>
      <c r="D695" s="14" t="str">
        <f t="shared" si="2"/>
        <v/>
      </c>
      <c r="E695" s="14" t="str">
        <f t="shared" si="3"/>
        <v/>
      </c>
      <c r="F695" s="7" t="str">
        <f>IF($A695&lt;&gt;"",MAXIFS(Token!$C:$C,Token!$A:$A,$D695),)</f>
        <v/>
      </c>
    </row>
    <row r="696">
      <c r="A696" s="39" t="str">
        <f>IF(AND($L696*1&gt;=$G$3,$L696*1&lt;=$G$4,$I696*$J696&gt;0,OR($I696&lt;&gt;$I697,$L696-$L697&gt;25),IF(ABS($I696)&gt;10,$I696/POW(10,$J696),$J696/POW(10,$I696))*MAXIFS(Token!$C:$C,Token!$A:$A,$K696)&gt;0.01),$L696/86400+DATE(1970,1,1)+$G$6,)</f>
        <v/>
      </c>
      <c r="B696" s="27" t="str">
        <f t="shared" si="1"/>
        <v/>
      </c>
      <c r="C696" s="14" t="str">
        <f>IF($A696&lt;&gt;"",MINIFS(Merchant!$A:$A,Merchant!$B:$B,$G$2),)</f>
        <v/>
      </c>
      <c r="D696" s="14" t="str">
        <f t="shared" si="2"/>
        <v/>
      </c>
      <c r="E696" s="14" t="str">
        <f t="shared" si="3"/>
        <v/>
      </c>
      <c r="F696" s="7" t="str">
        <f>IF($A696&lt;&gt;"",MAXIFS(Token!$C:$C,Token!$A:$A,$D696),)</f>
        <v/>
      </c>
    </row>
    <row r="697">
      <c r="A697" s="39" t="str">
        <f>IF(AND($L697*1&gt;=$G$3,$L697*1&lt;=$G$4,$I697*$J697&gt;0,OR($I697&lt;&gt;$I698,$L697-$L698&gt;25),IF(ABS($I697)&gt;10,$I697/POW(10,$J697),$J697/POW(10,$I697))*MAXIFS(Token!$C:$C,Token!$A:$A,$K697)&gt;0.01),$L697/86400+DATE(1970,1,1)+$G$6,)</f>
        <v/>
      </c>
      <c r="B697" s="27" t="str">
        <f t="shared" si="1"/>
        <v/>
      </c>
      <c r="C697" s="14" t="str">
        <f>IF($A697&lt;&gt;"",MINIFS(Merchant!$A:$A,Merchant!$B:$B,$G$2),)</f>
        <v/>
      </c>
      <c r="D697" s="14" t="str">
        <f t="shared" si="2"/>
        <v/>
      </c>
      <c r="E697" s="14" t="str">
        <f t="shared" si="3"/>
        <v/>
      </c>
      <c r="F697" s="7" t="str">
        <f>IF($A697&lt;&gt;"",MAXIFS(Token!$C:$C,Token!$A:$A,$D697),)</f>
        <v/>
      </c>
    </row>
    <row r="698">
      <c r="A698" s="39" t="str">
        <f>IF(AND($L698*1&gt;=$G$3,$L698*1&lt;=$G$4,$I698*$J698&gt;0,OR($I698&lt;&gt;$I699,$L698-$L699&gt;25),IF(ABS($I698)&gt;10,$I698/POW(10,$J698),$J698/POW(10,$I698))*MAXIFS(Token!$C:$C,Token!$A:$A,$K698)&gt;0.01),$L698/86400+DATE(1970,1,1)+$G$6,)</f>
        <v/>
      </c>
      <c r="B698" s="27" t="str">
        <f t="shared" si="1"/>
        <v/>
      </c>
      <c r="C698" s="14" t="str">
        <f>IF($A698&lt;&gt;"",MINIFS(Merchant!$A:$A,Merchant!$B:$B,$G$2),)</f>
        <v/>
      </c>
      <c r="D698" s="14" t="str">
        <f t="shared" si="2"/>
        <v/>
      </c>
      <c r="E698" s="14" t="str">
        <f t="shared" si="3"/>
        <v/>
      </c>
      <c r="F698" s="7" t="str">
        <f>IF($A698&lt;&gt;"",MAXIFS(Token!$C:$C,Token!$A:$A,$D698),)</f>
        <v/>
      </c>
    </row>
    <row r="699">
      <c r="A699" s="39" t="str">
        <f>IF(AND($L699*1&gt;=$G$3,$L699*1&lt;=$G$4,$I699*$J699&gt;0,OR($I699&lt;&gt;$I700,$L699-$L700&gt;25),IF(ABS($I699)&gt;10,$I699/POW(10,$J699),$J699/POW(10,$I699))*MAXIFS(Token!$C:$C,Token!$A:$A,$K699)&gt;0.01),$L699/86400+DATE(1970,1,1)+$G$6,)</f>
        <v/>
      </c>
      <c r="B699" s="27" t="str">
        <f t="shared" si="1"/>
        <v/>
      </c>
      <c r="C699" s="14" t="str">
        <f>IF($A699&lt;&gt;"",MINIFS(Merchant!$A:$A,Merchant!$B:$B,$G$2),)</f>
        <v/>
      </c>
      <c r="D699" s="14" t="str">
        <f t="shared" si="2"/>
        <v/>
      </c>
      <c r="E699" s="14" t="str">
        <f t="shared" si="3"/>
        <v/>
      </c>
      <c r="F699" s="7" t="str">
        <f>IF($A699&lt;&gt;"",MAXIFS(Token!$C:$C,Token!$A:$A,$D699),)</f>
        <v/>
      </c>
    </row>
    <row r="700">
      <c r="A700" s="39" t="str">
        <f>IF(AND($L700*1&gt;=$G$3,$L700*1&lt;=$G$4,$I700*$J700&gt;0,OR($I700&lt;&gt;$I701,$L700-$L701&gt;25),IF(ABS($I700)&gt;10,$I700/POW(10,$J700),$J700/POW(10,$I700))*MAXIFS(Token!$C:$C,Token!$A:$A,$K700)&gt;0.01),$L700/86400+DATE(1970,1,1)+$G$6,)</f>
        <v/>
      </c>
      <c r="B700" s="27" t="str">
        <f t="shared" si="1"/>
        <v/>
      </c>
      <c r="C700" s="14" t="str">
        <f>IF($A700&lt;&gt;"",MINIFS(Merchant!$A:$A,Merchant!$B:$B,$G$2),)</f>
        <v/>
      </c>
      <c r="D700" s="14" t="str">
        <f t="shared" si="2"/>
        <v/>
      </c>
      <c r="E700" s="14" t="str">
        <f t="shared" si="3"/>
        <v/>
      </c>
      <c r="F700" s="7" t="str">
        <f>IF($A700&lt;&gt;"",MAXIFS(Token!$C:$C,Token!$A:$A,$D700),)</f>
        <v/>
      </c>
    </row>
    <row r="701">
      <c r="A701" s="39" t="str">
        <f>IF(AND($L701*1&gt;=$G$3,$L701*1&lt;=$G$4,$I701*$J701&gt;0,OR($I701&lt;&gt;$I702,$L701-$L702&gt;25),IF(ABS($I701)&gt;10,$I701/POW(10,$J701),$J701/POW(10,$I701))*MAXIFS(Token!$C:$C,Token!$A:$A,$K701)&gt;0.01),$L701/86400+DATE(1970,1,1)+$G$6,)</f>
        <v/>
      </c>
      <c r="B701" s="27" t="str">
        <f t="shared" si="1"/>
        <v/>
      </c>
      <c r="C701" s="14" t="str">
        <f>IF($A701&lt;&gt;"",MINIFS(Merchant!$A:$A,Merchant!$B:$B,$G$2),)</f>
        <v/>
      </c>
      <c r="D701" s="14" t="str">
        <f t="shared" si="2"/>
        <v/>
      </c>
      <c r="E701" s="14" t="str">
        <f t="shared" si="3"/>
        <v/>
      </c>
      <c r="F701" s="7" t="str">
        <f>IF($A701&lt;&gt;"",MAXIFS(Token!$C:$C,Token!$A:$A,$D701),)</f>
        <v/>
      </c>
    </row>
    <row r="702">
      <c r="A702" s="39" t="str">
        <f>IF(AND($L702*1&gt;=$G$3,$L702*1&lt;=$G$4,$I702*$J702&gt;0,OR($I702&lt;&gt;$I703,$L702-$L703&gt;25),IF(ABS($I702)&gt;10,$I702/POW(10,$J702),$J702/POW(10,$I702))*MAXIFS(Token!$C:$C,Token!$A:$A,$K702)&gt;0.01),$L702/86400+DATE(1970,1,1)+$G$6,)</f>
        <v/>
      </c>
      <c r="B702" s="27" t="str">
        <f t="shared" si="1"/>
        <v/>
      </c>
      <c r="C702" s="14" t="str">
        <f>IF($A702&lt;&gt;"",MINIFS(Merchant!$A:$A,Merchant!$B:$B,$G$2),)</f>
        <v/>
      </c>
      <c r="D702" s="14" t="str">
        <f t="shared" si="2"/>
        <v/>
      </c>
      <c r="E702" s="14" t="str">
        <f t="shared" si="3"/>
        <v/>
      </c>
      <c r="F702" s="7" t="str">
        <f>IF($A702&lt;&gt;"",MAXIFS(Token!$C:$C,Token!$A:$A,$D702),)</f>
        <v/>
      </c>
    </row>
    <row r="703">
      <c r="A703" s="39" t="str">
        <f>IF(AND($L703*1&gt;=$G$3,$L703*1&lt;=$G$4,$I703*$J703&gt;0,OR($I703&lt;&gt;$I704,$L703-$L704&gt;25),IF(ABS($I703)&gt;10,$I703/POW(10,$J703),$J703/POW(10,$I703))*MAXIFS(Token!$C:$C,Token!$A:$A,$K703)&gt;0.01),$L703/86400+DATE(1970,1,1)+$G$6,)</f>
        <v/>
      </c>
      <c r="B703" s="27" t="str">
        <f t="shared" si="1"/>
        <v/>
      </c>
      <c r="C703" s="14" t="str">
        <f>IF($A703&lt;&gt;"",MINIFS(Merchant!$A:$A,Merchant!$B:$B,$G$2),)</f>
        <v/>
      </c>
      <c r="D703" s="14" t="str">
        <f t="shared" si="2"/>
        <v/>
      </c>
      <c r="E703" s="14" t="str">
        <f t="shared" si="3"/>
        <v/>
      </c>
      <c r="F703" s="7" t="str">
        <f>IF($A703&lt;&gt;"",MAXIFS(Token!$C:$C,Token!$A:$A,$D703),)</f>
        <v/>
      </c>
    </row>
    <row r="704">
      <c r="A704" s="39" t="str">
        <f>IF(AND($L704*1&gt;=$G$3,$L704*1&lt;=$G$4,$I704*$J704&gt;0,OR($I704&lt;&gt;$I705,$L704-$L705&gt;25),IF(ABS($I704)&gt;10,$I704/POW(10,$J704),$J704/POW(10,$I704))*MAXIFS(Token!$C:$C,Token!$A:$A,$K704)&gt;0.01),$L704/86400+DATE(1970,1,1)+$G$6,)</f>
        <v/>
      </c>
      <c r="B704" s="27" t="str">
        <f t="shared" si="1"/>
        <v/>
      </c>
      <c r="C704" s="14" t="str">
        <f>IF($A704&lt;&gt;"",MINIFS(Merchant!$A:$A,Merchant!$B:$B,$G$2),)</f>
        <v/>
      </c>
      <c r="D704" s="14" t="str">
        <f t="shared" si="2"/>
        <v/>
      </c>
      <c r="E704" s="14" t="str">
        <f t="shared" si="3"/>
        <v/>
      </c>
      <c r="F704" s="7" t="str">
        <f>IF($A704&lt;&gt;"",MAXIFS(Token!$C:$C,Token!$A:$A,$D704),)</f>
        <v/>
      </c>
    </row>
    <row r="705">
      <c r="A705" s="39" t="str">
        <f>IF(AND($L705*1&gt;=$G$3,$L705*1&lt;=$G$4,$I705*$J705&gt;0,OR($I705&lt;&gt;$I706,$L705-$L706&gt;25),IF(ABS($I705)&gt;10,$I705/POW(10,$J705),$J705/POW(10,$I705))*MAXIFS(Token!$C:$C,Token!$A:$A,$K705)&gt;0.01),$L705/86400+DATE(1970,1,1)+$G$6,)</f>
        <v/>
      </c>
      <c r="B705" s="27" t="str">
        <f t="shared" si="1"/>
        <v/>
      </c>
      <c r="C705" s="14" t="str">
        <f>IF($A705&lt;&gt;"",MINIFS(Merchant!$A:$A,Merchant!$B:$B,$G$2),)</f>
        <v/>
      </c>
      <c r="D705" s="14" t="str">
        <f t="shared" si="2"/>
        <v/>
      </c>
      <c r="E705" s="14" t="str">
        <f t="shared" si="3"/>
        <v/>
      </c>
      <c r="F705" s="7" t="str">
        <f>IF($A705&lt;&gt;"",MAXIFS(Token!$C:$C,Token!$A:$A,$D705),)</f>
        <v/>
      </c>
    </row>
    <row r="706">
      <c r="A706" s="39" t="str">
        <f>IF(AND($L706*1&gt;=$G$3,$L706*1&lt;=$G$4,$I706*$J706&gt;0,OR($I706&lt;&gt;$I707,$L706-$L707&gt;25),IF(ABS($I706)&gt;10,$I706/POW(10,$J706),$J706/POW(10,$I706))*MAXIFS(Token!$C:$C,Token!$A:$A,$K706)&gt;0.01),$L706/86400+DATE(1970,1,1)+$G$6,)</f>
        <v/>
      </c>
      <c r="B706" s="27" t="str">
        <f t="shared" si="1"/>
        <v/>
      </c>
      <c r="C706" s="14" t="str">
        <f>IF($A706&lt;&gt;"",MINIFS(Merchant!$A:$A,Merchant!$B:$B,$G$2),)</f>
        <v/>
      </c>
      <c r="D706" s="14" t="str">
        <f t="shared" si="2"/>
        <v/>
      </c>
      <c r="E706" s="14" t="str">
        <f t="shared" si="3"/>
        <v/>
      </c>
      <c r="F706" s="7" t="str">
        <f>IF($A706&lt;&gt;"",MAXIFS(Token!$C:$C,Token!$A:$A,$D706),)</f>
        <v/>
      </c>
    </row>
    <row r="707">
      <c r="A707" s="39" t="str">
        <f>IF(AND($L707*1&gt;=$G$3,$L707*1&lt;=$G$4,$I707*$J707&gt;0,OR($I707&lt;&gt;$I708,$L707-$L708&gt;25),IF(ABS($I707)&gt;10,$I707/POW(10,$J707),$J707/POW(10,$I707))*MAXIFS(Token!$C:$C,Token!$A:$A,$K707)&gt;0.01),$L707/86400+DATE(1970,1,1)+$G$6,)</f>
        <v/>
      </c>
      <c r="B707" s="27" t="str">
        <f t="shared" si="1"/>
        <v/>
      </c>
      <c r="C707" s="14" t="str">
        <f>IF($A707&lt;&gt;"",MINIFS(Merchant!$A:$A,Merchant!$B:$B,$G$2),)</f>
        <v/>
      </c>
      <c r="D707" s="14" t="str">
        <f t="shared" si="2"/>
        <v/>
      </c>
      <c r="E707" s="14" t="str">
        <f t="shared" si="3"/>
        <v/>
      </c>
      <c r="F707" s="7" t="str">
        <f>IF($A707&lt;&gt;"",MAXIFS(Token!$C:$C,Token!$A:$A,$D707),)</f>
        <v/>
      </c>
    </row>
    <row r="708">
      <c r="A708" s="39" t="str">
        <f>IF(AND($L708*1&gt;=$G$3,$L708*1&lt;=$G$4,$I708*$J708&gt;0,OR($I708&lt;&gt;$I709,$L708-$L709&gt;25),IF(ABS($I708)&gt;10,$I708/POW(10,$J708),$J708/POW(10,$I708))*MAXIFS(Token!$C:$C,Token!$A:$A,$K708)&gt;0.01),$L708/86400+DATE(1970,1,1)+$G$6,)</f>
        <v/>
      </c>
      <c r="B708" s="27" t="str">
        <f t="shared" si="1"/>
        <v/>
      </c>
      <c r="C708" s="14" t="str">
        <f>IF($A708&lt;&gt;"",MINIFS(Merchant!$A:$A,Merchant!$B:$B,$G$2),)</f>
        <v/>
      </c>
      <c r="D708" s="14" t="str">
        <f t="shared" si="2"/>
        <v/>
      </c>
      <c r="E708" s="14" t="str">
        <f t="shared" si="3"/>
        <v/>
      </c>
      <c r="F708" s="7" t="str">
        <f>IF($A708&lt;&gt;"",MAXIFS(Token!$C:$C,Token!$A:$A,$D708),)</f>
        <v/>
      </c>
    </row>
    <row r="709">
      <c r="A709" s="39" t="str">
        <f>IF(AND($L709*1&gt;=$G$3,$L709*1&lt;=$G$4,$I709*$J709&gt;0,OR($I709&lt;&gt;$I710,$L709-$L710&gt;25),IF(ABS($I709)&gt;10,$I709/POW(10,$J709),$J709/POW(10,$I709))*MAXIFS(Token!$C:$C,Token!$A:$A,$K709)&gt;0.01),$L709/86400+DATE(1970,1,1)+$G$6,)</f>
        <v/>
      </c>
      <c r="B709" s="27" t="str">
        <f t="shared" si="1"/>
        <v/>
      </c>
      <c r="C709" s="14" t="str">
        <f>IF($A709&lt;&gt;"",MINIFS(Merchant!$A:$A,Merchant!$B:$B,$G$2),)</f>
        <v/>
      </c>
      <c r="D709" s="14" t="str">
        <f t="shared" si="2"/>
        <v/>
      </c>
      <c r="E709" s="14" t="str">
        <f t="shared" si="3"/>
        <v/>
      </c>
      <c r="F709" s="7" t="str">
        <f>IF($A709&lt;&gt;"",MAXIFS(Token!$C:$C,Token!$A:$A,$D709),)</f>
        <v/>
      </c>
    </row>
    <row r="710">
      <c r="A710" s="39" t="str">
        <f>IF(AND($L710*1&gt;=$G$3,$L710*1&lt;=$G$4,$I710*$J710&gt;0,OR($I710&lt;&gt;$I711,$L710-$L711&gt;25),IF(ABS($I710)&gt;10,$I710/POW(10,$J710),$J710/POW(10,$I710))*MAXIFS(Token!$C:$C,Token!$A:$A,$K710)&gt;0.01),$L710/86400+DATE(1970,1,1)+$G$6,)</f>
        <v/>
      </c>
      <c r="B710" s="27" t="str">
        <f t="shared" si="1"/>
        <v/>
      </c>
      <c r="C710" s="14" t="str">
        <f>IF($A710&lt;&gt;"",MINIFS(Merchant!$A:$A,Merchant!$B:$B,$G$2),)</f>
        <v/>
      </c>
      <c r="D710" s="14" t="str">
        <f t="shared" si="2"/>
        <v/>
      </c>
      <c r="E710" s="14" t="str">
        <f t="shared" si="3"/>
        <v/>
      </c>
      <c r="F710" s="7" t="str">
        <f>IF($A710&lt;&gt;"",MAXIFS(Token!$C:$C,Token!$A:$A,$D710),)</f>
        <v/>
      </c>
    </row>
    <row r="711">
      <c r="A711" s="39" t="str">
        <f>IF(AND($L711*1&gt;=$G$3,$L711*1&lt;=$G$4,$I711*$J711&gt;0,OR($I711&lt;&gt;$I712,$L711-$L712&gt;25),IF(ABS($I711)&gt;10,$I711/POW(10,$J711),$J711/POW(10,$I711))*MAXIFS(Token!$C:$C,Token!$A:$A,$K711)&gt;0.01),$L711/86400+DATE(1970,1,1)+$G$6,)</f>
        <v/>
      </c>
      <c r="B711" s="27" t="str">
        <f t="shared" si="1"/>
        <v/>
      </c>
      <c r="C711" s="14" t="str">
        <f>IF($A711&lt;&gt;"",MINIFS(Merchant!$A:$A,Merchant!$B:$B,$G$2),)</f>
        <v/>
      </c>
      <c r="D711" s="14" t="str">
        <f t="shared" si="2"/>
        <v/>
      </c>
      <c r="E711" s="14" t="str">
        <f t="shared" si="3"/>
        <v/>
      </c>
      <c r="F711" s="7" t="str">
        <f>IF($A711&lt;&gt;"",MAXIFS(Token!$C:$C,Token!$A:$A,$D711),)</f>
        <v/>
      </c>
    </row>
    <row r="712">
      <c r="A712" s="39" t="str">
        <f>IF(AND($L712*1&gt;=$G$3,$L712*1&lt;=$G$4,$I712*$J712&gt;0,OR($I712&lt;&gt;$I713,$L712-$L713&gt;25),IF(ABS($I712)&gt;10,$I712/POW(10,$J712),$J712/POW(10,$I712))*MAXIFS(Token!$C:$C,Token!$A:$A,$K712)&gt;0.01),$L712/86400+DATE(1970,1,1)+$G$6,)</f>
        <v/>
      </c>
      <c r="B712" s="27" t="str">
        <f t="shared" si="1"/>
        <v/>
      </c>
      <c r="C712" s="14" t="str">
        <f>IF($A712&lt;&gt;"",MINIFS(Merchant!$A:$A,Merchant!$B:$B,$G$2),)</f>
        <v/>
      </c>
      <c r="D712" s="14" t="str">
        <f t="shared" si="2"/>
        <v/>
      </c>
      <c r="E712" s="14" t="str">
        <f t="shared" si="3"/>
        <v/>
      </c>
      <c r="F712" s="7" t="str">
        <f>IF($A712&lt;&gt;"",MAXIFS(Token!$C:$C,Token!$A:$A,$D712),)</f>
        <v/>
      </c>
    </row>
    <row r="713">
      <c r="A713" s="39" t="str">
        <f>IF(AND($L713*1&gt;=$G$3,$L713*1&lt;=$G$4,$I713*$J713&gt;0,OR($I713&lt;&gt;$I714,$L713-$L714&gt;25),IF(ABS($I713)&gt;10,$I713/POW(10,$J713),$J713/POW(10,$I713))*MAXIFS(Token!$C:$C,Token!$A:$A,$K713)&gt;0.01),$L713/86400+DATE(1970,1,1)+$G$6,)</f>
        <v/>
      </c>
      <c r="B713" s="27" t="str">
        <f t="shared" si="1"/>
        <v/>
      </c>
      <c r="C713" s="14" t="str">
        <f>IF($A713&lt;&gt;"",MINIFS(Merchant!$A:$A,Merchant!$B:$B,$G$2),)</f>
        <v/>
      </c>
      <c r="D713" s="14" t="str">
        <f t="shared" si="2"/>
        <v/>
      </c>
      <c r="E713" s="14" t="str">
        <f t="shared" si="3"/>
        <v/>
      </c>
      <c r="F713" s="7" t="str">
        <f>IF($A713&lt;&gt;"",MAXIFS(Token!$C:$C,Token!$A:$A,$D713),)</f>
        <v/>
      </c>
    </row>
    <row r="714">
      <c r="A714" s="39" t="str">
        <f>IF(AND($L714*1&gt;=$G$3,$L714*1&lt;=$G$4,$I714*$J714&gt;0,OR($I714&lt;&gt;$I715,$L714-$L715&gt;25),IF(ABS($I714)&gt;10,$I714/POW(10,$J714),$J714/POW(10,$I714))*MAXIFS(Token!$C:$C,Token!$A:$A,$K714)&gt;0.01),$L714/86400+DATE(1970,1,1)+$G$6,)</f>
        <v/>
      </c>
      <c r="B714" s="27" t="str">
        <f t="shared" si="1"/>
        <v/>
      </c>
      <c r="C714" s="14" t="str">
        <f>IF($A714&lt;&gt;"",MINIFS(Merchant!$A:$A,Merchant!$B:$B,$G$2),)</f>
        <v/>
      </c>
      <c r="D714" s="14" t="str">
        <f t="shared" si="2"/>
        <v/>
      </c>
      <c r="E714" s="14" t="str">
        <f t="shared" si="3"/>
        <v/>
      </c>
      <c r="F714" s="7" t="str">
        <f>IF($A714&lt;&gt;"",MAXIFS(Token!$C:$C,Token!$A:$A,$D714),)</f>
        <v/>
      </c>
    </row>
    <row r="715">
      <c r="A715" s="39" t="str">
        <f>IF(AND($L715*1&gt;=$G$3,$L715*1&lt;=$G$4,$I715*$J715&gt;0,OR($I715&lt;&gt;$I716,$L715-$L716&gt;25),IF(ABS($I715)&gt;10,$I715/POW(10,$J715),$J715/POW(10,$I715))*MAXIFS(Token!$C:$C,Token!$A:$A,$K715)&gt;0.01),$L715/86400+DATE(1970,1,1)+$G$6,)</f>
        <v/>
      </c>
      <c r="B715" s="27" t="str">
        <f t="shared" si="1"/>
        <v/>
      </c>
      <c r="C715" s="14" t="str">
        <f>IF($A715&lt;&gt;"",MINIFS(Merchant!$A:$A,Merchant!$B:$B,$G$2),)</f>
        <v/>
      </c>
      <c r="D715" s="14" t="str">
        <f t="shared" si="2"/>
        <v/>
      </c>
      <c r="E715" s="14" t="str">
        <f t="shared" si="3"/>
        <v/>
      </c>
      <c r="F715" s="7" t="str">
        <f>IF($A715&lt;&gt;"",MAXIFS(Token!$C:$C,Token!$A:$A,$D715),)</f>
        <v/>
      </c>
    </row>
    <row r="716">
      <c r="A716" s="39" t="str">
        <f>IF(AND($L716*1&gt;=$G$3,$L716*1&lt;=$G$4,$I716*$J716&gt;0,OR($I716&lt;&gt;$I717,$L716-$L717&gt;25),IF(ABS($I716)&gt;10,$I716/POW(10,$J716),$J716/POW(10,$I716))*MAXIFS(Token!$C:$C,Token!$A:$A,$K716)&gt;0.01),$L716/86400+DATE(1970,1,1)+$G$6,)</f>
        <v/>
      </c>
      <c r="B716" s="27" t="str">
        <f t="shared" si="1"/>
        <v/>
      </c>
      <c r="C716" s="14" t="str">
        <f>IF($A716&lt;&gt;"",MINIFS(Merchant!$A:$A,Merchant!$B:$B,$G$2),)</f>
        <v/>
      </c>
      <c r="D716" s="14" t="str">
        <f t="shared" si="2"/>
        <v/>
      </c>
      <c r="E716" s="14" t="str">
        <f t="shared" si="3"/>
        <v/>
      </c>
      <c r="F716" s="7" t="str">
        <f>IF($A716&lt;&gt;"",MAXIFS(Token!$C:$C,Token!$A:$A,$D716),)</f>
        <v/>
      </c>
    </row>
    <row r="717">
      <c r="A717" s="39" t="str">
        <f>IF(AND($L717*1&gt;=$G$3,$L717*1&lt;=$G$4,$I717*$J717&gt;0,OR($I717&lt;&gt;$I718,$L717-$L718&gt;25),IF(ABS($I717)&gt;10,$I717/POW(10,$J717),$J717/POW(10,$I717))*MAXIFS(Token!$C:$C,Token!$A:$A,$K717)&gt;0.01),$L717/86400+DATE(1970,1,1)+$G$6,)</f>
        <v/>
      </c>
      <c r="B717" s="27" t="str">
        <f t="shared" si="1"/>
        <v/>
      </c>
      <c r="C717" s="14" t="str">
        <f>IF($A717&lt;&gt;"",MINIFS(Merchant!$A:$A,Merchant!$B:$B,$G$2),)</f>
        <v/>
      </c>
      <c r="D717" s="14" t="str">
        <f t="shared" si="2"/>
        <v/>
      </c>
      <c r="E717" s="14" t="str">
        <f t="shared" si="3"/>
        <v/>
      </c>
      <c r="F717" s="7" t="str">
        <f>IF($A717&lt;&gt;"",MAXIFS(Token!$C:$C,Token!$A:$A,$D717),)</f>
        <v/>
      </c>
    </row>
    <row r="718">
      <c r="A718" s="39" t="str">
        <f>IF(AND($L718*1&gt;=$G$3,$L718*1&lt;=$G$4,$I718*$J718&gt;0,OR($I718&lt;&gt;$I719,$L718-$L719&gt;25),IF(ABS($I718)&gt;10,$I718/POW(10,$J718),$J718/POW(10,$I718))*MAXIFS(Token!$C:$C,Token!$A:$A,$K718)&gt;0.01),$L718/86400+DATE(1970,1,1)+$G$6,)</f>
        <v/>
      </c>
      <c r="B718" s="27" t="str">
        <f t="shared" si="1"/>
        <v/>
      </c>
      <c r="C718" s="14" t="str">
        <f>IF($A718&lt;&gt;"",MINIFS(Merchant!$A:$A,Merchant!$B:$B,$G$2),)</f>
        <v/>
      </c>
      <c r="D718" s="14" t="str">
        <f t="shared" si="2"/>
        <v/>
      </c>
      <c r="E718" s="14" t="str">
        <f t="shared" si="3"/>
        <v/>
      </c>
      <c r="F718" s="7" t="str">
        <f>IF($A718&lt;&gt;"",MAXIFS(Token!$C:$C,Token!$A:$A,$D718),)</f>
        <v/>
      </c>
    </row>
    <row r="719">
      <c r="A719" s="39" t="str">
        <f>IF(AND($L719*1&gt;=$G$3,$L719*1&lt;=$G$4,$I719*$J719&gt;0,OR($I719&lt;&gt;$I720,$L719-$L720&gt;25),IF(ABS($I719)&gt;10,$I719/POW(10,$J719),$J719/POW(10,$I719))*MAXIFS(Token!$C:$C,Token!$A:$A,$K719)&gt;0.01),$L719/86400+DATE(1970,1,1)+$G$6,)</f>
        <v/>
      </c>
      <c r="B719" s="27" t="str">
        <f t="shared" si="1"/>
        <v/>
      </c>
      <c r="C719" s="14" t="str">
        <f>IF($A719&lt;&gt;"",MINIFS(Merchant!$A:$A,Merchant!$B:$B,$G$2),)</f>
        <v/>
      </c>
      <c r="D719" s="14" t="str">
        <f t="shared" si="2"/>
        <v/>
      </c>
      <c r="E719" s="14" t="str">
        <f t="shared" si="3"/>
        <v/>
      </c>
      <c r="F719" s="7" t="str">
        <f>IF($A719&lt;&gt;"",MAXIFS(Token!$C:$C,Token!$A:$A,$D719),)</f>
        <v/>
      </c>
    </row>
    <row r="720">
      <c r="A720" s="39" t="str">
        <f>IF(AND($L720*1&gt;=$G$3,$L720*1&lt;=$G$4,$I720*$J720&gt;0,OR($I720&lt;&gt;$I721,$L720-$L721&gt;25),IF(ABS($I720)&gt;10,$I720/POW(10,$J720),$J720/POW(10,$I720))*MAXIFS(Token!$C:$C,Token!$A:$A,$K720)&gt;0.01),$L720/86400+DATE(1970,1,1)+$G$6,)</f>
        <v/>
      </c>
      <c r="B720" s="27" t="str">
        <f t="shared" si="1"/>
        <v/>
      </c>
      <c r="C720" s="14" t="str">
        <f>IF($A720&lt;&gt;"",MINIFS(Merchant!$A:$A,Merchant!$B:$B,$G$2),)</f>
        <v/>
      </c>
      <c r="D720" s="14" t="str">
        <f t="shared" si="2"/>
        <v/>
      </c>
      <c r="E720" s="14" t="str">
        <f t="shared" si="3"/>
        <v/>
      </c>
      <c r="F720" s="7" t="str">
        <f>IF($A720&lt;&gt;"",MAXIFS(Token!$C:$C,Token!$A:$A,$D720),)</f>
        <v/>
      </c>
    </row>
    <row r="721">
      <c r="A721" s="39" t="str">
        <f>IF(AND($L721*1&gt;=$G$3,$L721*1&lt;=$G$4,$I721*$J721&gt;0,OR($I721&lt;&gt;$I722,$L721-$L722&gt;25),IF(ABS($I721)&gt;10,$I721/POW(10,$J721),$J721/POW(10,$I721))*MAXIFS(Token!$C:$C,Token!$A:$A,$K721)&gt;0.01),$L721/86400+DATE(1970,1,1)+$G$6,)</f>
        <v/>
      </c>
      <c r="B721" s="27" t="str">
        <f t="shared" si="1"/>
        <v/>
      </c>
      <c r="C721" s="14" t="str">
        <f>IF($A721&lt;&gt;"",MINIFS(Merchant!$A:$A,Merchant!$B:$B,$G$2),)</f>
        <v/>
      </c>
      <c r="D721" s="14" t="str">
        <f t="shared" si="2"/>
        <v/>
      </c>
      <c r="E721" s="14" t="str">
        <f t="shared" si="3"/>
        <v/>
      </c>
      <c r="F721" s="7" t="str">
        <f>IF($A721&lt;&gt;"",MAXIFS(Token!$C:$C,Token!$A:$A,$D721),)</f>
        <v/>
      </c>
    </row>
    <row r="722">
      <c r="A722" s="39" t="str">
        <f>IF(AND($L722*1&gt;=$G$3,$L722*1&lt;=$G$4,$I722*$J722&gt;0,OR($I722&lt;&gt;$I723,$L722-$L723&gt;25),IF(ABS($I722)&gt;10,$I722/POW(10,$J722),$J722/POW(10,$I722))*MAXIFS(Token!$C:$C,Token!$A:$A,$K722)&gt;0.01),$L722/86400+DATE(1970,1,1)+$G$6,)</f>
        <v/>
      </c>
      <c r="B722" s="27" t="str">
        <f t="shared" si="1"/>
        <v/>
      </c>
      <c r="C722" s="14" t="str">
        <f>IF($A722&lt;&gt;"",MINIFS(Merchant!$A:$A,Merchant!$B:$B,$G$2),)</f>
        <v/>
      </c>
      <c r="D722" s="14" t="str">
        <f t="shared" si="2"/>
        <v/>
      </c>
      <c r="E722" s="14" t="str">
        <f t="shared" si="3"/>
        <v/>
      </c>
      <c r="F722" s="7" t="str">
        <f>IF($A722&lt;&gt;"",MAXIFS(Token!$C:$C,Token!$A:$A,$D722),)</f>
        <v/>
      </c>
    </row>
    <row r="723">
      <c r="A723" s="39" t="str">
        <f>IF(AND($L723*1&gt;=$G$3,$L723*1&lt;=$G$4,$I723*$J723&gt;0,OR($I723&lt;&gt;$I724,$L723-$L724&gt;25),IF(ABS($I723)&gt;10,$I723/POW(10,$J723),$J723/POW(10,$I723))*MAXIFS(Token!$C:$C,Token!$A:$A,$K723)&gt;0.01),$L723/86400+DATE(1970,1,1)+$G$6,)</f>
        <v/>
      </c>
      <c r="B723" s="27" t="str">
        <f t="shared" si="1"/>
        <v/>
      </c>
      <c r="C723" s="14" t="str">
        <f>IF($A723&lt;&gt;"",MINIFS(Merchant!$A:$A,Merchant!$B:$B,$G$2),)</f>
        <v/>
      </c>
      <c r="D723" s="14" t="str">
        <f t="shared" si="2"/>
        <v/>
      </c>
      <c r="E723" s="14" t="str">
        <f t="shared" si="3"/>
        <v/>
      </c>
      <c r="F723" s="7" t="str">
        <f>IF($A723&lt;&gt;"",MAXIFS(Token!$C:$C,Token!$A:$A,$D723),)</f>
        <v/>
      </c>
    </row>
    <row r="724">
      <c r="A724" s="39" t="str">
        <f>IF(AND($L724*1&gt;=$G$3,$L724*1&lt;=$G$4,$I724*$J724&gt;0,OR($I724&lt;&gt;$I725,$L724-$L725&gt;25),IF(ABS($I724)&gt;10,$I724/POW(10,$J724),$J724/POW(10,$I724))*MAXIFS(Token!$C:$C,Token!$A:$A,$K724)&gt;0.01),$L724/86400+DATE(1970,1,1)+$G$6,)</f>
        <v/>
      </c>
      <c r="B724" s="27" t="str">
        <f t="shared" si="1"/>
        <v/>
      </c>
      <c r="C724" s="14" t="str">
        <f>IF($A724&lt;&gt;"",MINIFS(Merchant!$A:$A,Merchant!$B:$B,$G$2),)</f>
        <v/>
      </c>
      <c r="D724" s="14" t="str">
        <f t="shared" si="2"/>
        <v/>
      </c>
      <c r="E724" s="14" t="str">
        <f t="shared" si="3"/>
        <v/>
      </c>
      <c r="F724" s="7" t="str">
        <f>IF($A724&lt;&gt;"",MAXIFS(Token!$C:$C,Token!$A:$A,$D724),)</f>
        <v/>
      </c>
    </row>
    <row r="725">
      <c r="A725" s="39" t="str">
        <f>IF(AND($L725*1&gt;=$G$3,$L725*1&lt;=$G$4,$I725*$J725&gt;0,OR($I725&lt;&gt;$I726,$L725-$L726&gt;25),IF(ABS($I725)&gt;10,$I725/POW(10,$J725),$J725/POW(10,$I725))*MAXIFS(Token!$C:$C,Token!$A:$A,$K725)&gt;0.01),$L725/86400+DATE(1970,1,1)+$G$6,)</f>
        <v/>
      </c>
      <c r="B725" s="27" t="str">
        <f t="shared" si="1"/>
        <v/>
      </c>
      <c r="C725" s="14" t="str">
        <f>IF($A725&lt;&gt;"",MINIFS(Merchant!$A:$A,Merchant!$B:$B,$G$2),)</f>
        <v/>
      </c>
      <c r="D725" s="14" t="str">
        <f t="shared" si="2"/>
        <v/>
      </c>
      <c r="E725" s="14" t="str">
        <f t="shared" si="3"/>
        <v/>
      </c>
      <c r="F725" s="7" t="str">
        <f>IF($A725&lt;&gt;"",MAXIFS(Token!$C:$C,Token!$A:$A,$D725),)</f>
        <v/>
      </c>
    </row>
    <row r="726">
      <c r="A726" s="39" t="str">
        <f>IF(AND($L726*1&gt;=$G$3,$L726*1&lt;=$G$4,$I726*$J726&gt;0,OR($I726&lt;&gt;$I727,$L726-$L727&gt;25),IF(ABS($I726)&gt;10,$I726/POW(10,$J726),$J726/POW(10,$I726))*MAXIFS(Token!$C:$C,Token!$A:$A,$K726)&gt;0.01),$L726/86400+DATE(1970,1,1)+$G$6,)</f>
        <v/>
      </c>
      <c r="B726" s="27" t="str">
        <f t="shared" si="1"/>
        <v/>
      </c>
      <c r="C726" s="14" t="str">
        <f>IF($A726&lt;&gt;"",MINIFS(Merchant!$A:$A,Merchant!$B:$B,$G$2),)</f>
        <v/>
      </c>
      <c r="D726" s="14" t="str">
        <f t="shared" si="2"/>
        <v/>
      </c>
      <c r="E726" s="14" t="str">
        <f t="shared" si="3"/>
        <v/>
      </c>
      <c r="F726" s="7" t="str">
        <f>IF($A726&lt;&gt;"",MAXIFS(Token!$C:$C,Token!$A:$A,$D726),)</f>
        <v/>
      </c>
    </row>
    <row r="727">
      <c r="A727" s="39" t="str">
        <f>IF(AND($L727*1&gt;=$G$3,$L727*1&lt;=$G$4,$I727*$J727&gt;0,OR($I727&lt;&gt;$I728,$L727-$L728&gt;25),IF(ABS($I727)&gt;10,$I727/POW(10,$J727),$J727/POW(10,$I727))*MAXIFS(Token!$C:$C,Token!$A:$A,$K727)&gt;0.01),$L727/86400+DATE(1970,1,1)+$G$6,)</f>
        <v/>
      </c>
      <c r="B727" s="27" t="str">
        <f t="shared" si="1"/>
        <v/>
      </c>
      <c r="C727" s="14" t="str">
        <f>IF($A727&lt;&gt;"",MINIFS(Merchant!$A:$A,Merchant!$B:$B,$G$2),)</f>
        <v/>
      </c>
      <c r="D727" s="14" t="str">
        <f t="shared" si="2"/>
        <v/>
      </c>
      <c r="E727" s="14" t="str">
        <f t="shared" si="3"/>
        <v/>
      </c>
      <c r="F727" s="7" t="str">
        <f>IF($A727&lt;&gt;"",MAXIFS(Token!$C:$C,Token!$A:$A,$D727),)</f>
        <v/>
      </c>
    </row>
    <row r="728">
      <c r="A728" s="39" t="str">
        <f>IF(AND($L728*1&gt;=$G$3,$L728*1&lt;=$G$4,$I728*$J728&gt;0,OR($I728&lt;&gt;$I729,$L728-$L729&gt;25),IF(ABS($I728)&gt;10,$I728/POW(10,$J728),$J728/POW(10,$I728))*MAXIFS(Token!$C:$C,Token!$A:$A,$K728)&gt;0.01),$L728/86400+DATE(1970,1,1)+$G$6,)</f>
        <v/>
      </c>
      <c r="B728" s="27" t="str">
        <f t="shared" si="1"/>
        <v/>
      </c>
      <c r="C728" s="14" t="str">
        <f>IF($A728&lt;&gt;"",MINIFS(Merchant!$A:$A,Merchant!$B:$B,$G$2),)</f>
        <v/>
      </c>
      <c r="D728" s="14" t="str">
        <f t="shared" si="2"/>
        <v/>
      </c>
      <c r="E728" s="14" t="str">
        <f t="shared" si="3"/>
        <v/>
      </c>
      <c r="F728" s="7" t="str">
        <f>IF($A728&lt;&gt;"",MAXIFS(Token!$C:$C,Token!$A:$A,$D728),)</f>
        <v/>
      </c>
    </row>
    <row r="729">
      <c r="A729" s="39" t="str">
        <f>IF(AND($L729*1&gt;=$G$3,$L729*1&lt;=$G$4,$I729*$J729&gt;0,OR($I729&lt;&gt;$I730,$L729-$L730&gt;25),IF(ABS($I729)&gt;10,$I729/POW(10,$J729),$J729/POW(10,$I729))*MAXIFS(Token!$C:$C,Token!$A:$A,$K729)&gt;0.01),$L729/86400+DATE(1970,1,1)+$G$6,)</f>
        <v/>
      </c>
      <c r="B729" s="27" t="str">
        <f t="shared" si="1"/>
        <v/>
      </c>
      <c r="C729" s="14" t="str">
        <f>IF($A729&lt;&gt;"",MINIFS(Merchant!$A:$A,Merchant!$B:$B,$G$2),)</f>
        <v/>
      </c>
      <c r="D729" s="14" t="str">
        <f t="shared" si="2"/>
        <v/>
      </c>
      <c r="E729" s="14" t="str">
        <f t="shared" si="3"/>
        <v/>
      </c>
      <c r="F729" s="7" t="str">
        <f>IF($A729&lt;&gt;"",MAXIFS(Token!$C:$C,Token!$A:$A,$D729),)</f>
        <v/>
      </c>
    </row>
    <row r="730">
      <c r="A730" s="39" t="str">
        <f>IF(AND($L730*1&gt;=$G$3,$L730*1&lt;=$G$4,$I730*$J730&gt;0,OR($I730&lt;&gt;$I731,$L730-$L731&gt;25),IF(ABS($I730)&gt;10,$I730/POW(10,$J730),$J730/POW(10,$I730))*MAXIFS(Token!$C:$C,Token!$A:$A,$K730)&gt;0.01),$L730/86400+DATE(1970,1,1)+$G$6,)</f>
        <v/>
      </c>
      <c r="B730" s="27" t="str">
        <f t="shared" si="1"/>
        <v/>
      </c>
      <c r="C730" s="14" t="str">
        <f>IF($A730&lt;&gt;"",MINIFS(Merchant!$A:$A,Merchant!$B:$B,$G$2),)</f>
        <v/>
      </c>
      <c r="D730" s="14" t="str">
        <f t="shared" si="2"/>
        <v/>
      </c>
      <c r="E730" s="14" t="str">
        <f t="shared" si="3"/>
        <v/>
      </c>
      <c r="F730" s="7" t="str">
        <f>IF($A730&lt;&gt;"",MAXIFS(Token!$C:$C,Token!$A:$A,$D730),)</f>
        <v/>
      </c>
    </row>
    <row r="731">
      <c r="A731" s="39" t="str">
        <f>IF(AND($L731*1&gt;=$G$3,$L731*1&lt;=$G$4,$I731*$J731&gt;0,OR($I731&lt;&gt;$I732,$L731-$L732&gt;25),IF(ABS($I731)&gt;10,$I731/POW(10,$J731),$J731/POW(10,$I731))*MAXIFS(Token!$C:$C,Token!$A:$A,$K731)&gt;0.01),$L731/86400+DATE(1970,1,1)+$G$6,)</f>
        <v/>
      </c>
      <c r="B731" s="27" t="str">
        <f t="shared" si="1"/>
        <v/>
      </c>
      <c r="C731" s="14" t="str">
        <f>IF($A731&lt;&gt;"",MINIFS(Merchant!$A:$A,Merchant!$B:$B,$G$2),)</f>
        <v/>
      </c>
      <c r="D731" s="14" t="str">
        <f t="shared" si="2"/>
        <v/>
      </c>
      <c r="E731" s="14" t="str">
        <f t="shared" si="3"/>
        <v/>
      </c>
      <c r="F731" s="7" t="str">
        <f>IF($A731&lt;&gt;"",MAXIFS(Token!$C:$C,Token!$A:$A,$D731),)</f>
        <v/>
      </c>
    </row>
    <row r="732">
      <c r="A732" s="39" t="str">
        <f>IF(AND($L732*1&gt;=$G$3,$L732*1&lt;=$G$4,$I732*$J732&gt;0,OR($I732&lt;&gt;$I733,$L732-$L733&gt;25),IF(ABS($I732)&gt;10,$I732/POW(10,$J732),$J732/POW(10,$I732))*MAXIFS(Token!$C:$C,Token!$A:$A,$K732)&gt;0.01),$L732/86400+DATE(1970,1,1)+$G$6,)</f>
        <v/>
      </c>
      <c r="B732" s="27" t="str">
        <f t="shared" si="1"/>
        <v/>
      </c>
      <c r="C732" s="14" t="str">
        <f>IF($A732&lt;&gt;"",MINIFS(Merchant!$A:$A,Merchant!$B:$B,$G$2),)</f>
        <v/>
      </c>
      <c r="D732" s="14" t="str">
        <f t="shared" si="2"/>
        <v/>
      </c>
      <c r="E732" s="14" t="str">
        <f t="shared" si="3"/>
        <v/>
      </c>
      <c r="F732" s="7" t="str">
        <f>IF($A732&lt;&gt;"",MAXIFS(Token!$C:$C,Token!$A:$A,$D732),)</f>
        <v/>
      </c>
    </row>
    <row r="733">
      <c r="A733" s="39" t="str">
        <f>IF(AND($L733*1&gt;=$G$3,$L733*1&lt;=$G$4,$I733*$J733&gt;0,OR($I733&lt;&gt;$I734,$L733-$L734&gt;25),IF(ABS($I733)&gt;10,$I733/POW(10,$J733),$J733/POW(10,$I733))*MAXIFS(Token!$C:$C,Token!$A:$A,$K733)&gt;0.01),$L733/86400+DATE(1970,1,1)+$G$6,)</f>
        <v/>
      </c>
      <c r="B733" s="27" t="str">
        <f t="shared" si="1"/>
        <v/>
      </c>
      <c r="C733" s="14" t="str">
        <f>IF($A733&lt;&gt;"",MINIFS(Merchant!$A:$A,Merchant!$B:$B,$G$2),)</f>
        <v/>
      </c>
      <c r="D733" s="14" t="str">
        <f t="shared" si="2"/>
        <v/>
      </c>
      <c r="E733" s="14" t="str">
        <f t="shared" si="3"/>
        <v/>
      </c>
      <c r="F733" s="7" t="str">
        <f>IF($A733&lt;&gt;"",MAXIFS(Token!$C:$C,Token!$A:$A,$D733),)</f>
        <v/>
      </c>
    </row>
    <row r="734">
      <c r="A734" s="39" t="str">
        <f>IF(AND($L734*1&gt;=$G$3,$L734*1&lt;=$G$4,$I734*$J734&gt;0,OR($I734&lt;&gt;$I735,$L734-$L735&gt;25),IF(ABS($I734)&gt;10,$I734/POW(10,$J734),$J734/POW(10,$I734))*MAXIFS(Token!$C:$C,Token!$A:$A,$K734)&gt;0.01),$L734/86400+DATE(1970,1,1)+$G$6,)</f>
        <v/>
      </c>
      <c r="B734" s="27" t="str">
        <f t="shared" si="1"/>
        <v/>
      </c>
      <c r="C734" s="14" t="str">
        <f>IF($A734&lt;&gt;"",MINIFS(Merchant!$A:$A,Merchant!$B:$B,$G$2),)</f>
        <v/>
      </c>
      <c r="D734" s="14" t="str">
        <f t="shared" si="2"/>
        <v/>
      </c>
      <c r="E734" s="14" t="str">
        <f t="shared" si="3"/>
        <v/>
      </c>
      <c r="F734" s="7" t="str">
        <f>IF($A734&lt;&gt;"",MAXIFS(Token!$C:$C,Token!$A:$A,$D734),)</f>
        <v/>
      </c>
    </row>
    <row r="735">
      <c r="A735" s="39" t="str">
        <f>IF(AND($L735*1&gt;=$G$3,$L735*1&lt;=$G$4,$I735*$J735&gt;0,OR($I735&lt;&gt;$I736,$L735-$L736&gt;25),IF(ABS($I735)&gt;10,$I735/POW(10,$J735),$J735/POW(10,$I735))*MAXIFS(Token!$C:$C,Token!$A:$A,$K735)&gt;0.01),$L735/86400+DATE(1970,1,1)+$G$6,)</f>
        <v/>
      </c>
      <c r="B735" s="27" t="str">
        <f t="shared" si="1"/>
        <v/>
      </c>
      <c r="C735" s="14" t="str">
        <f>IF($A735&lt;&gt;"",MINIFS(Merchant!$A:$A,Merchant!$B:$B,$G$2),)</f>
        <v/>
      </c>
      <c r="D735" s="14" t="str">
        <f t="shared" si="2"/>
        <v/>
      </c>
      <c r="E735" s="14" t="str">
        <f t="shared" si="3"/>
        <v/>
      </c>
      <c r="F735" s="7" t="str">
        <f>IF($A735&lt;&gt;"",MAXIFS(Token!$C:$C,Token!$A:$A,$D735),)</f>
        <v/>
      </c>
    </row>
    <row r="736">
      <c r="A736" s="39" t="str">
        <f>IF(AND($L736*1&gt;=$G$3,$L736*1&lt;=$G$4,$I736*$J736&gt;0,OR($I736&lt;&gt;$I737,$L736-$L737&gt;25),IF(ABS($I736)&gt;10,$I736/POW(10,$J736),$J736/POW(10,$I736))*MAXIFS(Token!$C:$C,Token!$A:$A,$K736)&gt;0.01),$L736/86400+DATE(1970,1,1)+$G$6,)</f>
        <v/>
      </c>
      <c r="B736" s="27" t="str">
        <f t="shared" si="1"/>
        <v/>
      </c>
      <c r="C736" s="14" t="str">
        <f>IF($A736&lt;&gt;"",MINIFS(Merchant!$A:$A,Merchant!$B:$B,$G$2),)</f>
        <v/>
      </c>
      <c r="D736" s="14" t="str">
        <f t="shared" si="2"/>
        <v/>
      </c>
      <c r="E736" s="14" t="str">
        <f t="shared" si="3"/>
        <v/>
      </c>
      <c r="F736" s="7" t="str">
        <f>IF($A736&lt;&gt;"",MAXIFS(Token!$C:$C,Token!$A:$A,$D736),)</f>
        <v/>
      </c>
    </row>
    <row r="737">
      <c r="A737" s="39" t="str">
        <f>IF(AND($L737*1&gt;=$G$3,$L737*1&lt;=$G$4,$I737*$J737&gt;0,OR($I737&lt;&gt;$I738,$L737-$L738&gt;25),IF(ABS($I737)&gt;10,$I737/POW(10,$J737),$J737/POW(10,$I737))*MAXIFS(Token!$C:$C,Token!$A:$A,$K737)&gt;0.01),$L737/86400+DATE(1970,1,1)+$G$6,)</f>
        <v/>
      </c>
      <c r="B737" s="27" t="str">
        <f t="shared" si="1"/>
        <v/>
      </c>
      <c r="C737" s="14" t="str">
        <f>IF($A737&lt;&gt;"",MINIFS(Merchant!$A:$A,Merchant!$B:$B,$G$2),)</f>
        <v/>
      </c>
      <c r="D737" s="14" t="str">
        <f t="shared" si="2"/>
        <v/>
      </c>
      <c r="E737" s="14" t="str">
        <f t="shared" si="3"/>
        <v/>
      </c>
      <c r="F737" s="7" t="str">
        <f>IF($A737&lt;&gt;"",MAXIFS(Token!$C:$C,Token!$A:$A,$D737),)</f>
        <v/>
      </c>
    </row>
    <row r="738">
      <c r="A738" s="39" t="str">
        <f>IF(AND($L738*1&gt;=$G$3,$L738*1&lt;=$G$4,$I738*$J738&gt;0,OR($I738&lt;&gt;$I739,$L738-$L739&gt;25),IF(ABS($I738)&gt;10,$I738/POW(10,$J738),$J738/POW(10,$I738))*MAXIFS(Token!$C:$C,Token!$A:$A,$K738)&gt;0.01),$L738/86400+DATE(1970,1,1)+$G$6,)</f>
        <v/>
      </c>
      <c r="B738" s="27" t="str">
        <f t="shared" si="1"/>
        <v/>
      </c>
      <c r="C738" s="14" t="str">
        <f>IF($A738&lt;&gt;"",MINIFS(Merchant!$A:$A,Merchant!$B:$B,$G$2),)</f>
        <v/>
      </c>
      <c r="D738" s="14" t="str">
        <f t="shared" si="2"/>
        <v/>
      </c>
      <c r="E738" s="14" t="str">
        <f t="shared" si="3"/>
        <v/>
      </c>
      <c r="F738" s="7" t="str">
        <f>IF($A738&lt;&gt;"",MAXIFS(Token!$C:$C,Token!$A:$A,$D738),)</f>
        <v/>
      </c>
    </row>
    <row r="739">
      <c r="A739" s="39" t="str">
        <f>IF(AND($L739*1&gt;=$G$3,$L739*1&lt;=$G$4,$I739*$J739&gt;0,OR($I739&lt;&gt;$I740,$L739-$L740&gt;25),IF(ABS($I739)&gt;10,$I739/POW(10,$J739),$J739/POW(10,$I739))*MAXIFS(Token!$C:$C,Token!$A:$A,$K739)&gt;0.01),$L739/86400+DATE(1970,1,1)+$G$6,)</f>
        <v/>
      </c>
      <c r="B739" s="27" t="str">
        <f t="shared" si="1"/>
        <v/>
      </c>
      <c r="C739" s="14" t="str">
        <f>IF($A739&lt;&gt;"",MINIFS(Merchant!$A:$A,Merchant!$B:$B,$G$2),)</f>
        <v/>
      </c>
      <c r="D739" s="14" t="str">
        <f t="shared" si="2"/>
        <v/>
      </c>
      <c r="E739" s="14" t="str">
        <f t="shared" si="3"/>
        <v/>
      </c>
      <c r="F739" s="7" t="str">
        <f>IF($A739&lt;&gt;"",MAXIFS(Token!$C:$C,Token!$A:$A,$D739),)</f>
        <v/>
      </c>
    </row>
    <row r="740">
      <c r="A740" s="39" t="str">
        <f>IF(AND($L740*1&gt;=$G$3,$L740*1&lt;=$G$4,$I740*$J740&gt;0,OR($I740&lt;&gt;$I741,$L740-$L741&gt;25),IF(ABS($I740)&gt;10,$I740/POW(10,$J740),$J740/POW(10,$I740))*MAXIFS(Token!$C:$C,Token!$A:$A,$K740)&gt;0.01),$L740/86400+DATE(1970,1,1)+$G$6,)</f>
        <v/>
      </c>
      <c r="B740" s="27" t="str">
        <f t="shared" si="1"/>
        <v/>
      </c>
      <c r="C740" s="14" t="str">
        <f>IF($A740&lt;&gt;"",MINIFS(Merchant!$A:$A,Merchant!$B:$B,$G$2),)</f>
        <v/>
      </c>
      <c r="D740" s="14" t="str">
        <f t="shared" si="2"/>
        <v/>
      </c>
      <c r="E740" s="14" t="str">
        <f t="shared" si="3"/>
        <v/>
      </c>
      <c r="F740" s="7" t="str">
        <f>IF($A740&lt;&gt;"",MAXIFS(Token!$C:$C,Token!$A:$A,$D740),)</f>
        <v/>
      </c>
    </row>
    <row r="741">
      <c r="A741" s="39" t="str">
        <f>IF(AND($L741*1&gt;=$G$3,$L741*1&lt;=$G$4,$I741*$J741&gt;0,OR($I741&lt;&gt;$I742,$L741-$L742&gt;25),IF(ABS($I741)&gt;10,$I741/POW(10,$J741),$J741/POW(10,$I741))*MAXIFS(Token!$C:$C,Token!$A:$A,$K741)&gt;0.01),$L741/86400+DATE(1970,1,1)+$G$6,)</f>
        <v/>
      </c>
      <c r="B741" s="27" t="str">
        <f t="shared" si="1"/>
        <v/>
      </c>
      <c r="C741" s="14" t="str">
        <f>IF($A741&lt;&gt;"",MINIFS(Merchant!$A:$A,Merchant!$B:$B,$G$2),)</f>
        <v/>
      </c>
      <c r="D741" s="14" t="str">
        <f t="shared" si="2"/>
        <v/>
      </c>
      <c r="E741" s="14" t="str">
        <f t="shared" si="3"/>
        <v/>
      </c>
      <c r="F741" s="7" t="str">
        <f>IF($A741&lt;&gt;"",MAXIFS(Token!$C:$C,Token!$A:$A,$D741),)</f>
        <v/>
      </c>
    </row>
    <row r="742">
      <c r="A742" s="39" t="str">
        <f>IF(AND($L742*1&gt;=$G$3,$L742*1&lt;=$G$4,$I742*$J742&gt;0,OR($I742&lt;&gt;$I743,$L742-$L743&gt;25),IF(ABS($I742)&gt;10,$I742/POW(10,$J742),$J742/POW(10,$I742))*MAXIFS(Token!$C:$C,Token!$A:$A,$K742)&gt;0.01),$L742/86400+DATE(1970,1,1)+$G$6,)</f>
        <v/>
      </c>
      <c r="B742" s="27" t="str">
        <f t="shared" si="1"/>
        <v/>
      </c>
      <c r="C742" s="14" t="str">
        <f>IF($A742&lt;&gt;"",MINIFS(Merchant!$A:$A,Merchant!$B:$B,$G$2),)</f>
        <v/>
      </c>
      <c r="D742" s="14" t="str">
        <f t="shared" si="2"/>
        <v/>
      </c>
      <c r="E742" s="14" t="str">
        <f t="shared" si="3"/>
        <v/>
      </c>
      <c r="F742" s="7" t="str">
        <f>IF($A742&lt;&gt;"",MAXIFS(Token!$C:$C,Token!$A:$A,$D742),)</f>
        <v/>
      </c>
    </row>
    <row r="743">
      <c r="A743" s="39" t="str">
        <f>IF(AND($L743*1&gt;=$G$3,$L743*1&lt;=$G$4,$I743*$J743&gt;0,OR($I743&lt;&gt;$I744,$L743-$L744&gt;25),IF(ABS($I743)&gt;10,$I743/POW(10,$J743),$J743/POW(10,$I743))*MAXIFS(Token!$C:$C,Token!$A:$A,$K743)&gt;0.01),$L743/86400+DATE(1970,1,1)+$G$6,)</f>
        <v/>
      </c>
      <c r="B743" s="27" t="str">
        <f t="shared" si="1"/>
        <v/>
      </c>
      <c r="C743" s="14" t="str">
        <f>IF($A743&lt;&gt;"",MINIFS(Merchant!$A:$A,Merchant!$B:$B,$G$2),)</f>
        <v/>
      </c>
      <c r="D743" s="14" t="str">
        <f t="shared" si="2"/>
        <v/>
      </c>
      <c r="E743" s="14" t="str">
        <f t="shared" si="3"/>
        <v/>
      </c>
      <c r="F743" s="7" t="str">
        <f>IF($A743&lt;&gt;"",MAXIFS(Token!$C:$C,Token!$A:$A,$D743),)</f>
        <v/>
      </c>
    </row>
    <row r="744">
      <c r="A744" s="39" t="str">
        <f>IF(AND($L744*1&gt;=$G$3,$L744*1&lt;=$G$4,$I744*$J744&gt;0,OR($I744&lt;&gt;$I745,$L744-$L745&gt;25),IF(ABS($I744)&gt;10,$I744/POW(10,$J744),$J744/POW(10,$I744))*MAXIFS(Token!$C:$C,Token!$A:$A,$K744)&gt;0.01),$L744/86400+DATE(1970,1,1)+$G$6,)</f>
        <v/>
      </c>
      <c r="B744" s="27" t="str">
        <f t="shared" si="1"/>
        <v/>
      </c>
      <c r="C744" s="14" t="str">
        <f>IF($A744&lt;&gt;"",MINIFS(Merchant!$A:$A,Merchant!$B:$B,$G$2),)</f>
        <v/>
      </c>
      <c r="D744" s="14" t="str">
        <f t="shared" si="2"/>
        <v/>
      </c>
      <c r="E744" s="14" t="str">
        <f t="shared" si="3"/>
        <v/>
      </c>
      <c r="F744" s="7" t="str">
        <f>IF($A744&lt;&gt;"",MAXIFS(Token!$C:$C,Token!$A:$A,$D744),)</f>
        <v/>
      </c>
    </row>
    <row r="745">
      <c r="A745" s="39" t="str">
        <f>IF(AND($L745*1&gt;=$G$3,$L745*1&lt;=$G$4,$I745*$J745&gt;0,OR($I745&lt;&gt;$I746,$L745-$L746&gt;25),IF(ABS($I745)&gt;10,$I745/POW(10,$J745),$J745/POW(10,$I745))*MAXIFS(Token!$C:$C,Token!$A:$A,$K745)&gt;0.01),$L745/86400+DATE(1970,1,1)+$G$6,)</f>
        <v/>
      </c>
      <c r="B745" s="27" t="str">
        <f t="shared" si="1"/>
        <v/>
      </c>
      <c r="C745" s="14" t="str">
        <f>IF($A745&lt;&gt;"",MINIFS(Merchant!$A:$A,Merchant!$B:$B,$G$2),)</f>
        <v/>
      </c>
      <c r="D745" s="14" t="str">
        <f t="shared" si="2"/>
        <v/>
      </c>
      <c r="E745" s="14" t="str">
        <f t="shared" si="3"/>
        <v/>
      </c>
      <c r="F745" s="7" t="str">
        <f>IF($A745&lt;&gt;"",MAXIFS(Token!$C:$C,Token!$A:$A,$D745),)</f>
        <v/>
      </c>
    </row>
    <row r="746">
      <c r="A746" s="39" t="str">
        <f>IF(AND($L746*1&gt;=$G$3,$L746*1&lt;=$G$4,$I746*$J746&gt;0,OR($I746&lt;&gt;$I747,$L746-$L747&gt;25),IF(ABS($I746)&gt;10,$I746/POW(10,$J746),$J746/POW(10,$I746))*MAXIFS(Token!$C:$C,Token!$A:$A,$K746)&gt;0.01),$L746/86400+DATE(1970,1,1)+$G$6,)</f>
        <v/>
      </c>
      <c r="B746" s="27" t="str">
        <f t="shared" si="1"/>
        <v/>
      </c>
      <c r="C746" s="14" t="str">
        <f>IF($A746&lt;&gt;"",MINIFS(Merchant!$A:$A,Merchant!$B:$B,$G$2),)</f>
        <v/>
      </c>
      <c r="D746" s="14" t="str">
        <f t="shared" si="2"/>
        <v/>
      </c>
      <c r="E746" s="14" t="str">
        <f t="shared" si="3"/>
        <v/>
      </c>
      <c r="F746" s="7" t="str">
        <f>IF($A746&lt;&gt;"",MAXIFS(Token!$C:$C,Token!$A:$A,$D746),)</f>
        <v/>
      </c>
    </row>
    <row r="747">
      <c r="A747" s="39" t="str">
        <f>IF(AND($L747*1&gt;=$G$3,$L747*1&lt;=$G$4,$I747*$J747&gt;0,OR($I747&lt;&gt;$I748,$L747-$L748&gt;25),IF(ABS($I747)&gt;10,$I747/POW(10,$J747),$J747/POW(10,$I747))*MAXIFS(Token!$C:$C,Token!$A:$A,$K747)&gt;0.01),$L747/86400+DATE(1970,1,1)+$G$6,)</f>
        <v/>
      </c>
      <c r="B747" s="27" t="str">
        <f t="shared" si="1"/>
        <v/>
      </c>
      <c r="C747" s="14" t="str">
        <f>IF($A747&lt;&gt;"",MINIFS(Merchant!$A:$A,Merchant!$B:$B,$G$2),)</f>
        <v/>
      </c>
      <c r="D747" s="14" t="str">
        <f t="shared" si="2"/>
        <v/>
      </c>
      <c r="E747" s="14" t="str">
        <f t="shared" si="3"/>
        <v/>
      </c>
      <c r="F747" s="7" t="str">
        <f>IF($A747&lt;&gt;"",MAXIFS(Token!$C:$C,Token!$A:$A,$D747),)</f>
        <v/>
      </c>
    </row>
    <row r="748">
      <c r="A748" s="39" t="str">
        <f>IF(AND($L748*1&gt;=$G$3,$L748*1&lt;=$G$4,$I748*$J748&gt;0,OR($I748&lt;&gt;$I749,$L748-$L749&gt;25),IF(ABS($I748)&gt;10,$I748/POW(10,$J748),$J748/POW(10,$I748))*MAXIFS(Token!$C:$C,Token!$A:$A,$K748)&gt;0.01),$L748/86400+DATE(1970,1,1)+$G$6,)</f>
        <v/>
      </c>
      <c r="B748" s="27" t="str">
        <f t="shared" si="1"/>
        <v/>
      </c>
      <c r="C748" s="14" t="str">
        <f>IF($A748&lt;&gt;"",MINIFS(Merchant!$A:$A,Merchant!$B:$B,$G$2),)</f>
        <v/>
      </c>
      <c r="D748" s="14" t="str">
        <f t="shared" si="2"/>
        <v/>
      </c>
      <c r="E748" s="14" t="str">
        <f t="shared" si="3"/>
        <v/>
      </c>
      <c r="F748" s="7" t="str">
        <f>IF($A748&lt;&gt;"",MAXIFS(Token!$C:$C,Token!$A:$A,$D748),)</f>
        <v/>
      </c>
    </row>
    <row r="749">
      <c r="A749" s="39" t="str">
        <f>IF(AND($L749*1&gt;=$G$3,$L749*1&lt;=$G$4,$I749*$J749&gt;0,OR($I749&lt;&gt;$I750,$L749-$L750&gt;25),IF(ABS($I749)&gt;10,$I749/POW(10,$J749),$J749/POW(10,$I749))*MAXIFS(Token!$C:$C,Token!$A:$A,$K749)&gt;0.01),$L749/86400+DATE(1970,1,1)+$G$6,)</f>
        <v/>
      </c>
      <c r="B749" s="27" t="str">
        <f t="shared" si="1"/>
        <v/>
      </c>
      <c r="C749" s="14" t="str">
        <f>IF($A749&lt;&gt;"",MINIFS(Merchant!$A:$A,Merchant!$B:$B,$G$2),)</f>
        <v/>
      </c>
      <c r="D749" s="14" t="str">
        <f t="shared" si="2"/>
        <v/>
      </c>
      <c r="E749" s="14" t="str">
        <f t="shared" si="3"/>
        <v/>
      </c>
      <c r="F749" s="7" t="str">
        <f>IF($A749&lt;&gt;"",MAXIFS(Token!$C:$C,Token!$A:$A,$D749),)</f>
        <v/>
      </c>
    </row>
    <row r="750">
      <c r="A750" s="39" t="str">
        <f>IF(AND($L750*1&gt;=$G$3,$L750*1&lt;=$G$4,$I750*$J750&gt;0,OR($I750&lt;&gt;$I751,$L750-$L751&gt;25),IF(ABS($I750)&gt;10,$I750/POW(10,$J750),$J750/POW(10,$I750))*MAXIFS(Token!$C:$C,Token!$A:$A,$K750)&gt;0.01),$L750/86400+DATE(1970,1,1)+$G$6,)</f>
        <v/>
      </c>
      <c r="B750" s="27" t="str">
        <f t="shared" si="1"/>
        <v/>
      </c>
      <c r="C750" s="14" t="str">
        <f>IF($A750&lt;&gt;"",MINIFS(Merchant!$A:$A,Merchant!$B:$B,$G$2),)</f>
        <v/>
      </c>
      <c r="D750" s="14" t="str">
        <f t="shared" si="2"/>
        <v/>
      </c>
      <c r="E750" s="14" t="str">
        <f t="shared" si="3"/>
        <v/>
      </c>
      <c r="F750" s="7" t="str">
        <f>IF($A750&lt;&gt;"",MAXIFS(Token!$C:$C,Token!$A:$A,$D750),)</f>
        <v/>
      </c>
    </row>
    <row r="751">
      <c r="A751" s="39" t="str">
        <f>IF(AND($L751*1&gt;=$G$3,$L751*1&lt;=$G$4,$I751*$J751&gt;0,OR($I751&lt;&gt;$I752,$L751-$L752&gt;25),IF(ABS($I751)&gt;10,$I751/POW(10,$J751),$J751/POW(10,$I751))*MAXIFS(Token!$C:$C,Token!$A:$A,$K751)&gt;0.01),$L751/86400+DATE(1970,1,1)+$G$6,)</f>
        <v/>
      </c>
      <c r="B751" s="27" t="str">
        <f t="shared" si="1"/>
        <v/>
      </c>
      <c r="C751" s="14" t="str">
        <f>IF($A751&lt;&gt;"",MINIFS(Merchant!$A:$A,Merchant!$B:$B,$G$2),)</f>
        <v/>
      </c>
      <c r="D751" s="14" t="str">
        <f t="shared" si="2"/>
        <v/>
      </c>
      <c r="E751" s="14" t="str">
        <f t="shared" si="3"/>
        <v/>
      </c>
      <c r="F751" s="7" t="str">
        <f>IF($A751&lt;&gt;"",MAXIFS(Token!$C:$C,Token!$A:$A,$D751),)</f>
        <v/>
      </c>
    </row>
    <row r="752">
      <c r="A752" s="39" t="str">
        <f>IF(AND($L752*1&gt;=$G$3,$L752*1&lt;=$G$4,$I752*$J752&gt;0,OR($I752&lt;&gt;$I753,$L752-$L753&gt;25),IF(ABS($I752)&gt;10,$I752/POW(10,$J752),$J752/POW(10,$I752))*MAXIFS(Token!$C:$C,Token!$A:$A,$K752)&gt;0.01),$L752/86400+DATE(1970,1,1)+$G$6,)</f>
        <v/>
      </c>
      <c r="B752" s="27" t="str">
        <f t="shared" si="1"/>
        <v/>
      </c>
      <c r="C752" s="14" t="str">
        <f>IF($A752&lt;&gt;"",MINIFS(Merchant!$A:$A,Merchant!$B:$B,$G$2),)</f>
        <v/>
      </c>
      <c r="D752" s="14" t="str">
        <f t="shared" si="2"/>
        <v/>
      </c>
      <c r="E752" s="14" t="str">
        <f t="shared" si="3"/>
        <v/>
      </c>
      <c r="F752" s="7" t="str">
        <f>IF($A752&lt;&gt;"",MAXIFS(Token!$C:$C,Token!$A:$A,$D752),)</f>
        <v/>
      </c>
    </row>
    <row r="753">
      <c r="A753" s="39" t="str">
        <f>IF(AND($L753*1&gt;=$G$3,$L753*1&lt;=$G$4,$I753*$J753&gt;0,OR($I753&lt;&gt;$I754,$L753-$L754&gt;25),IF(ABS($I753)&gt;10,$I753/POW(10,$J753),$J753/POW(10,$I753))*MAXIFS(Token!$C:$C,Token!$A:$A,$K753)&gt;0.01),$L753/86400+DATE(1970,1,1)+$G$6,)</f>
        <v/>
      </c>
      <c r="B753" s="27" t="str">
        <f t="shared" si="1"/>
        <v/>
      </c>
      <c r="C753" s="14" t="str">
        <f>IF($A753&lt;&gt;"",MINIFS(Merchant!$A:$A,Merchant!$B:$B,$G$2),)</f>
        <v/>
      </c>
      <c r="D753" s="14" t="str">
        <f t="shared" si="2"/>
        <v/>
      </c>
      <c r="E753" s="14" t="str">
        <f t="shared" si="3"/>
        <v/>
      </c>
      <c r="F753" s="7" t="str">
        <f>IF($A753&lt;&gt;"",MAXIFS(Token!$C:$C,Token!$A:$A,$D753),)</f>
        <v/>
      </c>
    </row>
    <row r="754">
      <c r="A754" s="39" t="str">
        <f>IF(AND($L754*1&gt;=$G$3,$L754*1&lt;=$G$4,$I754*$J754&gt;0,OR($I754&lt;&gt;$I755,$L754-$L755&gt;25),IF(ABS($I754)&gt;10,$I754/POW(10,$J754),$J754/POW(10,$I754))*MAXIFS(Token!$C:$C,Token!$A:$A,$K754)&gt;0.01),$L754/86400+DATE(1970,1,1)+$G$6,)</f>
        <v/>
      </c>
      <c r="B754" s="27" t="str">
        <f t="shared" si="1"/>
        <v/>
      </c>
      <c r="C754" s="14" t="str">
        <f>IF($A754&lt;&gt;"",MINIFS(Merchant!$A:$A,Merchant!$B:$B,$G$2),)</f>
        <v/>
      </c>
      <c r="D754" s="14" t="str">
        <f t="shared" si="2"/>
        <v/>
      </c>
      <c r="E754" s="14" t="str">
        <f t="shared" si="3"/>
        <v/>
      </c>
      <c r="F754" s="7" t="str">
        <f>IF($A754&lt;&gt;"",MAXIFS(Token!$C:$C,Token!$A:$A,$D754),)</f>
        <v/>
      </c>
    </row>
    <row r="755">
      <c r="A755" s="39" t="str">
        <f>IF(AND($L755*1&gt;=$G$3,$L755*1&lt;=$G$4,$I755*$J755&gt;0,OR($I755&lt;&gt;$I756,$L755-$L756&gt;25),IF(ABS($I755)&gt;10,$I755/POW(10,$J755),$J755/POW(10,$I755))*MAXIFS(Token!$C:$C,Token!$A:$A,$K755)&gt;0.01),$L755/86400+DATE(1970,1,1)+$G$6,)</f>
        <v/>
      </c>
      <c r="B755" s="27" t="str">
        <f t="shared" si="1"/>
        <v/>
      </c>
      <c r="C755" s="14" t="str">
        <f>IF($A755&lt;&gt;"",MINIFS(Merchant!$A:$A,Merchant!$B:$B,$G$2),)</f>
        <v/>
      </c>
      <c r="D755" s="14" t="str">
        <f t="shared" si="2"/>
        <v/>
      </c>
      <c r="E755" s="14" t="str">
        <f t="shared" si="3"/>
        <v/>
      </c>
      <c r="F755" s="7" t="str">
        <f>IF($A755&lt;&gt;"",MAXIFS(Token!$C:$C,Token!$A:$A,$D755),)</f>
        <v/>
      </c>
    </row>
    <row r="756">
      <c r="A756" s="39" t="str">
        <f>IF(AND($L756*1&gt;=$G$3,$L756*1&lt;=$G$4,$I756*$J756&gt;0,OR($I756&lt;&gt;$I757,$L756-$L757&gt;25),IF(ABS($I756)&gt;10,$I756/POW(10,$J756),$J756/POW(10,$I756))*MAXIFS(Token!$C:$C,Token!$A:$A,$K756)&gt;0.01),$L756/86400+DATE(1970,1,1)+$G$6,)</f>
        <v/>
      </c>
      <c r="B756" s="27" t="str">
        <f t="shared" si="1"/>
        <v/>
      </c>
      <c r="C756" s="14" t="str">
        <f>IF($A756&lt;&gt;"",MINIFS(Merchant!$A:$A,Merchant!$B:$B,$G$2),)</f>
        <v/>
      </c>
      <c r="D756" s="14" t="str">
        <f t="shared" si="2"/>
        <v/>
      </c>
      <c r="E756" s="14" t="str">
        <f t="shared" si="3"/>
        <v/>
      </c>
      <c r="F756" s="7" t="str">
        <f>IF($A756&lt;&gt;"",MAXIFS(Token!$C:$C,Token!$A:$A,$D756),)</f>
        <v/>
      </c>
    </row>
    <row r="757">
      <c r="A757" s="39" t="str">
        <f>IF(AND($L757*1&gt;=$G$3,$L757*1&lt;=$G$4,$I757*$J757&gt;0,OR($I757&lt;&gt;$I758,$L757-$L758&gt;25),IF(ABS($I757)&gt;10,$I757/POW(10,$J757),$J757/POW(10,$I757))*MAXIFS(Token!$C:$C,Token!$A:$A,$K757)&gt;0.01),$L757/86400+DATE(1970,1,1)+$G$6,)</f>
        <v/>
      </c>
      <c r="B757" s="27" t="str">
        <f t="shared" si="1"/>
        <v/>
      </c>
      <c r="C757" s="14" t="str">
        <f>IF($A757&lt;&gt;"",MINIFS(Merchant!$A:$A,Merchant!$B:$B,$G$2),)</f>
        <v/>
      </c>
      <c r="D757" s="14" t="str">
        <f t="shared" si="2"/>
        <v/>
      </c>
      <c r="E757" s="14" t="str">
        <f t="shared" si="3"/>
        <v/>
      </c>
      <c r="F757" s="7" t="str">
        <f>IF($A757&lt;&gt;"",MAXIFS(Token!$C:$C,Token!$A:$A,$D757),)</f>
        <v/>
      </c>
    </row>
    <row r="758">
      <c r="A758" s="39" t="str">
        <f>IF(AND($L758*1&gt;=$G$3,$L758*1&lt;=$G$4,$I758*$J758&gt;0,OR($I758&lt;&gt;$I759,$L758-$L759&gt;25),IF(ABS($I758)&gt;10,$I758/POW(10,$J758),$J758/POW(10,$I758))*MAXIFS(Token!$C:$C,Token!$A:$A,$K758)&gt;0.01),$L758/86400+DATE(1970,1,1)+$G$6,)</f>
        <v/>
      </c>
      <c r="B758" s="27" t="str">
        <f t="shared" si="1"/>
        <v/>
      </c>
      <c r="C758" s="14" t="str">
        <f>IF($A758&lt;&gt;"",MINIFS(Merchant!$A:$A,Merchant!$B:$B,$G$2),)</f>
        <v/>
      </c>
      <c r="D758" s="14" t="str">
        <f t="shared" si="2"/>
        <v/>
      </c>
      <c r="E758" s="14" t="str">
        <f t="shared" si="3"/>
        <v/>
      </c>
      <c r="F758" s="7" t="str">
        <f>IF($A758&lt;&gt;"",MAXIFS(Token!$C:$C,Token!$A:$A,$D758),)</f>
        <v/>
      </c>
    </row>
    <row r="759">
      <c r="A759" s="39" t="str">
        <f>IF(AND($L759*1&gt;=$G$3,$L759*1&lt;=$G$4,$I759*$J759&gt;0,OR($I759&lt;&gt;$I760,$L759-$L760&gt;25),IF(ABS($I759)&gt;10,$I759/POW(10,$J759),$J759/POW(10,$I759))*MAXIFS(Token!$C:$C,Token!$A:$A,$K759)&gt;0.01),$L759/86400+DATE(1970,1,1)+$G$6,)</f>
        <v/>
      </c>
      <c r="B759" s="27" t="str">
        <f t="shared" si="1"/>
        <v/>
      </c>
      <c r="C759" s="14" t="str">
        <f>IF($A759&lt;&gt;"",MINIFS(Merchant!$A:$A,Merchant!$B:$B,$G$2),)</f>
        <v/>
      </c>
      <c r="D759" s="14" t="str">
        <f t="shared" si="2"/>
        <v/>
      </c>
      <c r="E759" s="14" t="str">
        <f t="shared" si="3"/>
        <v/>
      </c>
      <c r="F759" s="7" t="str">
        <f>IF($A759&lt;&gt;"",MAXIFS(Token!$C:$C,Token!$A:$A,$D759),)</f>
        <v/>
      </c>
    </row>
    <row r="760">
      <c r="A760" s="39" t="str">
        <f>IF(AND($L760*1&gt;=$G$3,$L760*1&lt;=$G$4,$I760*$J760&gt;0,OR($I760&lt;&gt;$I761,$L760-$L761&gt;25),IF(ABS($I760)&gt;10,$I760/POW(10,$J760),$J760/POW(10,$I760))*MAXIFS(Token!$C:$C,Token!$A:$A,$K760)&gt;0.01),$L760/86400+DATE(1970,1,1)+$G$6,)</f>
        <v/>
      </c>
      <c r="B760" s="27" t="str">
        <f t="shared" si="1"/>
        <v/>
      </c>
      <c r="C760" s="14" t="str">
        <f>IF($A760&lt;&gt;"",MINIFS(Merchant!$A:$A,Merchant!$B:$B,$G$2),)</f>
        <v/>
      </c>
      <c r="D760" s="14" t="str">
        <f t="shared" si="2"/>
        <v/>
      </c>
      <c r="E760" s="14" t="str">
        <f t="shared" si="3"/>
        <v/>
      </c>
      <c r="F760" s="7" t="str">
        <f>IF($A760&lt;&gt;"",MAXIFS(Token!$C:$C,Token!$A:$A,$D760),)</f>
        <v/>
      </c>
    </row>
    <row r="761">
      <c r="A761" s="39" t="str">
        <f>IF(AND($L761*1&gt;=$G$3,$L761*1&lt;=$G$4,$I761*$J761&gt;0,OR($I761&lt;&gt;$I762,$L761-$L762&gt;25),IF(ABS($I761)&gt;10,$I761/POW(10,$J761),$J761/POW(10,$I761))*MAXIFS(Token!$C:$C,Token!$A:$A,$K761)&gt;0.01),$L761/86400+DATE(1970,1,1)+$G$6,)</f>
        <v/>
      </c>
      <c r="B761" s="27" t="str">
        <f t="shared" si="1"/>
        <v/>
      </c>
      <c r="C761" s="14" t="str">
        <f>IF($A761&lt;&gt;"",MINIFS(Merchant!$A:$A,Merchant!$B:$B,$G$2),)</f>
        <v/>
      </c>
      <c r="D761" s="14" t="str">
        <f t="shared" si="2"/>
        <v/>
      </c>
      <c r="E761" s="14" t="str">
        <f t="shared" si="3"/>
        <v/>
      </c>
      <c r="F761" s="7" t="str">
        <f>IF($A761&lt;&gt;"",MAXIFS(Token!$C:$C,Token!$A:$A,$D761),)</f>
        <v/>
      </c>
    </row>
    <row r="762">
      <c r="A762" s="39" t="str">
        <f>IF(AND($L762*1&gt;=$G$3,$L762*1&lt;=$G$4,$I762*$J762&gt;0,OR($I762&lt;&gt;$I763,$L762-$L763&gt;25),IF(ABS($I762)&gt;10,$I762/POW(10,$J762),$J762/POW(10,$I762))*MAXIFS(Token!$C:$C,Token!$A:$A,$K762)&gt;0.01),$L762/86400+DATE(1970,1,1)+$G$6,)</f>
        <v/>
      </c>
      <c r="B762" s="27" t="str">
        <f t="shared" si="1"/>
        <v/>
      </c>
      <c r="C762" s="14" t="str">
        <f>IF($A762&lt;&gt;"",MINIFS(Merchant!$A:$A,Merchant!$B:$B,$G$2),)</f>
        <v/>
      </c>
      <c r="D762" s="14" t="str">
        <f t="shared" si="2"/>
        <v/>
      </c>
      <c r="E762" s="14" t="str">
        <f t="shared" si="3"/>
        <v/>
      </c>
      <c r="F762" s="7" t="str">
        <f>IF($A762&lt;&gt;"",MAXIFS(Token!$C:$C,Token!$A:$A,$D762),)</f>
        <v/>
      </c>
    </row>
    <row r="763">
      <c r="A763" s="39" t="str">
        <f>IF(AND($L763*1&gt;=$G$3,$L763*1&lt;=$G$4,$I763*$J763&gt;0,OR($I763&lt;&gt;$I764,$L763-$L764&gt;25),IF(ABS($I763)&gt;10,$I763/POW(10,$J763),$J763/POW(10,$I763))*MAXIFS(Token!$C:$C,Token!$A:$A,$K763)&gt;0.01),$L763/86400+DATE(1970,1,1)+$G$6,)</f>
        <v/>
      </c>
      <c r="B763" s="27" t="str">
        <f t="shared" si="1"/>
        <v/>
      </c>
      <c r="C763" s="14" t="str">
        <f>IF($A763&lt;&gt;"",MINIFS(Merchant!$A:$A,Merchant!$B:$B,$G$2),)</f>
        <v/>
      </c>
      <c r="D763" s="14" t="str">
        <f t="shared" si="2"/>
        <v/>
      </c>
      <c r="E763" s="14" t="str">
        <f t="shared" si="3"/>
        <v/>
      </c>
      <c r="F763" s="7" t="str">
        <f>IF($A763&lt;&gt;"",MAXIFS(Token!$C:$C,Token!$A:$A,$D763),)</f>
        <v/>
      </c>
    </row>
    <row r="764">
      <c r="A764" s="39" t="str">
        <f>IF(AND($L764*1&gt;=$G$3,$L764*1&lt;=$G$4,$I764*$J764&gt;0,OR($I764&lt;&gt;$I765,$L764-$L765&gt;25),IF(ABS($I764)&gt;10,$I764/POW(10,$J764),$J764/POW(10,$I764))*MAXIFS(Token!$C:$C,Token!$A:$A,$K764)&gt;0.01),$L764/86400+DATE(1970,1,1)+$G$6,)</f>
        <v/>
      </c>
      <c r="B764" s="27" t="str">
        <f t="shared" si="1"/>
        <v/>
      </c>
      <c r="C764" s="14" t="str">
        <f>IF($A764&lt;&gt;"",MINIFS(Merchant!$A:$A,Merchant!$B:$B,$G$2),)</f>
        <v/>
      </c>
      <c r="D764" s="14" t="str">
        <f t="shared" si="2"/>
        <v/>
      </c>
      <c r="E764" s="14" t="str">
        <f t="shared" si="3"/>
        <v/>
      </c>
      <c r="F764" s="7" t="str">
        <f>IF($A764&lt;&gt;"",MAXIFS(Token!$C:$C,Token!$A:$A,$D764),)</f>
        <v/>
      </c>
    </row>
    <row r="765">
      <c r="A765" s="39" t="str">
        <f>IF(AND($L765*1&gt;=$G$3,$L765*1&lt;=$G$4,$I765*$J765&gt;0,OR($I765&lt;&gt;$I766,$L765-$L766&gt;25),IF(ABS($I765)&gt;10,$I765/POW(10,$J765),$J765/POW(10,$I765))*MAXIFS(Token!$C:$C,Token!$A:$A,$K765)&gt;0.01),$L765/86400+DATE(1970,1,1)+$G$6,)</f>
        <v/>
      </c>
      <c r="B765" s="27" t="str">
        <f t="shared" si="1"/>
        <v/>
      </c>
      <c r="C765" s="14" t="str">
        <f>IF($A765&lt;&gt;"",MINIFS(Merchant!$A:$A,Merchant!$B:$B,$G$2),)</f>
        <v/>
      </c>
      <c r="D765" s="14" t="str">
        <f t="shared" si="2"/>
        <v/>
      </c>
      <c r="E765" s="14" t="str">
        <f t="shared" si="3"/>
        <v/>
      </c>
      <c r="F765" s="7" t="str">
        <f>IF($A765&lt;&gt;"",MAXIFS(Token!$C:$C,Token!$A:$A,$D765),)</f>
        <v/>
      </c>
    </row>
    <row r="766">
      <c r="A766" s="39" t="str">
        <f>IF(AND($L766*1&gt;=$G$3,$L766*1&lt;=$G$4,$I766*$J766&gt;0,OR($I766&lt;&gt;$I767,$L766-$L767&gt;25),IF(ABS($I766)&gt;10,$I766/POW(10,$J766),$J766/POW(10,$I766))*MAXIFS(Token!$C:$C,Token!$A:$A,$K766)&gt;0.01),$L766/86400+DATE(1970,1,1)+$G$6,)</f>
        <v/>
      </c>
      <c r="B766" s="27" t="str">
        <f t="shared" si="1"/>
        <v/>
      </c>
      <c r="C766" s="14" t="str">
        <f>IF($A766&lt;&gt;"",MINIFS(Merchant!$A:$A,Merchant!$B:$B,$G$2),)</f>
        <v/>
      </c>
      <c r="D766" s="14" t="str">
        <f t="shared" si="2"/>
        <v/>
      </c>
      <c r="E766" s="14" t="str">
        <f t="shared" si="3"/>
        <v/>
      </c>
      <c r="F766" s="7" t="str">
        <f>IF($A766&lt;&gt;"",MAXIFS(Token!$C:$C,Token!$A:$A,$D766),)</f>
        <v/>
      </c>
    </row>
    <row r="767">
      <c r="A767" s="39" t="str">
        <f>IF(AND($L767*1&gt;=$G$3,$L767*1&lt;=$G$4,$I767*$J767&gt;0,OR($I767&lt;&gt;$I768,$L767-$L768&gt;25),IF(ABS($I767)&gt;10,$I767/POW(10,$J767),$J767/POW(10,$I767))*MAXIFS(Token!$C:$C,Token!$A:$A,$K767)&gt;0.01),$L767/86400+DATE(1970,1,1)+$G$6,)</f>
        <v/>
      </c>
      <c r="B767" s="27" t="str">
        <f t="shared" si="1"/>
        <v/>
      </c>
      <c r="C767" s="14" t="str">
        <f>IF($A767&lt;&gt;"",MINIFS(Merchant!$A:$A,Merchant!$B:$B,$G$2),)</f>
        <v/>
      </c>
      <c r="D767" s="14" t="str">
        <f t="shared" si="2"/>
        <v/>
      </c>
      <c r="E767" s="14" t="str">
        <f t="shared" si="3"/>
        <v/>
      </c>
      <c r="F767" s="7" t="str">
        <f>IF($A767&lt;&gt;"",MAXIFS(Token!$C:$C,Token!$A:$A,$D767),)</f>
        <v/>
      </c>
    </row>
    <row r="768">
      <c r="A768" s="39" t="str">
        <f>IF(AND($L768*1&gt;=$G$3,$L768*1&lt;=$G$4,$I768*$J768&gt;0,OR($I768&lt;&gt;$I769,$L768-$L769&gt;25),IF(ABS($I768)&gt;10,$I768/POW(10,$J768),$J768/POW(10,$I768))*MAXIFS(Token!$C:$C,Token!$A:$A,$K768)&gt;0.01),$L768/86400+DATE(1970,1,1)+$G$6,)</f>
        <v/>
      </c>
      <c r="B768" s="27" t="str">
        <f t="shared" si="1"/>
        <v/>
      </c>
      <c r="C768" s="14" t="str">
        <f>IF($A768&lt;&gt;"",MINIFS(Merchant!$A:$A,Merchant!$B:$B,$G$2),)</f>
        <v/>
      </c>
      <c r="D768" s="14" t="str">
        <f t="shared" si="2"/>
        <v/>
      </c>
      <c r="E768" s="14" t="str">
        <f t="shared" si="3"/>
        <v/>
      </c>
      <c r="F768" s="7" t="str">
        <f>IF($A768&lt;&gt;"",MAXIFS(Token!$C:$C,Token!$A:$A,$D768),)</f>
        <v/>
      </c>
    </row>
    <row r="769">
      <c r="A769" s="39" t="str">
        <f>IF(AND($L769*1&gt;=$G$3,$L769*1&lt;=$G$4,$I769*$J769&gt;0,OR($I769&lt;&gt;$I770,$L769-$L770&gt;25),IF(ABS($I769)&gt;10,$I769/POW(10,$J769),$J769/POW(10,$I769))*MAXIFS(Token!$C:$C,Token!$A:$A,$K769)&gt;0.01),$L769/86400+DATE(1970,1,1)+$G$6,)</f>
        <v/>
      </c>
      <c r="B769" s="27" t="str">
        <f t="shared" si="1"/>
        <v/>
      </c>
      <c r="C769" s="14" t="str">
        <f>IF($A769&lt;&gt;"",MINIFS(Merchant!$A:$A,Merchant!$B:$B,$G$2),)</f>
        <v/>
      </c>
      <c r="D769" s="14" t="str">
        <f t="shared" si="2"/>
        <v/>
      </c>
      <c r="E769" s="14" t="str">
        <f t="shared" si="3"/>
        <v/>
      </c>
      <c r="F769" s="7" t="str">
        <f>IF($A769&lt;&gt;"",MAXIFS(Token!$C:$C,Token!$A:$A,$D769),)</f>
        <v/>
      </c>
    </row>
    <row r="770">
      <c r="A770" s="39" t="str">
        <f>IF(AND($L770*1&gt;=$G$3,$L770*1&lt;=$G$4,$I770*$J770&gt;0,OR($I770&lt;&gt;$I771,$L770-$L771&gt;25),IF(ABS($I770)&gt;10,$I770/POW(10,$J770),$J770/POW(10,$I770))*MAXIFS(Token!$C:$C,Token!$A:$A,$K770)&gt;0.01),$L770/86400+DATE(1970,1,1)+$G$6,)</f>
        <v/>
      </c>
      <c r="B770" s="27" t="str">
        <f t="shared" si="1"/>
        <v/>
      </c>
      <c r="C770" s="14" t="str">
        <f>IF($A770&lt;&gt;"",MINIFS(Merchant!$A:$A,Merchant!$B:$B,$G$2),)</f>
        <v/>
      </c>
      <c r="D770" s="14" t="str">
        <f t="shared" si="2"/>
        <v/>
      </c>
      <c r="E770" s="14" t="str">
        <f t="shared" si="3"/>
        <v/>
      </c>
      <c r="F770" s="7" t="str">
        <f>IF($A770&lt;&gt;"",MAXIFS(Token!$C:$C,Token!$A:$A,$D770),)</f>
        <v/>
      </c>
    </row>
    <row r="771">
      <c r="A771" s="39" t="str">
        <f>IF(AND($L771*1&gt;=$G$3,$L771*1&lt;=$G$4,$I771*$J771&gt;0,OR($I771&lt;&gt;$I772,$L771-$L772&gt;25),IF(ABS($I771)&gt;10,$I771/POW(10,$J771),$J771/POW(10,$I771))*MAXIFS(Token!$C:$C,Token!$A:$A,$K771)&gt;0.01),$L771/86400+DATE(1970,1,1)+$G$6,)</f>
        <v/>
      </c>
      <c r="B771" s="27" t="str">
        <f t="shared" si="1"/>
        <v/>
      </c>
      <c r="C771" s="14" t="str">
        <f>IF($A771&lt;&gt;"",MINIFS(Merchant!$A:$A,Merchant!$B:$B,$G$2),)</f>
        <v/>
      </c>
      <c r="D771" s="14" t="str">
        <f t="shared" si="2"/>
        <v/>
      </c>
      <c r="E771" s="14" t="str">
        <f t="shared" si="3"/>
        <v/>
      </c>
      <c r="F771" s="7" t="str">
        <f>IF($A771&lt;&gt;"",MAXIFS(Token!$C:$C,Token!$A:$A,$D771),)</f>
        <v/>
      </c>
    </row>
    <row r="772">
      <c r="A772" s="39" t="str">
        <f>IF(AND($L772*1&gt;=$G$3,$L772*1&lt;=$G$4,$I772*$J772&gt;0,OR($I772&lt;&gt;$I773,$L772-$L773&gt;25),IF(ABS($I772)&gt;10,$I772/POW(10,$J772),$J772/POW(10,$I772))*MAXIFS(Token!$C:$C,Token!$A:$A,$K772)&gt;0.01),$L772/86400+DATE(1970,1,1)+$G$6,)</f>
        <v/>
      </c>
      <c r="B772" s="27" t="str">
        <f t="shared" si="1"/>
        <v/>
      </c>
      <c r="C772" s="14" t="str">
        <f>IF($A772&lt;&gt;"",MINIFS(Merchant!$A:$A,Merchant!$B:$B,$G$2),)</f>
        <v/>
      </c>
      <c r="D772" s="14" t="str">
        <f t="shared" si="2"/>
        <v/>
      </c>
      <c r="E772" s="14" t="str">
        <f t="shared" si="3"/>
        <v/>
      </c>
      <c r="F772" s="7" t="str">
        <f>IF($A772&lt;&gt;"",MAXIFS(Token!$C:$C,Token!$A:$A,$D772),)</f>
        <v/>
      </c>
    </row>
    <row r="773">
      <c r="A773" s="39" t="str">
        <f>IF(AND($L773*1&gt;=$G$3,$L773*1&lt;=$G$4,$I773*$J773&gt;0,OR($I773&lt;&gt;$I774,$L773-$L774&gt;25),IF(ABS($I773)&gt;10,$I773/POW(10,$J773),$J773/POW(10,$I773))*MAXIFS(Token!$C:$C,Token!$A:$A,$K773)&gt;0.01),$L773/86400+DATE(1970,1,1)+$G$6,)</f>
        <v/>
      </c>
      <c r="B773" s="27" t="str">
        <f t="shared" si="1"/>
        <v/>
      </c>
      <c r="C773" s="14" t="str">
        <f>IF($A773&lt;&gt;"",MINIFS(Merchant!$A:$A,Merchant!$B:$B,$G$2),)</f>
        <v/>
      </c>
      <c r="D773" s="14" t="str">
        <f t="shared" si="2"/>
        <v/>
      </c>
      <c r="E773" s="14" t="str">
        <f t="shared" si="3"/>
        <v/>
      </c>
      <c r="F773" s="7" t="str">
        <f>IF($A773&lt;&gt;"",MAXIFS(Token!$C:$C,Token!$A:$A,$D773),)</f>
        <v/>
      </c>
    </row>
    <row r="774">
      <c r="A774" s="39" t="str">
        <f>IF(AND($L774*1&gt;=$G$3,$L774*1&lt;=$G$4,$I774*$J774&gt;0,OR($I774&lt;&gt;$I775,$L774-$L775&gt;25),IF(ABS($I774)&gt;10,$I774/POW(10,$J774),$J774/POW(10,$I774))*MAXIFS(Token!$C:$C,Token!$A:$A,$K774)&gt;0.01),$L774/86400+DATE(1970,1,1)+$G$6,)</f>
        <v/>
      </c>
      <c r="B774" s="27" t="str">
        <f t="shared" si="1"/>
        <v/>
      </c>
      <c r="C774" s="14" t="str">
        <f>IF($A774&lt;&gt;"",MINIFS(Merchant!$A:$A,Merchant!$B:$B,$G$2),)</f>
        <v/>
      </c>
      <c r="D774" s="14" t="str">
        <f t="shared" si="2"/>
        <v/>
      </c>
      <c r="E774" s="14" t="str">
        <f t="shared" si="3"/>
        <v/>
      </c>
      <c r="F774" s="7" t="str">
        <f>IF($A774&lt;&gt;"",MAXIFS(Token!$C:$C,Token!$A:$A,$D774),)</f>
        <v/>
      </c>
    </row>
    <row r="775">
      <c r="A775" s="39" t="str">
        <f>IF(AND($L775*1&gt;=$G$3,$L775*1&lt;=$G$4,$I775*$J775&gt;0,OR($I775&lt;&gt;$I776,$L775-$L776&gt;25),IF(ABS($I775)&gt;10,$I775/POW(10,$J775),$J775/POW(10,$I775))*MAXIFS(Token!$C:$C,Token!$A:$A,$K775)&gt;0.01),$L775/86400+DATE(1970,1,1)+$G$6,)</f>
        <v/>
      </c>
      <c r="B775" s="27" t="str">
        <f t="shared" si="1"/>
        <v/>
      </c>
      <c r="C775" s="14" t="str">
        <f>IF($A775&lt;&gt;"",MINIFS(Merchant!$A:$A,Merchant!$B:$B,$G$2),)</f>
        <v/>
      </c>
      <c r="D775" s="14" t="str">
        <f t="shared" si="2"/>
        <v/>
      </c>
      <c r="E775" s="14" t="str">
        <f t="shared" si="3"/>
        <v/>
      </c>
      <c r="F775" s="7" t="str">
        <f>IF($A775&lt;&gt;"",MAXIFS(Token!$C:$C,Token!$A:$A,$D775),)</f>
        <v/>
      </c>
    </row>
    <row r="776">
      <c r="A776" s="39" t="str">
        <f>IF(AND($L776*1&gt;=$G$3,$L776*1&lt;=$G$4,$I776*$J776&gt;0,OR($I776&lt;&gt;$I777,$L776-$L777&gt;25),IF(ABS($I776)&gt;10,$I776/POW(10,$J776),$J776/POW(10,$I776))*MAXIFS(Token!$C:$C,Token!$A:$A,$K776)&gt;0.01),$L776/86400+DATE(1970,1,1)+$G$6,)</f>
        <v/>
      </c>
      <c r="B776" s="27" t="str">
        <f t="shared" si="1"/>
        <v/>
      </c>
      <c r="C776" s="14" t="str">
        <f>IF($A776&lt;&gt;"",MINIFS(Merchant!$A:$A,Merchant!$B:$B,$G$2),)</f>
        <v/>
      </c>
      <c r="D776" s="14" t="str">
        <f t="shared" si="2"/>
        <v/>
      </c>
      <c r="E776" s="14" t="str">
        <f t="shared" si="3"/>
        <v/>
      </c>
      <c r="F776" s="7" t="str">
        <f>IF($A776&lt;&gt;"",MAXIFS(Token!$C:$C,Token!$A:$A,$D776),)</f>
        <v/>
      </c>
    </row>
    <row r="777">
      <c r="A777" s="39" t="str">
        <f>IF(AND($L777*1&gt;=$G$3,$L777*1&lt;=$G$4,$I777*$J777&gt;0,OR($I777&lt;&gt;$I778,$L777-$L778&gt;25),IF(ABS($I777)&gt;10,$I777/POW(10,$J777),$J777/POW(10,$I777))*MAXIFS(Token!$C:$C,Token!$A:$A,$K777)&gt;0.01),$L777/86400+DATE(1970,1,1)+$G$6,)</f>
        <v/>
      </c>
      <c r="B777" s="27" t="str">
        <f t="shared" si="1"/>
        <v/>
      </c>
      <c r="C777" s="14" t="str">
        <f>IF($A777&lt;&gt;"",MINIFS(Merchant!$A:$A,Merchant!$B:$B,$G$2),)</f>
        <v/>
      </c>
      <c r="D777" s="14" t="str">
        <f t="shared" si="2"/>
        <v/>
      </c>
      <c r="E777" s="14" t="str">
        <f t="shared" si="3"/>
        <v/>
      </c>
      <c r="F777" s="7" t="str">
        <f>IF($A777&lt;&gt;"",MAXIFS(Token!$C:$C,Token!$A:$A,$D777),)</f>
        <v/>
      </c>
    </row>
    <row r="778">
      <c r="A778" s="39" t="str">
        <f>IF(AND($L778*1&gt;=$G$3,$L778*1&lt;=$G$4,$I778*$J778&gt;0,OR($I778&lt;&gt;$I779,$L778-$L779&gt;25),IF(ABS($I778)&gt;10,$I778/POW(10,$J778),$J778/POW(10,$I778))*MAXIFS(Token!$C:$C,Token!$A:$A,$K778)&gt;0.01),$L778/86400+DATE(1970,1,1)+$G$6,)</f>
        <v/>
      </c>
      <c r="B778" s="27" t="str">
        <f t="shared" si="1"/>
        <v/>
      </c>
      <c r="C778" s="14" t="str">
        <f>IF($A778&lt;&gt;"",MINIFS(Merchant!$A:$A,Merchant!$B:$B,$G$2),)</f>
        <v/>
      </c>
      <c r="D778" s="14" t="str">
        <f t="shared" si="2"/>
        <v/>
      </c>
      <c r="E778" s="14" t="str">
        <f t="shared" si="3"/>
        <v/>
      </c>
      <c r="F778" s="7" t="str">
        <f>IF($A778&lt;&gt;"",MAXIFS(Token!$C:$C,Token!$A:$A,$D778),)</f>
        <v/>
      </c>
    </row>
    <row r="779">
      <c r="A779" s="39" t="str">
        <f>IF(AND($L779*1&gt;=$G$3,$L779*1&lt;=$G$4,$I779*$J779&gt;0,OR($I779&lt;&gt;$I780,$L779-$L780&gt;25),IF(ABS($I779)&gt;10,$I779/POW(10,$J779),$J779/POW(10,$I779))*MAXIFS(Token!$C:$C,Token!$A:$A,$K779)&gt;0.01),$L779/86400+DATE(1970,1,1)+$G$6,)</f>
        <v/>
      </c>
      <c r="B779" s="27" t="str">
        <f t="shared" si="1"/>
        <v/>
      </c>
      <c r="C779" s="14" t="str">
        <f>IF($A779&lt;&gt;"",MINIFS(Merchant!$A:$A,Merchant!$B:$B,$G$2),)</f>
        <v/>
      </c>
      <c r="D779" s="14" t="str">
        <f t="shared" si="2"/>
        <v/>
      </c>
      <c r="E779" s="14" t="str">
        <f t="shared" si="3"/>
        <v/>
      </c>
      <c r="F779" s="7" t="str">
        <f>IF($A779&lt;&gt;"",MAXIFS(Token!$C:$C,Token!$A:$A,$D779),)</f>
        <v/>
      </c>
    </row>
    <row r="780">
      <c r="A780" s="39" t="str">
        <f>IF(AND($L780*1&gt;=$G$3,$L780*1&lt;=$G$4,$I780*$J780&gt;0,OR($I780&lt;&gt;$I781,$L780-$L781&gt;25),IF(ABS($I780)&gt;10,$I780/POW(10,$J780),$J780/POW(10,$I780))*MAXIFS(Token!$C:$C,Token!$A:$A,$K780)&gt;0.01),$L780/86400+DATE(1970,1,1)+$G$6,)</f>
        <v/>
      </c>
      <c r="B780" s="27" t="str">
        <f t="shared" si="1"/>
        <v/>
      </c>
      <c r="C780" s="14" t="str">
        <f>IF($A780&lt;&gt;"",MINIFS(Merchant!$A:$A,Merchant!$B:$B,$G$2),)</f>
        <v/>
      </c>
      <c r="D780" s="14" t="str">
        <f t="shared" si="2"/>
        <v/>
      </c>
      <c r="E780" s="14" t="str">
        <f t="shared" si="3"/>
        <v/>
      </c>
      <c r="F780" s="7" t="str">
        <f>IF($A780&lt;&gt;"",MAXIFS(Token!$C:$C,Token!$A:$A,$D780),)</f>
        <v/>
      </c>
    </row>
    <row r="781">
      <c r="A781" s="39" t="str">
        <f>IF(AND($L781*1&gt;=$G$3,$L781*1&lt;=$G$4,$I781*$J781&gt;0,OR($I781&lt;&gt;$I782,$L781-$L782&gt;25),IF(ABS($I781)&gt;10,$I781/POW(10,$J781),$J781/POW(10,$I781))*MAXIFS(Token!$C:$C,Token!$A:$A,$K781)&gt;0.01),$L781/86400+DATE(1970,1,1)+$G$6,)</f>
        <v/>
      </c>
      <c r="B781" s="27" t="str">
        <f t="shared" si="1"/>
        <v/>
      </c>
      <c r="C781" s="14" t="str">
        <f>IF($A781&lt;&gt;"",MINIFS(Merchant!$A:$A,Merchant!$B:$B,$G$2),)</f>
        <v/>
      </c>
      <c r="D781" s="14" t="str">
        <f t="shared" si="2"/>
        <v/>
      </c>
      <c r="E781" s="14" t="str">
        <f t="shared" si="3"/>
        <v/>
      </c>
      <c r="F781" s="7" t="str">
        <f>IF($A781&lt;&gt;"",MAXIFS(Token!$C:$C,Token!$A:$A,$D781),)</f>
        <v/>
      </c>
    </row>
    <row r="782">
      <c r="A782" s="39" t="str">
        <f>IF(AND($L782*1&gt;=$G$3,$L782*1&lt;=$G$4,$I782*$J782&gt;0,OR($I782&lt;&gt;$I783,$L782-$L783&gt;25),IF(ABS($I782)&gt;10,$I782/POW(10,$J782),$J782/POW(10,$I782))*MAXIFS(Token!$C:$C,Token!$A:$A,$K782)&gt;0.01),$L782/86400+DATE(1970,1,1)+$G$6,)</f>
        <v/>
      </c>
      <c r="B782" s="27" t="str">
        <f t="shared" si="1"/>
        <v/>
      </c>
      <c r="C782" s="14" t="str">
        <f>IF($A782&lt;&gt;"",MINIFS(Merchant!$A:$A,Merchant!$B:$B,$G$2),)</f>
        <v/>
      </c>
      <c r="D782" s="14" t="str">
        <f t="shared" si="2"/>
        <v/>
      </c>
      <c r="E782" s="14" t="str">
        <f t="shared" si="3"/>
        <v/>
      </c>
      <c r="F782" s="7" t="str">
        <f>IF($A782&lt;&gt;"",MAXIFS(Token!$C:$C,Token!$A:$A,$D782),)</f>
        <v/>
      </c>
    </row>
    <row r="783">
      <c r="A783" s="39" t="str">
        <f>IF(AND($L783*1&gt;=$G$3,$L783*1&lt;=$G$4,$I783*$J783&gt;0,OR($I783&lt;&gt;$I784,$L783-$L784&gt;25),IF(ABS($I783)&gt;10,$I783/POW(10,$J783),$J783/POW(10,$I783))*MAXIFS(Token!$C:$C,Token!$A:$A,$K783)&gt;0.01),$L783/86400+DATE(1970,1,1)+$G$6,)</f>
        <v/>
      </c>
      <c r="B783" s="27" t="str">
        <f t="shared" si="1"/>
        <v/>
      </c>
      <c r="C783" s="14" t="str">
        <f>IF($A783&lt;&gt;"",MINIFS(Merchant!$A:$A,Merchant!$B:$B,$G$2),)</f>
        <v/>
      </c>
      <c r="D783" s="14" t="str">
        <f t="shared" si="2"/>
        <v/>
      </c>
      <c r="E783" s="14" t="str">
        <f t="shared" si="3"/>
        <v/>
      </c>
      <c r="F783" s="7" t="str">
        <f>IF($A783&lt;&gt;"",MAXIFS(Token!$C:$C,Token!$A:$A,$D783),)</f>
        <v/>
      </c>
    </row>
    <row r="784">
      <c r="A784" s="39" t="str">
        <f>IF(AND($L784*1&gt;=$G$3,$L784*1&lt;=$G$4,$I784*$J784&gt;0,OR($I784&lt;&gt;$I785,$L784-$L785&gt;25),IF(ABS($I784)&gt;10,$I784/POW(10,$J784),$J784/POW(10,$I784))*MAXIFS(Token!$C:$C,Token!$A:$A,$K784)&gt;0.01),$L784/86400+DATE(1970,1,1)+$G$6,)</f>
        <v/>
      </c>
      <c r="B784" s="27" t="str">
        <f t="shared" si="1"/>
        <v/>
      </c>
      <c r="C784" s="14" t="str">
        <f>IF($A784&lt;&gt;"",MINIFS(Merchant!$A:$A,Merchant!$B:$B,$G$2),)</f>
        <v/>
      </c>
      <c r="D784" s="14" t="str">
        <f t="shared" si="2"/>
        <v/>
      </c>
      <c r="E784" s="14" t="str">
        <f t="shared" si="3"/>
        <v/>
      </c>
      <c r="F784" s="7" t="str">
        <f>IF($A784&lt;&gt;"",MAXIFS(Token!$C:$C,Token!$A:$A,$D784),)</f>
        <v/>
      </c>
    </row>
    <row r="785">
      <c r="A785" s="39" t="str">
        <f>IF(AND($L785*1&gt;=$G$3,$L785*1&lt;=$G$4,$I785*$J785&gt;0,OR($I785&lt;&gt;$I786,$L785-$L786&gt;25),IF(ABS($I785)&gt;10,$I785/POW(10,$J785),$J785/POW(10,$I785))*MAXIFS(Token!$C:$C,Token!$A:$A,$K785)&gt;0.01),$L785/86400+DATE(1970,1,1)+$G$6,)</f>
        <v/>
      </c>
      <c r="B785" s="27" t="str">
        <f t="shared" si="1"/>
        <v/>
      </c>
      <c r="C785" s="14" t="str">
        <f>IF($A785&lt;&gt;"",MINIFS(Merchant!$A:$A,Merchant!$B:$B,$G$2),)</f>
        <v/>
      </c>
      <c r="D785" s="14" t="str">
        <f t="shared" si="2"/>
        <v/>
      </c>
      <c r="E785" s="14" t="str">
        <f t="shared" si="3"/>
        <v/>
      </c>
      <c r="F785" s="7" t="str">
        <f>IF($A785&lt;&gt;"",MAXIFS(Token!$C:$C,Token!$A:$A,$D785),)</f>
        <v/>
      </c>
    </row>
    <row r="786">
      <c r="A786" s="39" t="str">
        <f>IF(AND($L786*1&gt;=$G$3,$L786*1&lt;=$G$4,$I786*$J786&gt;0,OR($I786&lt;&gt;$I787,$L786-$L787&gt;25),IF(ABS($I786)&gt;10,$I786/POW(10,$J786),$J786/POW(10,$I786))*MAXIFS(Token!$C:$C,Token!$A:$A,$K786)&gt;0.01),$L786/86400+DATE(1970,1,1)+$G$6,)</f>
        <v/>
      </c>
      <c r="B786" s="27" t="str">
        <f t="shared" si="1"/>
        <v/>
      </c>
      <c r="C786" s="14" t="str">
        <f>IF($A786&lt;&gt;"",MINIFS(Merchant!$A:$A,Merchant!$B:$B,$G$2),)</f>
        <v/>
      </c>
      <c r="D786" s="14" t="str">
        <f t="shared" si="2"/>
        <v/>
      </c>
      <c r="E786" s="14" t="str">
        <f t="shared" si="3"/>
        <v/>
      </c>
      <c r="F786" s="7" t="str">
        <f>IF($A786&lt;&gt;"",MAXIFS(Token!$C:$C,Token!$A:$A,$D786),)</f>
        <v/>
      </c>
    </row>
    <row r="787">
      <c r="A787" s="39" t="str">
        <f>IF(AND($L787*1&gt;=$G$3,$L787*1&lt;=$G$4,$I787*$J787&gt;0,OR($I787&lt;&gt;$I788,$L787-$L788&gt;25),IF(ABS($I787)&gt;10,$I787/POW(10,$J787),$J787/POW(10,$I787))*MAXIFS(Token!$C:$C,Token!$A:$A,$K787)&gt;0.01),$L787/86400+DATE(1970,1,1)+$G$6,)</f>
        <v/>
      </c>
      <c r="B787" s="27" t="str">
        <f t="shared" si="1"/>
        <v/>
      </c>
      <c r="C787" s="14" t="str">
        <f>IF($A787&lt;&gt;"",MINIFS(Merchant!$A:$A,Merchant!$B:$B,$G$2),)</f>
        <v/>
      </c>
      <c r="D787" s="14" t="str">
        <f t="shared" si="2"/>
        <v/>
      </c>
      <c r="E787" s="14" t="str">
        <f t="shared" si="3"/>
        <v/>
      </c>
      <c r="F787" s="7" t="str">
        <f>IF($A787&lt;&gt;"",MAXIFS(Token!$C:$C,Token!$A:$A,$D787),)</f>
        <v/>
      </c>
    </row>
    <row r="788">
      <c r="A788" s="39" t="str">
        <f>IF(AND($L788*1&gt;=$G$3,$L788*1&lt;=$G$4,$I788*$J788&gt;0,OR($I788&lt;&gt;$I789,$L788-$L789&gt;25),IF(ABS($I788)&gt;10,$I788/POW(10,$J788),$J788/POW(10,$I788))*MAXIFS(Token!$C:$C,Token!$A:$A,$K788)&gt;0.01),$L788/86400+DATE(1970,1,1)+$G$6,)</f>
        <v/>
      </c>
      <c r="B788" s="27" t="str">
        <f t="shared" si="1"/>
        <v/>
      </c>
      <c r="C788" s="14" t="str">
        <f>IF($A788&lt;&gt;"",MINIFS(Merchant!$A:$A,Merchant!$B:$B,$G$2),)</f>
        <v/>
      </c>
      <c r="D788" s="14" t="str">
        <f t="shared" si="2"/>
        <v/>
      </c>
      <c r="E788" s="14" t="str">
        <f t="shared" si="3"/>
        <v/>
      </c>
      <c r="F788" s="7" t="str">
        <f>IF($A788&lt;&gt;"",MAXIFS(Token!$C:$C,Token!$A:$A,$D788),)</f>
        <v/>
      </c>
    </row>
    <row r="789">
      <c r="A789" s="39" t="str">
        <f>IF(AND($L789*1&gt;=$G$3,$L789*1&lt;=$G$4,$I789*$J789&gt;0,OR($I789&lt;&gt;$I790,$L789-$L790&gt;25),IF(ABS($I789)&gt;10,$I789/POW(10,$J789),$J789/POW(10,$I789))*MAXIFS(Token!$C:$C,Token!$A:$A,$K789)&gt;0.01),$L789/86400+DATE(1970,1,1)+$G$6,)</f>
        <v/>
      </c>
      <c r="B789" s="27" t="str">
        <f t="shared" si="1"/>
        <v/>
      </c>
      <c r="C789" s="14" t="str">
        <f>IF($A789&lt;&gt;"",MINIFS(Merchant!$A:$A,Merchant!$B:$B,$G$2),)</f>
        <v/>
      </c>
      <c r="D789" s="14" t="str">
        <f t="shared" si="2"/>
        <v/>
      </c>
      <c r="E789" s="14" t="str">
        <f t="shared" si="3"/>
        <v/>
      </c>
      <c r="F789" s="7" t="str">
        <f>IF($A789&lt;&gt;"",MAXIFS(Token!$C:$C,Token!$A:$A,$D789),)</f>
        <v/>
      </c>
    </row>
    <row r="790">
      <c r="A790" s="39" t="str">
        <f>IF(AND($L790*1&gt;=$G$3,$L790*1&lt;=$G$4,$I790*$J790&gt;0,OR($I790&lt;&gt;$I791,$L790-$L791&gt;25),IF(ABS($I790)&gt;10,$I790/POW(10,$J790),$J790/POW(10,$I790))*MAXIFS(Token!$C:$C,Token!$A:$A,$K790)&gt;0.01),$L790/86400+DATE(1970,1,1)+$G$6,)</f>
        <v/>
      </c>
      <c r="B790" s="27" t="str">
        <f t="shared" si="1"/>
        <v/>
      </c>
      <c r="C790" s="14" t="str">
        <f>IF($A790&lt;&gt;"",MINIFS(Merchant!$A:$A,Merchant!$B:$B,$G$2),)</f>
        <v/>
      </c>
      <c r="D790" s="14" t="str">
        <f t="shared" si="2"/>
        <v/>
      </c>
      <c r="E790" s="14" t="str">
        <f t="shared" si="3"/>
        <v/>
      </c>
      <c r="F790" s="7" t="str">
        <f>IF($A790&lt;&gt;"",MAXIFS(Token!$C:$C,Token!$A:$A,$D790),)</f>
        <v/>
      </c>
    </row>
    <row r="791">
      <c r="A791" s="39" t="str">
        <f>IF(AND($L791*1&gt;=$G$3,$L791*1&lt;=$G$4,$I791*$J791&gt;0,OR($I791&lt;&gt;$I792,$L791-$L792&gt;25),IF(ABS($I791)&gt;10,$I791/POW(10,$J791),$J791/POW(10,$I791))*MAXIFS(Token!$C:$C,Token!$A:$A,$K791)&gt;0.01),$L791/86400+DATE(1970,1,1)+$G$6,)</f>
        <v/>
      </c>
      <c r="B791" s="27" t="str">
        <f t="shared" si="1"/>
        <v/>
      </c>
      <c r="C791" s="14" t="str">
        <f>IF($A791&lt;&gt;"",MINIFS(Merchant!$A:$A,Merchant!$B:$B,$G$2),)</f>
        <v/>
      </c>
      <c r="D791" s="14" t="str">
        <f t="shared" si="2"/>
        <v/>
      </c>
      <c r="E791" s="14" t="str">
        <f t="shared" si="3"/>
        <v/>
      </c>
      <c r="F791" s="7" t="str">
        <f>IF($A791&lt;&gt;"",MAXIFS(Token!$C:$C,Token!$A:$A,$D791),)</f>
        <v/>
      </c>
    </row>
    <row r="792">
      <c r="A792" s="39" t="str">
        <f>IF(AND($L792*1&gt;=$G$3,$L792*1&lt;=$G$4,$I792*$J792&gt;0,OR($I792&lt;&gt;$I793,$L792-$L793&gt;25),IF(ABS($I792)&gt;10,$I792/POW(10,$J792),$J792/POW(10,$I792))*MAXIFS(Token!$C:$C,Token!$A:$A,$K792)&gt;0.01),$L792/86400+DATE(1970,1,1)+$G$6,)</f>
        <v/>
      </c>
      <c r="B792" s="27" t="str">
        <f t="shared" si="1"/>
        <v/>
      </c>
      <c r="C792" s="14" t="str">
        <f>IF($A792&lt;&gt;"",MINIFS(Merchant!$A:$A,Merchant!$B:$B,$G$2),)</f>
        <v/>
      </c>
      <c r="D792" s="14" t="str">
        <f t="shared" si="2"/>
        <v/>
      </c>
      <c r="E792" s="14" t="str">
        <f t="shared" si="3"/>
        <v/>
      </c>
      <c r="F792" s="7" t="str">
        <f>IF($A792&lt;&gt;"",MAXIFS(Token!$C:$C,Token!$A:$A,$D792),)</f>
        <v/>
      </c>
    </row>
    <row r="793">
      <c r="A793" s="39" t="str">
        <f>IF(AND($L793*1&gt;=$G$3,$L793*1&lt;=$G$4,$I793*$J793&gt;0,OR($I793&lt;&gt;$I794,$L793-$L794&gt;25),IF(ABS($I793)&gt;10,$I793/POW(10,$J793),$J793/POW(10,$I793))*MAXIFS(Token!$C:$C,Token!$A:$A,$K793)&gt;0.01),$L793/86400+DATE(1970,1,1)+$G$6,)</f>
        <v/>
      </c>
      <c r="B793" s="27" t="str">
        <f t="shared" si="1"/>
        <v/>
      </c>
      <c r="C793" s="14" t="str">
        <f>IF($A793&lt;&gt;"",MINIFS(Merchant!$A:$A,Merchant!$B:$B,$G$2),)</f>
        <v/>
      </c>
      <c r="D793" s="14" t="str">
        <f t="shared" si="2"/>
        <v/>
      </c>
      <c r="E793" s="14" t="str">
        <f t="shared" si="3"/>
        <v/>
      </c>
      <c r="F793" s="7" t="str">
        <f>IF($A793&lt;&gt;"",MAXIFS(Token!$C:$C,Token!$A:$A,$D793),)</f>
        <v/>
      </c>
    </row>
    <row r="794">
      <c r="A794" s="39" t="str">
        <f>IF(AND($L794*1&gt;=$G$3,$L794*1&lt;=$G$4,$I794*$J794&gt;0,OR($I794&lt;&gt;$I795,$L794-$L795&gt;25),IF(ABS($I794)&gt;10,$I794/POW(10,$J794),$J794/POW(10,$I794))*MAXIFS(Token!$C:$C,Token!$A:$A,$K794)&gt;0.01),$L794/86400+DATE(1970,1,1)+$G$6,)</f>
        <v/>
      </c>
      <c r="B794" s="27" t="str">
        <f t="shared" si="1"/>
        <v/>
      </c>
      <c r="C794" s="14" t="str">
        <f>IF($A794&lt;&gt;"",MINIFS(Merchant!$A:$A,Merchant!$B:$B,$G$2),)</f>
        <v/>
      </c>
      <c r="D794" s="14" t="str">
        <f t="shared" si="2"/>
        <v/>
      </c>
      <c r="E794" s="14" t="str">
        <f t="shared" si="3"/>
        <v/>
      </c>
      <c r="F794" s="7" t="str">
        <f>IF($A794&lt;&gt;"",MAXIFS(Token!$C:$C,Token!$A:$A,$D794),)</f>
        <v/>
      </c>
    </row>
    <row r="795">
      <c r="A795" s="39" t="str">
        <f>IF(AND($L795*1&gt;=$G$3,$L795*1&lt;=$G$4,$I795*$J795&gt;0,OR($I795&lt;&gt;$I796,$L795-$L796&gt;25),IF(ABS($I795)&gt;10,$I795/POW(10,$J795),$J795/POW(10,$I795))*MAXIFS(Token!$C:$C,Token!$A:$A,$K795)&gt;0.01),$L795/86400+DATE(1970,1,1)+$G$6,)</f>
        <v/>
      </c>
      <c r="B795" s="27" t="str">
        <f t="shared" si="1"/>
        <v/>
      </c>
      <c r="C795" s="14" t="str">
        <f>IF($A795&lt;&gt;"",MINIFS(Merchant!$A:$A,Merchant!$B:$B,$G$2),)</f>
        <v/>
      </c>
      <c r="D795" s="14" t="str">
        <f t="shared" si="2"/>
        <v/>
      </c>
      <c r="E795" s="14" t="str">
        <f t="shared" si="3"/>
        <v/>
      </c>
      <c r="F795" s="7" t="str">
        <f>IF($A795&lt;&gt;"",MAXIFS(Token!$C:$C,Token!$A:$A,$D795),)</f>
        <v/>
      </c>
    </row>
    <row r="796">
      <c r="A796" s="39" t="str">
        <f>IF(AND($L796*1&gt;=$G$3,$L796*1&lt;=$G$4,$I796*$J796&gt;0,OR($I796&lt;&gt;$I797,$L796-$L797&gt;25),IF(ABS($I796)&gt;10,$I796/POW(10,$J796),$J796/POW(10,$I796))*MAXIFS(Token!$C:$C,Token!$A:$A,$K796)&gt;0.01),$L796/86400+DATE(1970,1,1)+$G$6,)</f>
        <v/>
      </c>
      <c r="B796" s="27" t="str">
        <f t="shared" si="1"/>
        <v/>
      </c>
      <c r="C796" s="14" t="str">
        <f>IF($A796&lt;&gt;"",MINIFS(Merchant!$A:$A,Merchant!$B:$B,$G$2),)</f>
        <v/>
      </c>
      <c r="D796" s="14" t="str">
        <f t="shared" si="2"/>
        <v/>
      </c>
      <c r="E796" s="14" t="str">
        <f t="shared" si="3"/>
        <v/>
      </c>
      <c r="F796" s="7" t="str">
        <f>IF($A796&lt;&gt;"",MAXIFS(Token!$C:$C,Token!$A:$A,$D796),)</f>
        <v/>
      </c>
    </row>
    <row r="797">
      <c r="A797" s="39" t="str">
        <f>IF(AND($L797*1&gt;=$G$3,$L797*1&lt;=$G$4,$I797*$J797&gt;0,OR($I797&lt;&gt;$I798,$L797-$L798&gt;25),IF(ABS($I797)&gt;10,$I797/POW(10,$J797),$J797/POW(10,$I797))*MAXIFS(Token!$C:$C,Token!$A:$A,$K797)&gt;0.01),$L797/86400+DATE(1970,1,1)+$G$6,)</f>
        <v/>
      </c>
      <c r="B797" s="27" t="str">
        <f t="shared" si="1"/>
        <v/>
      </c>
      <c r="C797" s="14" t="str">
        <f>IF($A797&lt;&gt;"",MINIFS(Merchant!$A:$A,Merchant!$B:$B,$G$2),)</f>
        <v/>
      </c>
      <c r="D797" s="14" t="str">
        <f t="shared" si="2"/>
        <v/>
      </c>
      <c r="E797" s="14" t="str">
        <f t="shared" si="3"/>
        <v/>
      </c>
      <c r="F797" s="7" t="str">
        <f>IF($A797&lt;&gt;"",MAXIFS(Token!$C:$C,Token!$A:$A,$D797),)</f>
        <v/>
      </c>
    </row>
    <row r="798">
      <c r="A798" s="39" t="str">
        <f>IF(AND($L798*1&gt;=$G$3,$L798*1&lt;=$G$4,$I798*$J798&gt;0,OR($I798&lt;&gt;$I799,$L798-$L799&gt;25),IF(ABS($I798)&gt;10,$I798/POW(10,$J798),$J798/POW(10,$I798))*MAXIFS(Token!$C:$C,Token!$A:$A,$K798)&gt;0.01),$L798/86400+DATE(1970,1,1)+$G$6,)</f>
        <v/>
      </c>
      <c r="B798" s="27" t="str">
        <f t="shared" si="1"/>
        <v/>
      </c>
      <c r="C798" s="14" t="str">
        <f>IF($A798&lt;&gt;"",MINIFS(Merchant!$A:$A,Merchant!$B:$B,$G$2),)</f>
        <v/>
      </c>
      <c r="D798" s="14" t="str">
        <f t="shared" si="2"/>
        <v/>
      </c>
      <c r="E798" s="14" t="str">
        <f t="shared" si="3"/>
        <v/>
      </c>
      <c r="F798" s="7" t="str">
        <f>IF($A798&lt;&gt;"",MAXIFS(Token!$C:$C,Token!$A:$A,$D798),)</f>
        <v/>
      </c>
    </row>
    <row r="799">
      <c r="A799" s="39" t="str">
        <f>IF(AND($L799*1&gt;=$G$3,$L799*1&lt;=$G$4,$I799*$J799&gt;0,OR($I799&lt;&gt;$I800,$L799-$L800&gt;25),IF(ABS($I799)&gt;10,$I799/POW(10,$J799),$J799/POW(10,$I799))*MAXIFS(Token!$C:$C,Token!$A:$A,$K799)&gt;0.01),$L799/86400+DATE(1970,1,1)+$G$6,)</f>
        <v/>
      </c>
      <c r="B799" s="27" t="str">
        <f t="shared" si="1"/>
        <v/>
      </c>
      <c r="C799" s="14" t="str">
        <f>IF($A799&lt;&gt;"",MINIFS(Merchant!$A:$A,Merchant!$B:$B,$G$2),)</f>
        <v/>
      </c>
      <c r="D799" s="14" t="str">
        <f t="shared" si="2"/>
        <v/>
      </c>
      <c r="E799" s="14" t="str">
        <f t="shared" si="3"/>
        <v/>
      </c>
      <c r="F799" s="7" t="str">
        <f>IF($A799&lt;&gt;"",MAXIFS(Token!$C:$C,Token!$A:$A,$D799),)</f>
        <v/>
      </c>
    </row>
    <row r="800">
      <c r="A800" s="39" t="str">
        <f>IF(AND($L800*1&gt;=$G$3,$L800*1&lt;=$G$4,$I800*$J800&gt;0,OR($I800&lt;&gt;$I801,$L800-$L801&gt;25),IF(ABS($I800)&gt;10,$I800/POW(10,$J800),$J800/POW(10,$I800))*MAXIFS(Token!$C:$C,Token!$A:$A,$K800)&gt;0.01),$L800/86400+DATE(1970,1,1)+$G$6,)</f>
        <v/>
      </c>
      <c r="B800" s="27" t="str">
        <f t="shared" si="1"/>
        <v/>
      </c>
      <c r="C800" s="14" t="str">
        <f>IF($A800&lt;&gt;"",MINIFS(Merchant!$A:$A,Merchant!$B:$B,$G$2),)</f>
        <v/>
      </c>
      <c r="D800" s="14" t="str">
        <f t="shared" si="2"/>
        <v/>
      </c>
      <c r="E800" s="14" t="str">
        <f t="shared" si="3"/>
        <v/>
      </c>
      <c r="F800" s="7" t="str">
        <f>IF($A800&lt;&gt;"",MAXIFS(Token!$C:$C,Token!$A:$A,$D800),)</f>
        <v/>
      </c>
    </row>
    <row r="801">
      <c r="A801" s="39" t="str">
        <f>IF(AND($L801*1&gt;=$G$3,$L801*1&lt;=$G$4,$I801*$J801&gt;0,OR($I801&lt;&gt;$I802,$L801-$L802&gt;25),IF(ABS($I801)&gt;10,$I801/POW(10,$J801),$J801/POW(10,$I801))*MAXIFS(Token!$C:$C,Token!$A:$A,$K801)&gt;0.01),$L801/86400+DATE(1970,1,1)+$G$6,)</f>
        <v/>
      </c>
      <c r="B801" s="27" t="str">
        <f t="shared" si="1"/>
        <v/>
      </c>
      <c r="C801" s="14" t="str">
        <f>IF($A801&lt;&gt;"",MINIFS(Merchant!$A:$A,Merchant!$B:$B,$G$2),)</f>
        <v/>
      </c>
      <c r="D801" s="14" t="str">
        <f t="shared" si="2"/>
        <v/>
      </c>
      <c r="E801" s="14" t="str">
        <f t="shared" si="3"/>
        <v/>
      </c>
      <c r="F801" s="7" t="str">
        <f>IF($A801&lt;&gt;"",MAXIFS(Token!$C:$C,Token!$A:$A,$D801),)</f>
        <v/>
      </c>
    </row>
    <row r="802">
      <c r="A802" s="39" t="str">
        <f>IF(AND($L802*1&gt;=$G$3,$L802*1&lt;=$G$4,$I802*$J802&gt;0,OR($I802&lt;&gt;$I803,$L802-$L803&gt;25),IF(ABS($I802)&gt;10,$I802/POW(10,$J802),$J802/POW(10,$I802))*MAXIFS(Token!$C:$C,Token!$A:$A,$K802)&gt;0.01),$L802/86400+DATE(1970,1,1)+$G$6,)</f>
        <v/>
      </c>
      <c r="B802" s="27" t="str">
        <f t="shared" si="1"/>
        <v/>
      </c>
      <c r="C802" s="14" t="str">
        <f>IF($A802&lt;&gt;"",MINIFS(Merchant!$A:$A,Merchant!$B:$B,$G$2),)</f>
        <v/>
      </c>
      <c r="D802" s="14" t="str">
        <f t="shared" si="2"/>
        <v/>
      </c>
      <c r="E802" s="14" t="str">
        <f t="shared" si="3"/>
        <v/>
      </c>
      <c r="F802" s="7" t="str">
        <f>IF($A802&lt;&gt;"",MAXIFS(Token!$C:$C,Token!$A:$A,$D802),)</f>
        <v/>
      </c>
    </row>
    <row r="803">
      <c r="A803" s="39" t="str">
        <f>IF(AND($L803*1&gt;=$G$3,$L803*1&lt;=$G$4,$I803*$J803&gt;0,OR($I803&lt;&gt;$I804,$L803-$L804&gt;25),IF(ABS($I803)&gt;10,$I803/POW(10,$J803),$J803/POW(10,$I803))*MAXIFS(Token!$C:$C,Token!$A:$A,$K803)&gt;0.01),$L803/86400+DATE(1970,1,1)+$G$6,)</f>
        <v/>
      </c>
      <c r="B803" s="27" t="str">
        <f t="shared" si="1"/>
        <v/>
      </c>
      <c r="C803" s="14" t="str">
        <f>IF($A803&lt;&gt;"",MINIFS(Merchant!$A:$A,Merchant!$B:$B,$G$2),)</f>
        <v/>
      </c>
      <c r="D803" s="14" t="str">
        <f t="shared" si="2"/>
        <v/>
      </c>
      <c r="E803" s="14" t="str">
        <f t="shared" si="3"/>
        <v/>
      </c>
      <c r="F803" s="7" t="str">
        <f>IF($A803&lt;&gt;"",MAXIFS(Token!$C:$C,Token!$A:$A,$D803),)</f>
        <v/>
      </c>
    </row>
    <row r="804">
      <c r="A804" s="39" t="str">
        <f>IF(AND($L804*1&gt;=$G$3,$L804*1&lt;=$G$4,$I804*$J804&gt;0,OR($I804&lt;&gt;$I805,$L804-$L805&gt;25),IF(ABS($I804)&gt;10,$I804/POW(10,$J804),$J804/POW(10,$I804))*MAXIFS(Token!$C:$C,Token!$A:$A,$K804)&gt;0.01),$L804/86400+DATE(1970,1,1)+$G$6,)</f>
        <v/>
      </c>
      <c r="B804" s="27" t="str">
        <f t="shared" si="1"/>
        <v/>
      </c>
      <c r="C804" s="14" t="str">
        <f>IF($A804&lt;&gt;"",MINIFS(Merchant!$A:$A,Merchant!$B:$B,$G$2),)</f>
        <v/>
      </c>
      <c r="D804" s="14" t="str">
        <f t="shared" si="2"/>
        <v/>
      </c>
      <c r="E804" s="14" t="str">
        <f t="shared" si="3"/>
        <v/>
      </c>
      <c r="F804" s="7" t="str">
        <f>IF($A804&lt;&gt;"",MAXIFS(Token!$C:$C,Token!$A:$A,$D804),)</f>
        <v/>
      </c>
    </row>
    <row r="805">
      <c r="A805" s="39" t="str">
        <f>IF(AND($L805*1&gt;=$G$3,$L805*1&lt;=$G$4,$I805*$J805&gt;0,OR($I805&lt;&gt;$I806,$L805-$L806&gt;25),IF(ABS($I805)&gt;10,$I805/POW(10,$J805),$J805/POW(10,$I805))*MAXIFS(Token!$C:$C,Token!$A:$A,$K805)&gt;0.01),$L805/86400+DATE(1970,1,1)+$G$6,)</f>
        <v/>
      </c>
      <c r="B805" s="27" t="str">
        <f t="shared" si="1"/>
        <v/>
      </c>
      <c r="C805" s="14" t="str">
        <f>IF($A805&lt;&gt;"",MINIFS(Merchant!$A:$A,Merchant!$B:$B,$G$2),)</f>
        <v/>
      </c>
      <c r="D805" s="14" t="str">
        <f t="shared" si="2"/>
        <v/>
      </c>
      <c r="E805" s="14" t="str">
        <f t="shared" si="3"/>
        <v/>
      </c>
      <c r="F805" s="7" t="str">
        <f>IF($A805&lt;&gt;"",MAXIFS(Token!$C:$C,Token!$A:$A,$D805),)</f>
        <v/>
      </c>
    </row>
    <row r="806">
      <c r="A806" s="39" t="str">
        <f>IF(AND($L806*1&gt;=$G$3,$L806*1&lt;=$G$4,$I806*$J806&gt;0,OR($I806&lt;&gt;$I807,$L806-$L807&gt;25),IF(ABS($I806)&gt;10,$I806/POW(10,$J806),$J806/POW(10,$I806))*MAXIFS(Token!$C:$C,Token!$A:$A,$K806)&gt;0.01),$L806/86400+DATE(1970,1,1)+$G$6,)</f>
        <v/>
      </c>
      <c r="B806" s="27" t="str">
        <f t="shared" si="1"/>
        <v/>
      </c>
      <c r="C806" s="14" t="str">
        <f>IF($A806&lt;&gt;"",MINIFS(Merchant!$A:$A,Merchant!$B:$B,$G$2),)</f>
        <v/>
      </c>
      <c r="D806" s="14" t="str">
        <f t="shared" si="2"/>
        <v/>
      </c>
      <c r="E806" s="14" t="str">
        <f t="shared" si="3"/>
        <v/>
      </c>
      <c r="F806" s="7" t="str">
        <f>IF($A806&lt;&gt;"",MAXIFS(Token!$C:$C,Token!$A:$A,$D806),)</f>
        <v/>
      </c>
    </row>
    <row r="807">
      <c r="A807" s="39" t="str">
        <f>IF(AND($L807*1&gt;=$G$3,$L807*1&lt;=$G$4,$I807*$J807&gt;0,OR($I807&lt;&gt;$I808,$L807-$L808&gt;25),IF(ABS($I807)&gt;10,$I807/POW(10,$J807),$J807/POW(10,$I807))*MAXIFS(Token!$C:$C,Token!$A:$A,$K807)&gt;0.01),$L807/86400+DATE(1970,1,1)+$G$6,)</f>
        <v/>
      </c>
      <c r="B807" s="27" t="str">
        <f t="shared" si="1"/>
        <v/>
      </c>
      <c r="C807" s="14" t="str">
        <f>IF($A807&lt;&gt;"",MINIFS(Merchant!$A:$A,Merchant!$B:$B,$G$2),)</f>
        <v/>
      </c>
      <c r="D807" s="14" t="str">
        <f t="shared" si="2"/>
        <v/>
      </c>
      <c r="E807" s="14" t="str">
        <f t="shared" si="3"/>
        <v/>
      </c>
      <c r="F807" s="7" t="str">
        <f>IF($A807&lt;&gt;"",MAXIFS(Token!$C:$C,Token!$A:$A,$D807),)</f>
        <v/>
      </c>
    </row>
    <row r="808">
      <c r="A808" s="39" t="str">
        <f>IF(AND($L808*1&gt;=$G$3,$L808*1&lt;=$G$4,$I808*$J808&gt;0,OR($I808&lt;&gt;$I809,$L808-$L809&gt;25),IF(ABS($I808)&gt;10,$I808/POW(10,$J808),$J808/POW(10,$I808))*MAXIFS(Token!$C:$C,Token!$A:$A,$K808)&gt;0.01),$L808/86400+DATE(1970,1,1)+$G$6,)</f>
        <v/>
      </c>
      <c r="B808" s="27" t="str">
        <f t="shared" si="1"/>
        <v/>
      </c>
      <c r="C808" s="14" t="str">
        <f>IF($A808&lt;&gt;"",MINIFS(Merchant!$A:$A,Merchant!$B:$B,$G$2),)</f>
        <v/>
      </c>
      <c r="D808" s="14" t="str">
        <f t="shared" si="2"/>
        <v/>
      </c>
      <c r="E808" s="14" t="str">
        <f t="shared" si="3"/>
        <v/>
      </c>
      <c r="F808" s="7" t="str">
        <f>IF($A808&lt;&gt;"",MAXIFS(Token!$C:$C,Token!$A:$A,$D808),)</f>
        <v/>
      </c>
    </row>
    <row r="809">
      <c r="A809" s="39" t="str">
        <f>IF(AND($L809*1&gt;=$G$3,$L809*1&lt;=$G$4,$I809*$J809&gt;0,OR($I809&lt;&gt;$I810,$L809-$L810&gt;25),IF(ABS($I809)&gt;10,$I809/POW(10,$J809),$J809/POW(10,$I809))*MAXIFS(Token!$C:$C,Token!$A:$A,$K809)&gt;0.01),$L809/86400+DATE(1970,1,1)+$G$6,)</f>
        <v/>
      </c>
      <c r="B809" s="27" t="str">
        <f t="shared" si="1"/>
        <v/>
      </c>
      <c r="C809" s="14" t="str">
        <f>IF($A809&lt;&gt;"",MINIFS(Merchant!$A:$A,Merchant!$B:$B,$G$2),)</f>
        <v/>
      </c>
      <c r="D809" s="14" t="str">
        <f t="shared" si="2"/>
        <v/>
      </c>
      <c r="E809" s="14" t="str">
        <f t="shared" si="3"/>
        <v/>
      </c>
      <c r="F809" s="7" t="str">
        <f>IF($A809&lt;&gt;"",MAXIFS(Token!$C:$C,Token!$A:$A,$D809),)</f>
        <v/>
      </c>
    </row>
    <row r="810">
      <c r="A810" s="39" t="str">
        <f>IF(AND($L810*1&gt;=$G$3,$L810*1&lt;=$G$4,$I810*$J810&gt;0,OR($I810&lt;&gt;$I811,$L810-$L811&gt;25),IF(ABS($I810)&gt;10,$I810/POW(10,$J810),$J810/POW(10,$I810))*MAXIFS(Token!$C:$C,Token!$A:$A,$K810)&gt;0.01),$L810/86400+DATE(1970,1,1)+$G$6,)</f>
        <v/>
      </c>
      <c r="B810" s="27" t="str">
        <f t="shared" si="1"/>
        <v/>
      </c>
      <c r="C810" s="14" t="str">
        <f>IF($A810&lt;&gt;"",MINIFS(Merchant!$A:$A,Merchant!$B:$B,$G$2),)</f>
        <v/>
      </c>
      <c r="D810" s="14" t="str">
        <f t="shared" si="2"/>
        <v/>
      </c>
      <c r="E810" s="14" t="str">
        <f t="shared" si="3"/>
        <v/>
      </c>
      <c r="F810" s="7" t="str">
        <f>IF($A810&lt;&gt;"",MAXIFS(Token!$C:$C,Token!$A:$A,$D810),)</f>
        <v/>
      </c>
    </row>
    <row r="811">
      <c r="A811" s="39" t="str">
        <f>IF(AND($L811*1&gt;=$G$3,$L811*1&lt;=$G$4,$I811*$J811&gt;0,OR($I811&lt;&gt;$I812,$L811-$L812&gt;25),IF(ABS($I811)&gt;10,$I811/POW(10,$J811),$J811/POW(10,$I811))*MAXIFS(Token!$C:$C,Token!$A:$A,$K811)&gt;0.01),$L811/86400+DATE(1970,1,1)+$G$6,)</f>
        <v/>
      </c>
      <c r="B811" s="27" t="str">
        <f t="shared" si="1"/>
        <v/>
      </c>
      <c r="C811" s="14" t="str">
        <f>IF($A811&lt;&gt;"",MINIFS(Merchant!$A:$A,Merchant!$B:$B,$G$2),)</f>
        <v/>
      </c>
      <c r="D811" s="14" t="str">
        <f t="shared" si="2"/>
        <v/>
      </c>
      <c r="E811" s="14" t="str">
        <f t="shared" si="3"/>
        <v/>
      </c>
      <c r="F811" s="7" t="str">
        <f>IF($A811&lt;&gt;"",MAXIFS(Token!$C:$C,Token!$A:$A,$D811),)</f>
        <v/>
      </c>
    </row>
    <row r="812">
      <c r="A812" s="39" t="str">
        <f>IF(AND($L812*1&gt;=$G$3,$L812*1&lt;=$G$4,$I812*$J812&gt;0,OR($I812&lt;&gt;$I813,$L812-$L813&gt;25),IF(ABS($I812)&gt;10,$I812/POW(10,$J812),$J812/POW(10,$I812))*MAXIFS(Token!$C:$C,Token!$A:$A,$K812)&gt;0.01),$L812/86400+DATE(1970,1,1)+$G$6,)</f>
        <v/>
      </c>
      <c r="B812" s="27" t="str">
        <f t="shared" si="1"/>
        <v/>
      </c>
      <c r="C812" s="14" t="str">
        <f>IF($A812&lt;&gt;"",MINIFS(Merchant!$A:$A,Merchant!$B:$B,$G$2),)</f>
        <v/>
      </c>
      <c r="D812" s="14" t="str">
        <f t="shared" si="2"/>
        <v/>
      </c>
      <c r="E812" s="14" t="str">
        <f t="shared" si="3"/>
        <v/>
      </c>
      <c r="F812" s="7" t="str">
        <f>IF($A812&lt;&gt;"",MAXIFS(Token!$C:$C,Token!$A:$A,$D812),)</f>
        <v/>
      </c>
    </row>
    <row r="813">
      <c r="A813" s="39" t="str">
        <f>IF(AND($L813*1&gt;=$G$3,$L813*1&lt;=$G$4,$I813*$J813&gt;0,OR($I813&lt;&gt;$I814,$L813-$L814&gt;25),IF(ABS($I813)&gt;10,$I813/POW(10,$J813),$J813/POW(10,$I813))*MAXIFS(Token!$C:$C,Token!$A:$A,$K813)&gt;0.01),$L813/86400+DATE(1970,1,1)+$G$6,)</f>
        <v/>
      </c>
      <c r="B813" s="27" t="str">
        <f t="shared" si="1"/>
        <v/>
      </c>
      <c r="C813" s="14" t="str">
        <f>IF($A813&lt;&gt;"",MINIFS(Merchant!$A:$A,Merchant!$B:$B,$G$2),)</f>
        <v/>
      </c>
      <c r="D813" s="14" t="str">
        <f t="shared" si="2"/>
        <v/>
      </c>
      <c r="E813" s="14" t="str">
        <f t="shared" si="3"/>
        <v/>
      </c>
      <c r="F813" s="7" t="str">
        <f>IF($A813&lt;&gt;"",MAXIFS(Token!$C:$C,Token!$A:$A,$D813),)</f>
        <v/>
      </c>
    </row>
    <row r="814">
      <c r="A814" s="39" t="str">
        <f>IF(AND($L814*1&gt;=$G$3,$L814*1&lt;=$G$4,$I814*$J814&gt;0,OR($I814&lt;&gt;$I815,$L814-$L815&gt;25),IF(ABS($I814)&gt;10,$I814/POW(10,$J814),$J814/POW(10,$I814))*MAXIFS(Token!$C:$C,Token!$A:$A,$K814)&gt;0.01),$L814/86400+DATE(1970,1,1)+$G$6,)</f>
        <v/>
      </c>
      <c r="B814" s="27" t="str">
        <f t="shared" si="1"/>
        <v/>
      </c>
      <c r="C814" s="14" t="str">
        <f>IF($A814&lt;&gt;"",MINIFS(Merchant!$A:$A,Merchant!$B:$B,$G$2),)</f>
        <v/>
      </c>
      <c r="D814" s="14" t="str">
        <f t="shared" si="2"/>
        <v/>
      </c>
      <c r="E814" s="14" t="str">
        <f t="shared" si="3"/>
        <v/>
      </c>
      <c r="F814" s="7" t="str">
        <f>IF($A814&lt;&gt;"",MAXIFS(Token!$C:$C,Token!$A:$A,$D814),)</f>
        <v/>
      </c>
    </row>
    <row r="815">
      <c r="A815" s="39" t="str">
        <f>IF(AND($L815*1&gt;=$G$3,$L815*1&lt;=$G$4,$I815*$J815&gt;0,OR($I815&lt;&gt;$I816,$L815-$L816&gt;25),IF(ABS($I815)&gt;10,$I815/POW(10,$J815),$J815/POW(10,$I815))*MAXIFS(Token!$C:$C,Token!$A:$A,$K815)&gt;0.01),$L815/86400+DATE(1970,1,1)+$G$6,)</f>
        <v/>
      </c>
      <c r="B815" s="27" t="str">
        <f t="shared" si="1"/>
        <v/>
      </c>
      <c r="C815" s="14" t="str">
        <f>IF($A815&lt;&gt;"",MINIFS(Merchant!$A:$A,Merchant!$B:$B,$G$2),)</f>
        <v/>
      </c>
      <c r="D815" s="14" t="str">
        <f t="shared" si="2"/>
        <v/>
      </c>
      <c r="E815" s="14" t="str">
        <f t="shared" si="3"/>
        <v/>
      </c>
      <c r="F815" s="7" t="str">
        <f>IF($A815&lt;&gt;"",MAXIFS(Token!$C:$C,Token!$A:$A,$D815),)</f>
        <v/>
      </c>
    </row>
    <row r="816">
      <c r="A816" s="39" t="str">
        <f>IF(AND($L816*1&gt;=$G$3,$L816*1&lt;=$G$4,$I816*$J816&gt;0,OR($I816&lt;&gt;$I817,$L816-$L817&gt;25),IF(ABS($I816)&gt;10,$I816/POW(10,$J816),$J816/POW(10,$I816))*MAXIFS(Token!$C:$C,Token!$A:$A,$K816)&gt;0.01),$L816/86400+DATE(1970,1,1)+$G$6,)</f>
        <v/>
      </c>
      <c r="B816" s="27" t="str">
        <f t="shared" si="1"/>
        <v/>
      </c>
      <c r="C816" s="14" t="str">
        <f>IF($A816&lt;&gt;"",MINIFS(Merchant!$A:$A,Merchant!$B:$B,$G$2),)</f>
        <v/>
      </c>
      <c r="D816" s="14" t="str">
        <f t="shared" si="2"/>
        <v/>
      </c>
      <c r="E816" s="14" t="str">
        <f t="shared" si="3"/>
        <v/>
      </c>
      <c r="F816" s="7" t="str">
        <f>IF($A816&lt;&gt;"",MAXIFS(Token!$C:$C,Token!$A:$A,$D816),)</f>
        <v/>
      </c>
    </row>
    <row r="817">
      <c r="A817" s="39" t="str">
        <f>IF(AND($L817*1&gt;=$G$3,$L817*1&lt;=$G$4,$I817*$J817&gt;0,OR($I817&lt;&gt;$I818,$L817-$L818&gt;25),IF(ABS($I817)&gt;10,$I817/POW(10,$J817),$J817/POW(10,$I817))*MAXIFS(Token!$C:$C,Token!$A:$A,$K817)&gt;0.01),$L817/86400+DATE(1970,1,1)+$G$6,)</f>
        <v/>
      </c>
      <c r="B817" s="27" t="str">
        <f t="shared" si="1"/>
        <v/>
      </c>
      <c r="C817" s="14" t="str">
        <f>IF($A817&lt;&gt;"",MINIFS(Merchant!$A:$A,Merchant!$B:$B,$G$2),)</f>
        <v/>
      </c>
      <c r="D817" s="14" t="str">
        <f t="shared" si="2"/>
        <v/>
      </c>
      <c r="E817" s="14" t="str">
        <f t="shared" si="3"/>
        <v/>
      </c>
      <c r="F817" s="7" t="str">
        <f>IF($A817&lt;&gt;"",MAXIFS(Token!$C:$C,Token!$A:$A,$D817),)</f>
        <v/>
      </c>
    </row>
    <row r="818">
      <c r="A818" s="39" t="str">
        <f>IF(AND($L818*1&gt;=$G$3,$L818*1&lt;=$G$4,$I818*$J818&gt;0,OR($I818&lt;&gt;$I819,$L818-$L819&gt;25),IF(ABS($I818)&gt;10,$I818/POW(10,$J818),$J818/POW(10,$I818))*MAXIFS(Token!$C:$C,Token!$A:$A,$K818)&gt;0.01),$L818/86400+DATE(1970,1,1)+$G$6,)</f>
        <v/>
      </c>
      <c r="B818" s="27" t="str">
        <f t="shared" si="1"/>
        <v/>
      </c>
      <c r="C818" s="14" t="str">
        <f>IF($A818&lt;&gt;"",MINIFS(Merchant!$A:$A,Merchant!$B:$B,$G$2),)</f>
        <v/>
      </c>
      <c r="D818" s="14" t="str">
        <f t="shared" si="2"/>
        <v/>
      </c>
      <c r="E818" s="14" t="str">
        <f t="shared" si="3"/>
        <v/>
      </c>
      <c r="F818" s="7" t="str">
        <f>IF($A818&lt;&gt;"",MAXIFS(Token!$C:$C,Token!$A:$A,$D818),)</f>
        <v/>
      </c>
    </row>
    <row r="819">
      <c r="A819" s="39" t="str">
        <f>IF(AND($L819*1&gt;=$G$3,$L819*1&lt;=$G$4,$I819*$J819&gt;0,OR($I819&lt;&gt;$I820,$L819-$L820&gt;25),IF(ABS($I819)&gt;10,$I819/POW(10,$J819),$J819/POW(10,$I819))*MAXIFS(Token!$C:$C,Token!$A:$A,$K819)&gt;0.01),$L819/86400+DATE(1970,1,1)+$G$6,)</f>
        <v/>
      </c>
      <c r="B819" s="27" t="str">
        <f t="shared" si="1"/>
        <v/>
      </c>
      <c r="C819" s="14" t="str">
        <f>IF($A819&lt;&gt;"",MINIFS(Merchant!$A:$A,Merchant!$B:$B,$G$2),)</f>
        <v/>
      </c>
      <c r="D819" s="14" t="str">
        <f t="shared" si="2"/>
        <v/>
      </c>
      <c r="E819" s="14" t="str">
        <f t="shared" si="3"/>
        <v/>
      </c>
      <c r="F819" s="7" t="str">
        <f>IF($A819&lt;&gt;"",MAXIFS(Token!$C:$C,Token!$A:$A,$D819),)</f>
        <v/>
      </c>
    </row>
    <row r="820">
      <c r="A820" s="39" t="str">
        <f>IF(AND($L820*1&gt;=$G$3,$L820*1&lt;=$G$4,$I820*$J820&gt;0,OR($I820&lt;&gt;$I821,$L820-$L821&gt;25),IF(ABS($I820)&gt;10,$I820/POW(10,$J820),$J820/POW(10,$I820))*MAXIFS(Token!$C:$C,Token!$A:$A,$K820)&gt;0.01),$L820/86400+DATE(1970,1,1)+$G$6,)</f>
        <v/>
      </c>
      <c r="B820" s="27" t="str">
        <f t="shared" si="1"/>
        <v/>
      </c>
      <c r="C820" s="14" t="str">
        <f>IF($A820&lt;&gt;"",MINIFS(Merchant!$A:$A,Merchant!$B:$B,$G$2),)</f>
        <v/>
      </c>
      <c r="D820" s="14" t="str">
        <f t="shared" si="2"/>
        <v/>
      </c>
      <c r="E820" s="14" t="str">
        <f t="shared" si="3"/>
        <v/>
      </c>
      <c r="F820" s="7" t="str">
        <f>IF($A820&lt;&gt;"",MAXIFS(Token!$C:$C,Token!$A:$A,$D820),)</f>
        <v/>
      </c>
    </row>
    <row r="821">
      <c r="A821" s="39" t="str">
        <f>IF(AND($L821*1&gt;=$G$3,$L821*1&lt;=$G$4,$I821*$J821&gt;0,OR($I821&lt;&gt;$I822,$L821-$L822&gt;25),IF(ABS($I821)&gt;10,$I821/POW(10,$J821),$J821/POW(10,$I821))*MAXIFS(Token!$C:$C,Token!$A:$A,$K821)&gt;0.01),$L821/86400+DATE(1970,1,1)+$G$6,)</f>
        <v/>
      </c>
      <c r="B821" s="27" t="str">
        <f t="shared" si="1"/>
        <v/>
      </c>
      <c r="C821" s="14" t="str">
        <f>IF($A821&lt;&gt;"",MINIFS(Merchant!$A:$A,Merchant!$B:$B,$G$2),)</f>
        <v/>
      </c>
      <c r="D821" s="14" t="str">
        <f t="shared" si="2"/>
        <v/>
      </c>
      <c r="E821" s="14" t="str">
        <f t="shared" si="3"/>
        <v/>
      </c>
      <c r="F821" s="7" t="str">
        <f>IF($A821&lt;&gt;"",MAXIFS(Token!$C:$C,Token!$A:$A,$D821),)</f>
        <v/>
      </c>
    </row>
    <row r="822">
      <c r="A822" s="39" t="str">
        <f>IF(AND($L822*1&gt;=$G$3,$L822*1&lt;=$G$4,$I822*$J822&gt;0,OR($I822&lt;&gt;$I823,$L822-$L823&gt;25),IF(ABS($I822)&gt;10,$I822/POW(10,$J822),$J822/POW(10,$I822))*MAXIFS(Token!$C:$C,Token!$A:$A,$K822)&gt;0.01),$L822/86400+DATE(1970,1,1)+$G$6,)</f>
        <v/>
      </c>
      <c r="B822" s="27" t="str">
        <f t="shared" si="1"/>
        <v/>
      </c>
      <c r="C822" s="14" t="str">
        <f>IF($A822&lt;&gt;"",MINIFS(Merchant!$A:$A,Merchant!$B:$B,$G$2),)</f>
        <v/>
      </c>
      <c r="D822" s="14" t="str">
        <f t="shared" si="2"/>
        <v/>
      </c>
      <c r="E822" s="14" t="str">
        <f t="shared" si="3"/>
        <v/>
      </c>
      <c r="F822" s="7" t="str">
        <f>IF($A822&lt;&gt;"",MAXIFS(Token!$C:$C,Token!$A:$A,$D822),)</f>
        <v/>
      </c>
    </row>
    <row r="823">
      <c r="A823" s="39" t="str">
        <f>IF(AND($L823*1&gt;=$G$3,$L823*1&lt;=$G$4,$I823*$J823&gt;0,OR($I823&lt;&gt;$I824,$L823-$L824&gt;25),IF(ABS($I823)&gt;10,$I823/POW(10,$J823),$J823/POW(10,$I823))*MAXIFS(Token!$C:$C,Token!$A:$A,$K823)&gt;0.01),$L823/86400+DATE(1970,1,1)+$G$6,)</f>
        <v/>
      </c>
      <c r="B823" s="27" t="str">
        <f t="shared" si="1"/>
        <v/>
      </c>
      <c r="C823" s="14" t="str">
        <f>IF($A823&lt;&gt;"",MINIFS(Merchant!$A:$A,Merchant!$B:$B,$G$2),)</f>
        <v/>
      </c>
      <c r="D823" s="14" t="str">
        <f t="shared" si="2"/>
        <v/>
      </c>
      <c r="E823" s="14" t="str">
        <f t="shared" si="3"/>
        <v/>
      </c>
      <c r="F823" s="7" t="str">
        <f>IF($A823&lt;&gt;"",MAXIFS(Token!$C:$C,Token!$A:$A,$D823),)</f>
        <v/>
      </c>
    </row>
    <row r="824">
      <c r="A824" s="39" t="str">
        <f>IF(AND($L824*1&gt;=$G$3,$L824*1&lt;=$G$4,$I824*$J824&gt;0,OR($I824&lt;&gt;$I825,$L824-$L825&gt;25),IF(ABS($I824)&gt;10,$I824/POW(10,$J824),$J824/POW(10,$I824))*MAXIFS(Token!$C:$C,Token!$A:$A,$K824)&gt;0.01),$L824/86400+DATE(1970,1,1)+$G$6,)</f>
        <v/>
      </c>
      <c r="B824" s="27" t="str">
        <f t="shared" si="1"/>
        <v/>
      </c>
      <c r="C824" s="14" t="str">
        <f>IF($A824&lt;&gt;"",MINIFS(Merchant!$A:$A,Merchant!$B:$B,$G$2),)</f>
        <v/>
      </c>
      <c r="D824" s="14" t="str">
        <f t="shared" si="2"/>
        <v/>
      </c>
      <c r="E824" s="14" t="str">
        <f t="shared" si="3"/>
        <v/>
      </c>
      <c r="F824" s="7" t="str">
        <f>IF($A824&lt;&gt;"",MAXIFS(Token!$C:$C,Token!$A:$A,$D824),)</f>
        <v/>
      </c>
    </row>
    <row r="825">
      <c r="A825" s="39" t="str">
        <f>IF(AND($L825*1&gt;=$G$3,$L825*1&lt;=$G$4,$I825*$J825&gt;0,OR($I825&lt;&gt;$I826,$L825-$L826&gt;25),IF(ABS($I825)&gt;10,$I825/POW(10,$J825),$J825/POW(10,$I825))*MAXIFS(Token!$C:$C,Token!$A:$A,$K825)&gt;0.01),$L825/86400+DATE(1970,1,1)+$G$6,)</f>
        <v/>
      </c>
      <c r="B825" s="27" t="str">
        <f t="shared" si="1"/>
        <v/>
      </c>
      <c r="C825" s="14" t="str">
        <f>IF($A825&lt;&gt;"",MINIFS(Merchant!$A:$A,Merchant!$B:$B,$G$2),)</f>
        <v/>
      </c>
      <c r="D825" s="14" t="str">
        <f t="shared" si="2"/>
        <v/>
      </c>
      <c r="E825" s="14" t="str">
        <f t="shared" si="3"/>
        <v/>
      </c>
      <c r="F825" s="7" t="str">
        <f>IF($A825&lt;&gt;"",MAXIFS(Token!$C:$C,Token!$A:$A,$D825),)</f>
        <v/>
      </c>
    </row>
    <row r="826">
      <c r="A826" s="39" t="str">
        <f>IF(AND($L826*1&gt;=$G$3,$L826*1&lt;=$G$4,$I826*$J826&gt;0,OR($I826&lt;&gt;$I827,$L826-$L827&gt;25),IF(ABS($I826)&gt;10,$I826/POW(10,$J826),$J826/POW(10,$I826))*MAXIFS(Token!$C:$C,Token!$A:$A,$K826)&gt;0.01),$L826/86400+DATE(1970,1,1)+$G$6,)</f>
        <v/>
      </c>
      <c r="B826" s="27" t="str">
        <f t="shared" si="1"/>
        <v/>
      </c>
      <c r="C826" s="14" t="str">
        <f>IF($A826&lt;&gt;"",MINIFS(Merchant!$A:$A,Merchant!$B:$B,$G$2),)</f>
        <v/>
      </c>
      <c r="D826" s="14" t="str">
        <f t="shared" si="2"/>
        <v/>
      </c>
      <c r="E826" s="14" t="str">
        <f t="shared" si="3"/>
        <v/>
      </c>
      <c r="F826" s="7" t="str">
        <f>IF($A826&lt;&gt;"",MAXIFS(Token!$C:$C,Token!$A:$A,$D826),)</f>
        <v/>
      </c>
    </row>
    <row r="827">
      <c r="A827" s="39" t="str">
        <f>IF(AND($L827*1&gt;=$G$3,$L827*1&lt;=$G$4,$I827*$J827&gt;0,OR($I827&lt;&gt;$I828,$L827-$L828&gt;25),IF(ABS($I827)&gt;10,$I827/POW(10,$J827),$J827/POW(10,$I827))*MAXIFS(Token!$C:$C,Token!$A:$A,$K827)&gt;0.01),$L827/86400+DATE(1970,1,1)+$G$6,)</f>
        <v/>
      </c>
      <c r="B827" s="27" t="str">
        <f t="shared" si="1"/>
        <v/>
      </c>
      <c r="C827" s="14" t="str">
        <f>IF($A827&lt;&gt;"",MINIFS(Merchant!$A:$A,Merchant!$B:$B,$G$2),)</f>
        <v/>
      </c>
      <c r="D827" s="14" t="str">
        <f t="shared" si="2"/>
        <v/>
      </c>
      <c r="E827" s="14" t="str">
        <f t="shared" si="3"/>
        <v/>
      </c>
      <c r="F827" s="7" t="str">
        <f>IF($A827&lt;&gt;"",MAXIFS(Token!$C:$C,Token!$A:$A,$D827),)</f>
        <v/>
      </c>
    </row>
    <row r="828">
      <c r="A828" s="39" t="str">
        <f>IF(AND($L828*1&gt;=$G$3,$L828*1&lt;=$G$4,$I828*$J828&gt;0,OR($I828&lt;&gt;$I829,$L828-$L829&gt;25),IF(ABS($I828)&gt;10,$I828/POW(10,$J828),$J828/POW(10,$I828))*MAXIFS(Token!$C:$C,Token!$A:$A,$K828)&gt;0.01),$L828/86400+DATE(1970,1,1)+$G$6,)</f>
        <v/>
      </c>
      <c r="B828" s="27" t="str">
        <f t="shared" si="1"/>
        <v/>
      </c>
      <c r="C828" s="14" t="str">
        <f>IF($A828&lt;&gt;"",MINIFS(Merchant!$A:$A,Merchant!$B:$B,$G$2),)</f>
        <v/>
      </c>
      <c r="D828" s="14" t="str">
        <f t="shared" si="2"/>
        <v/>
      </c>
      <c r="E828" s="14" t="str">
        <f t="shared" si="3"/>
        <v/>
      </c>
      <c r="F828" s="7" t="str">
        <f>IF($A828&lt;&gt;"",MAXIFS(Token!$C:$C,Token!$A:$A,$D828),)</f>
        <v/>
      </c>
    </row>
    <row r="829">
      <c r="A829" s="39" t="str">
        <f>IF(AND($L829*1&gt;=$G$3,$L829*1&lt;=$G$4,$I829*$J829&gt;0,OR($I829&lt;&gt;$I830,$L829-$L830&gt;25),IF(ABS($I829)&gt;10,$I829/POW(10,$J829),$J829/POW(10,$I829))*MAXIFS(Token!$C:$C,Token!$A:$A,$K829)&gt;0.01),$L829/86400+DATE(1970,1,1)+$G$6,)</f>
        <v/>
      </c>
      <c r="B829" s="27" t="str">
        <f t="shared" si="1"/>
        <v/>
      </c>
      <c r="C829" s="14" t="str">
        <f>IF($A829&lt;&gt;"",MINIFS(Merchant!$A:$A,Merchant!$B:$B,$G$2),)</f>
        <v/>
      </c>
      <c r="D829" s="14" t="str">
        <f t="shared" si="2"/>
        <v/>
      </c>
      <c r="E829" s="14" t="str">
        <f t="shared" si="3"/>
        <v/>
      </c>
      <c r="F829" s="7" t="str">
        <f>IF($A829&lt;&gt;"",MAXIFS(Token!$C:$C,Token!$A:$A,$D829),)</f>
        <v/>
      </c>
    </row>
    <row r="830">
      <c r="A830" s="39" t="str">
        <f>IF(AND($L830*1&gt;=$G$3,$L830*1&lt;=$G$4,$I830*$J830&gt;0,OR($I830&lt;&gt;$I831,$L830-$L831&gt;25),IF(ABS($I830)&gt;10,$I830/POW(10,$J830),$J830/POW(10,$I830))*MAXIFS(Token!$C:$C,Token!$A:$A,$K830)&gt;0.01),$L830/86400+DATE(1970,1,1)+$G$6,)</f>
        <v/>
      </c>
      <c r="B830" s="27" t="str">
        <f t="shared" si="1"/>
        <v/>
      </c>
      <c r="C830" s="14" t="str">
        <f>IF($A830&lt;&gt;"",MINIFS(Merchant!$A:$A,Merchant!$B:$B,$G$2),)</f>
        <v/>
      </c>
      <c r="D830" s="14" t="str">
        <f t="shared" si="2"/>
        <v/>
      </c>
      <c r="E830" s="14" t="str">
        <f t="shared" si="3"/>
        <v/>
      </c>
      <c r="F830" s="7" t="str">
        <f>IF($A830&lt;&gt;"",MAXIFS(Token!$C:$C,Token!$A:$A,$D830),)</f>
        <v/>
      </c>
    </row>
    <row r="831">
      <c r="A831" s="39" t="str">
        <f>IF(AND($L831*1&gt;=$G$3,$L831*1&lt;=$G$4,$I831*$J831&gt;0,OR($I831&lt;&gt;$I832,$L831-$L832&gt;25),IF(ABS($I831)&gt;10,$I831/POW(10,$J831),$J831/POW(10,$I831))*MAXIFS(Token!$C:$C,Token!$A:$A,$K831)&gt;0.01),$L831/86400+DATE(1970,1,1)+$G$6,)</f>
        <v/>
      </c>
      <c r="B831" s="27" t="str">
        <f t="shared" si="1"/>
        <v/>
      </c>
      <c r="C831" s="14" t="str">
        <f>IF($A831&lt;&gt;"",MINIFS(Merchant!$A:$A,Merchant!$B:$B,$G$2),)</f>
        <v/>
      </c>
      <c r="D831" s="14" t="str">
        <f t="shared" si="2"/>
        <v/>
      </c>
      <c r="E831" s="14" t="str">
        <f t="shared" si="3"/>
        <v/>
      </c>
      <c r="F831" s="7" t="str">
        <f>IF($A831&lt;&gt;"",MAXIFS(Token!$C:$C,Token!$A:$A,$D831),)</f>
        <v/>
      </c>
    </row>
    <row r="832">
      <c r="A832" s="39" t="str">
        <f>IF(AND($L832*1&gt;=$G$3,$L832*1&lt;=$G$4,$I832*$J832&gt;0,OR($I832&lt;&gt;$I833,$L832-$L833&gt;25),IF(ABS($I832)&gt;10,$I832/POW(10,$J832),$J832/POW(10,$I832))*MAXIFS(Token!$C:$C,Token!$A:$A,$K832)&gt;0.01),$L832/86400+DATE(1970,1,1)+$G$6,)</f>
        <v/>
      </c>
      <c r="B832" s="27" t="str">
        <f t="shared" si="1"/>
        <v/>
      </c>
      <c r="C832" s="14" t="str">
        <f>IF($A832&lt;&gt;"",MINIFS(Merchant!$A:$A,Merchant!$B:$B,$G$2),)</f>
        <v/>
      </c>
      <c r="D832" s="14" t="str">
        <f t="shared" si="2"/>
        <v/>
      </c>
      <c r="E832" s="14" t="str">
        <f t="shared" si="3"/>
        <v/>
      </c>
      <c r="F832" s="7" t="str">
        <f>IF($A832&lt;&gt;"",MAXIFS(Token!$C:$C,Token!$A:$A,$D832),)</f>
        <v/>
      </c>
    </row>
    <row r="833">
      <c r="A833" s="39" t="str">
        <f>IF(AND($L833*1&gt;=$G$3,$L833*1&lt;=$G$4,$I833*$J833&gt;0,OR($I833&lt;&gt;$I834,$L833-$L834&gt;25),IF(ABS($I833)&gt;10,$I833/POW(10,$J833),$J833/POW(10,$I833))*MAXIFS(Token!$C:$C,Token!$A:$A,$K833)&gt;0.01),$L833/86400+DATE(1970,1,1)+$G$6,)</f>
        <v/>
      </c>
      <c r="B833" s="27" t="str">
        <f t="shared" si="1"/>
        <v/>
      </c>
      <c r="C833" s="14" t="str">
        <f>IF($A833&lt;&gt;"",MINIFS(Merchant!$A:$A,Merchant!$B:$B,$G$2),)</f>
        <v/>
      </c>
      <c r="D833" s="14" t="str">
        <f t="shared" si="2"/>
        <v/>
      </c>
      <c r="E833" s="14" t="str">
        <f t="shared" si="3"/>
        <v/>
      </c>
      <c r="F833" s="7" t="str">
        <f>IF($A833&lt;&gt;"",MAXIFS(Token!$C:$C,Token!$A:$A,$D833),)</f>
        <v/>
      </c>
    </row>
    <row r="834">
      <c r="A834" s="39" t="str">
        <f>IF(AND($L834*1&gt;=$G$3,$L834*1&lt;=$G$4,$I834*$J834&gt;0,OR($I834&lt;&gt;$I835,$L834-$L835&gt;25),IF(ABS($I834)&gt;10,$I834/POW(10,$J834),$J834/POW(10,$I834))*MAXIFS(Token!$C:$C,Token!$A:$A,$K834)&gt;0.01),$L834/86400+DATE(1970,1,1)+$G$6,)</f>
        <v/>
      </c>
      <c r="B834" s="27" t="str">
        <f t="shared" si="1"/>
        <v/>
      </c>
      <c r="C834" s="14" t="str">
        <f>IF($A834&lt;&gt;"",MINIFS(Merchant!$A:$A,Merchant!$B:$B,$G$2),)</f>
        <v/>
      </c>
      <c r="D834" s="14" t="str">
        <f t="shared" si="2"/>
        <v/>
      </c>
      <c r="E834" s="14" t="str">
        <f t="shared" si="3"/>
        <v/>
      </c>
      <c r="F834" s="7" t="str">
        <f>IF($A834&lt;&gt;"",MAXIFS(Token!$C:$C,Token!$A:$A,$D834),)</f>
        <v/>
      </c>
    </row>
    <row r="835">
      <c r="A835" s="39" t="str">
        <f>IF(AND($L835*1&gt;=$G$3,$L835*1&lt;=$G$4,$I835*$J835&gt;0,OR($I835&lt;&gt;$I836,$L835-$L836&gt;25),IF(ABS($I835)&gt;10,$I835/POW(10,$J835),$J835/POW(10,$I835))*MAXIFS(Token!$C:$C,Token!$A:$A,$K835)&gt;0.01),$L835/86400+DATE(1970,1,1)+$G$6,)</f>
        <v/>
      </c>
      <c r="B835" s="27" t="str">
        <f t="shared" si="1"/>
        <v/>
      </c>
      <c r="C835" s="14" t="str">
        <f>IF($A835&lt;&gt;"",MINIFS(Merchant!$A:$A,Merchant!$B:$B,$G$2),)</f>
        <v/>
      </c>
      <c r="D835" s="14" t="str">
        <f t="shared" si="2"/>
        <v/>
      </c>
      <c r="E835" s="14" t="str">
        <f t="shared" si="3"/>
        <v/>
      </c>
      <c r="F835" s="7" t="str">
        <f>IF($A835&lt;&gt;"",MAXIFS(Token!$C:$C,Token!$A:$A,$D835),)</f>
        <v/>
      </c>
    </row>
    <row r="836">
      <c r="A836" s="39" t="str">
        <f>IF(AND($L836*1&gt;=$G$3,$L836*1&lt;=$G$4,$I836*$J836&gt;0,OR($I836&lt;&gt;$I837,$L836-$L837&gt;25),IF(ABS($I836)&gt;10,$I836/POW(10,$J836),$J836/POW(10,$I836))*MAXIFS(Token!$C:$C,Token!$A:$A,$K836)&gt;0.01),$L836/86400+DATE(1970,1,1)+$G$6,)</f>
        <v/>
      </c>
      <c r="B836" s="27" t="str">
        <f t="shared" si="1"/>
        <v/>
      </c>
      <c r="C836" s="14" t="str">
        <f>IF($A836&lt;&gt;"",MINIFS(Merchant!$A:$A,Merchant!$B:$B,$G$2),)</f>
        <v/>
      </c>
      <c r="D836" s="14" t="str">
        <f t="shared" si="2"/>
        <v/>
      </c>
      <c r="E836" s="14" t="str">
        <f t="shared" si="3"/>
        <v/>
      </c>
      <c r="F836" s="7" t="str">
        <f>IF($A836&lt;&gt;"",MAXIFS(Token!$C:$C,Token!$A:$A,$D836),)</f>
        <v/>
      </c>
    </row>
    <row r="837">
      <c r="A837" s="39" t="str">
        <f>IF(AND($L837*1&gt;=$G$3,$L837*1&lt;=$G$4,$I837*$J837&gt;0,OR($I837&lt;&gt;$I838,$L837-$L838&gt;25),IF(ABS($I837)&gt;10,$I837/POW(10,$J837),$J837/POW(10,$I837))*MAXIFS(Token!$C:$C,Token!$A:$A,$K837)&gt;0.01),$L837/86400+DATE(1970,1,1)+$G$6,)</f>
        <v/>
      </c>
      <c r="B837" s="27" t="str">
        <f t="shared" si="1"/>
        <v/>
      </c>
      <c r="C837" s="14" t="str">
        <f>IF($A837&lt;&gt;"",MINIFS(Merchant!$A:$A,Merchant!$B:$B,$G$2),)</f>
        <v/>
      </c>
      <c r="D837" s="14" t="str">
        <f t="shared" si="2"/>
        <v/>
      </c>
      <c r="E837" s="14" t="str">
        <f t="shared" si="3"/>
        <v/>
      </c>
      <c r="F837" s="7" t="str">
        <f>IF($A837&lt;&gt;"",MAXIFS(Token!$C:$C,Token!$A:$A,$D837),)</f>
        <v/>
      </c>
    </row>
    <row r="838">
      <c r="A838" s="39" t="str">
        <f>IF(AND($L838*1&gt;=$G$3,$L838*1&lt;=$G$4,$I838*$J838&gt;0,OR($I838&lt;&gt;$I839,$L838-$L839&gt;25),IF(ABS($I838)&gt;10,$I838/POW(10,$J838),$J838/POW(10,$I838))*MAXIFS(Token!$C:$C,Token!$A:$A,$K838)&gt;0.01),$L838/86400+DATE(1970,1,1)+$G$6,)</f>
        <v/>
      </c>
      <c r="B838" s="27" t="str">
        <f t="shared" si="1"/>
        <v/>
      </c>
      <c r="C838" s="14" t="str">
        <f>IF($A838&lt;&gt;"",MINIFS(Merchant!$A:$A,Merchant!$B:$B,$G$2),)</f>
        <v/>
      </c>
      <c r="D838" s="14" t="str">
        <f t="shared" si="2"/>
        <v/>
      </c>
      <c r="E838" s="14" t="str">
        <f t="shared" si="3"/>
        <v/>
      </c>
      <c r="F838" s="7" t="str">
        <f>IF($A838&lt;&gt;"",MAXIFS(Token!$C:$C,Token!$A:$A,$D838),)</f>
        <v/>
      </c>
    </row>
    <row r="839">
      <c r="A839" s="39" t="str">
        <f>IF(AND($L839*1&gt;=$G$3,$L839*1&lt;=$G$4,$I839*$J839&gt;0,OR($I839&lt;&gt;$I840,$L839-$L840&gt;25),IF(ABS($I839)&gt;10,$I839/POW(10,$J839),$J839/POW(10,$I839))*MAXIFS(Token!$C:$C,Token!$A:$A,$K839)&gt;0.01),$L839/86400+DATE(1970,1,1)+$G$6,)</f>
        <v/>
      </c>
      <c r="B839" s="27" t="str">
        <f t="shared" si="1"/>
        <v/>
      </c>
      <c r="C839" s="14" t="str">
        <f>IF($A839&lt;&gt;"",MINIFS(Merchant!$A:$A,Merchant!$B:$B,$G$2),)</f>
        <v/>
      </c>
      <c r="D839" s="14" t="str">
        <f t="shared" si="2"/>
        <v/>
      </c>
      <c r="E839" s="14" t="str">
        <f t="shared" si="3"/>
        <v/>
      </c>
      <c r="F839" s="7" t="str">
        <f>IF($A839&lt;&gt;"",MAXIFS(Token!$C:$C,Token!$A:$A,$D839),)</f>
        <v/>
      </c>
    </row>
    <row r="840">
      <c r="A840" s="39" t="str">
        <f>IF(AND($L840*1&gt;=$G$3,$L840*1&lt;=$G$4,$I840*$J840&gt;0,OR($I840&lt;&gt;$I841,$L840-$L841&gt;25),IF(ABS($I840)&gt;10,$I840/POW(10,$J840),$J840/POW(10,$I840))*MAXIFS(Token!$C:$C,Token!$A:$A,$K840)&gt;0.01),$L840/86400+DATE(1970,1,1)+$G$6,)</f>
        <v/>
      </c>
      <c r="B840" s="27" t="str">
        <f t="shared" si="1"/>
        <v/>
      </c>
      <c r="C840" s="14" t="str">
        <f>IF($A840&lt;&gt;"",MINIFS(Merchant!$A:$A,Merchant!$B:$B,$G$2),)</f>
        <v/>
      </c>
      <c r="D840" s="14" t="str">
        <f t="shared" si="2"/>
        <v/>
      </c>
      <c r="E840" s="14" t="str">
        <f t="shared" si="3"/>
        <v/>
      </c>
      <c r="F840" s="7" t="str">
        <f>IF($A840&lt;&gt;"",MAXIFS(Token!$C:$C,Token!$A:$A,$D840),)</f>
        <v/>
      </c>
    </row>
    <row r="841">
      <c r="A841" s="39" t="str">
        <f>IF(AND($L841*1&gt;=$G$3,$L841*1&lt;=$G$4,$I841*$J841&gt;0,OR($I841&lt;&gt;$I842,$L841-$L842&gt;25),IF(ABS($I841)&gt;10,$I841/POW(10,$J841),$J841/POW(10,$I841))*MAXIFS(Token!$C:$C,Token!$A:$A,$K841)&gt;0.01),$L841/86400+DATE(1970,1,1)+$G$6,)</f>
        <v/>
      </c>
      <c r="B841" s="27" t="str">
        <f t="shared" si="1"/>
        <v/>
      </c>
      <c r="C841" s="14" t="str">
        <f>IF($A841&lt;&gt;"",MINIFS(Merchant!$A:$A,Merchant!$B:$B,$G$2),)</f>
        <v/>
      </c>
      <c r="D841" s="14" t="str">
        <f t="shared" si="2"/>
        <v/>
      </c>
      <c r="E841" s="14" t="str">
        <f t="shared" si="3"/>
        <v/>
      </c>
      <c r="F841" s="7" t="str">
        <f>IF($A841&lt;&gt;"",MAXIFS(Token!$C:$C,Token!$A:$A,$D841),)</f>
        <v/>
      </c>
    </row>
    <row r="842">
      <c r="A842" s="39" t="str">
        <f>IF(AND($L842*1&gt;=$G$3,$L842*1&lt;=$G$4,$I842*$J842&gt;0,OR($I842&lt;&gt;$I843,$L842-$L843&gt;25),IF(ABS($I842)&gt;10,$I842/POW(10,$J842),$J842/POW(10,$I842))*MAXIFS(Token!$C:$C,Token!$A:$A,$K842)&gt;0.01),$L842/86400+DATE(1970,1,1)+$G$6,)</f>
        <v/>
      </c>
      <c r="B842" s="27" t="str">
        <f t="shared" si="1"/>
        <v/>
      </c>
      <c r="C842" s="14" t="str">
        <f>IF($A842&lt;&gt;"",MINIFS(Merchant!$A:$A,Merchant!$B:$B,$G$2),)</f>
        <v/>
      </c>
      <c r="D842" s="14" t="str">
        <f t="shared" si="2"/>
        <v/>
      </c>
      <c r="E842" s="14" t="str">
        <f t="shared" si="3"/>
        <v/>
      </c>
      <c r="F842" s="7" t="str">
        <f>IF($A842&lt;&gt;"",MAXIFS(Token!$C:$C,Token!$A:$A,$D842),)</f>
        <v/>
      </c>
    </row>
    <row r="843">
      <c r="A843" s="39" t="str">
        <f>IF(AND($L843*1&gt;=$G$3,$L843*1&lt;=$G$4,$I843*$J843&gt;0,OR($I843&lt;&gt;$I844,$L843-$L844&gt;25),IF(ABS($I843)&gt;10,$I843/POW(10,$J843),$J843/POW(10,$I843))*MAXIFS(Token!$C:$C,Token!$A:$A,$K843)&gt;0.01),$L843/86400+DATE(1970,1,1)+$G$6,)</f>
        <v/>
      </c>
      <c r="B843" s="27" t="str">
        <f t="shared" si="1"/>
        <v/>
      </c>
      <c r="C843" s="14" t="str">
        <f>IF($A843&lt;&gt;"",MINIFS(Merchant!$A:$A,Merchant!$B:$B,$G$2),)</f>
        <v/>
      </c>
      <c r="D843" s="14" t="str">
        <f t="shared" si="2"/>
        <v/>
      </c>
      <c r="E843" s="14" t="str">
        <f t="shared" si="3"/>
        <v/>
      </c>
      <c r="F843" s="7" t="str">
        <f>IF($A843&lt;&gt;"",MAXIFS(Token!$C:$C,Token!$A:$A,$D843),)</f>
        <v/>
      </c>
    </row>
    <row r="844">
      <c r="A844" s="39" t="str">
        <f>IF(AND($L844*1&gt;=$G$3,$L844*1&lt;=$G$4,$I844*$J844&gt;0,OR($I844&lt;&gt;$I845,$L844-$L845&gt;25),IF(ABS($I844)&gt;10,$I844/POW(10,$J844),$J844/POW(10,$I844))*MAXIFS(Token!$C:$C,Token!$A:$A,$K844)&gt;0.01),$L844/86400+DATE(1970,1,1)+$G$6,)</f>
        <v/>
      </c>
      <c r="B844" s="27" t="str">
        <f t="shared" si="1"/>
        <v/>
      </c>
      <c r="C844" s="14" t="str">
        <f>IF($A844&lt;&gt;"",MINIFS(Merchant!$A:$A,Merchant!$B:$B,$G$2),)</f>
        <v/>
      </c>
      <c r="D844" s="14" t="str">
        <f t="shared" si="2"/>
        <v/>
      </c>
      <c r="E844" s="14" t="str">
        <f t="shared" si="3"/>
        <v/>
      </c>
      <c r="F844" s="7" t="str">
        <f>IF($A844&lt;&gt;"",MAXIFS(Token!$C:$C,Token!$A:$A,$D844),)</f>
        <v/>
      </c>
    </row>
    <row r="845">
      <c r="A845" s="39" t="str">
        <f>IF(AND($L845*1&gt;=$G$3,$L845*1&lt;=$G$4,$I845*$J845&gt;0,OR($I845&lt;&gt;$I846,$L845-$L846&gt;25),IF(ABS($I845)&gt;10,$I845/POW(10,$J845),$J845/POW(10,$I845))*MAXIFS(Token!$C:$C,Token!$A:$A,$K845)&gt;0.01),$L845/86400+DATE(1970,1,1)+$G$6,)</f>
        <v/>
      </c>
      <c r="B845" s="27" t="str">
        <f t="shared" si="1"/>
        <v/>
      </c>
      <c r="C845" s="14" t="str">
        <f>IF($A845&lt;&gt;"",MINIFS(Merchant!$A:$A,Merchant!$B:$B,$G$2),)</f>
        <v/>
      </c>
      <c r="D845" s="14" t="str">
        <f t="shared" si="2"/>
        <v/>
      </c>
      <c r="E845" s="14" t="str">
        <f t="shared" si="3"/>
        <v/>
      </c>
      <c r="F845" s="7" t="str">
        <f>IF($A845&lt;&gt;"",MAXIFS(Token!$C:$C,Token!$A:$A,$D845),)</f>
        <v/>
      </c>
    </row>
    <row r="846">
      <c r="A846" s="39" t="str">
        <f>IF(AND($L846*1&gt;=$G$3,$L846*1&lt;=$G$4,$I846*$J846&gt;0,OR($I846&lt;&gt;$I847,$L846-$L847&gt;25),IF(ABS($I846)&gt;10,$I846/POW(10,$J846),$J846/POW(10,$I846))*MAXIFS(Token!$C:$C,Token!$A:$A,$K846)&gt;0.01),$L846/86400+DATE(1970,1,1)+$G$6,)</f>
        <v/>
      </c>
      <c r="B846" s="27" t="str">
        <f t="shared" si="1"/>
        <v/>
      </c>
      <c r="C846" s="14" t="str">
        <f>IF($A846&lt;&gt;"",MINIFS(Merchant!$A:$A,Merchant!$B:$B,$G$2),)</f>
        <v/>
      </c>
      <c r="D846" s="14" t="str">
        <f t="shared" si="2"/>
        <v/>
      </c>
      <c r="E846" s="14" t="str">
        <f t="shared" si="3"/>
        <v/>
      </c>
      <c r="F846" s="7" t="str">
        <f>IF($A846&lt;&gt;"",MAXIFS(Token!$C:$C,Token!$A:$A,$D846),)</f>
        <v/>
      </c>
    </row>
    <row r="847">
      <c r="A847" s="39" t="str">
        <f>IF(AND($L847*1&gt;=$G$3,$L847*1&lt;=$G$4,$I847*$J847&gt;0,OR($I847&lt;&gt;$I848,$L847-$L848&gt;25),IF(ABS($I847)&gt;10,$I847/POW(10,$J847),$J847/POW(10,$I847))*MAXIFS(Token!$C:$C,Token!$A:$A,$K847)&gt;0.01),$L847/86400+DATE(1970,1,1)+$G$6,)</f>
        <v/>
      </c>
      <c r="B847" s="27" t="str">
        <f t="shared" si="1"/>
        <v/>
      </c>
      <c r="C847" s="14" t="str">
        <f>IF($A847&lt;&gt;"",MINIFS(Merchant!$A:$A,Merchant!$B:$B,$G$2),)</f>
        <v/>
      </c>
      <c r="D847" s="14" t="str">
        <f t="shared" si="2"/>
        <v/>
      </c>
      <c r="E847" s="14" t="str">
        <f t="shared" si="3"/>
        <v/>
      </c>
      <c r="F847" s="7" t="str">
        <f>IF($A847&lt;&gt;"",MAXIFS(Token!$C:$C,Token!$A:$A,$D847),)</f>
        <v/>
      </c>
    </row>
    <row r="848">
      <c r="A848" s="39" t="str">
        <f>IF(AND($L848*1&gt;=$G$3,$L848*1&lt;=$G$4,$I848*$J848&gt;0,OR($I848&lt;&gt;$I849,$L848-$L849&gt;25),IF(ABS($I848)&gt;10,$I848/POW(10,$J848),$J848/POW(10,$I848))*MAXIFS(Token!$C:$C,Token!$A:$A,$K848)&gt;0.01),$L848/86400+DATE(1970,1,1)+$G$6,)</f>
        <v/>
      </c>
      <c r="B848" s="27" t="str">
        <f t="shared" si="1"/>
        <v/>
      </c>
      <c r="C848" s="14" t="str">
        <f>IF($A848&lt;&gt;"",MINIFS(Merchant!$A:$A,Merchant!$B:$B,$G$2),)</f>
        <v/>
      </c>
      <c r="D848" s="14" t="str">
        <f t="shared" si="2"/>
        <v/>
      </c>
      <c r="E848" s="14" t="str">
        <f t="shared" si="3"/>
        <v/>
      </c>
      <c r="F848" s="7" t="str">
        <f>IF($A848&lt;&gt;"",MAXIFS(Token!$C:$C,Token!$A:$A,$D848),)</f>
        <v/>
      </c>
    </row>
    <row r="849">
      <c r="A849" s="39" t="str">
        <f>IF(AND($L849*1&gt;=$G$3,$L849*1&lt;=$G$4,$I849*$J849&gt;0,OR($I849&lt;&gt;$I850,$L849-$L850&gt;25),IF(ABS($I849)&gt;10,$I849/POW(10,$J849),$J849/POW(10,$I849))*MAXIFS(Token!$C:$C,Token!$A:$A,$K849)&gt;0.01),$L849/86400+DATE(1970,1,1)+$G$6,)</f>
        <v/>
      </c>
      <c r="B849" s="27" t="str">
        <f t="shared" si="1"/>
        <v/>
      </c>
      <c r="C849" s="14" t="str">
        <f>IF($A849&lt;&gt;"",MINIFS(Merchant!$A:$A,Merchant!$B:$B,$G$2),)</f>
        <v/>
      </c>
      <c r="D849" s="14" t="str">
        <f t="shared" si="2"/>
        <v/>
      </c>
      <c r="E849" s="14" t="str">
        <f t="shared" si="3"/>
        <v/>
      </c>
      <c r="F849" s="7" t="str">
        <f>IF($A849&lt;&gt;"",MAXIFS(Token!$C:$C,Token!$A:$A,$D849),)</f>
        <v/>
      </c>
    </row>
    <row r="850">
      <c r="A850" s="39" t="str">
        <f>IF(AND($L850*1&gt;=$G$3,$L850*1&lt;=$G$4,$I850*$J850&gt;0,OR($I850&lt;&gt;$I851,$L850-$L851&gt;25),IF(ABS($I850)&gt;10,$I850/POW(10,$J850),$J850/POW(10,$I850))*MAXIFS(Token!$C:$C,Token!$A:$A,$K850)&gt;0.01),$L850/86400+DATE(1970,1,1)+$G$6,)</f>
        <v/>
      </c>
      <c r="B850" s="27" t="str">
        <f t="shared" si="1"/>
        <v/>
      </c>
      <c r="C850" s="14" t="str">
        <f>IF($A850&lt;&gt;"",MINIFS(Merchant!$A:$A,Merchant!$B:$B,$G$2),)</f>
        <v/>
      </c>
      <c r="D850" s="14" t="str">
        <f t="shared" si="2"/>
        <v/>
      </c>
      <c r="E850" s="14" t="str">
        <f t="shared" si="3"/>
        <v/>
      </c>
      <c r="F850" s="7" t="str">
        <f>IF($A850&lt;&gt;"",MAXIFS(Token!$C:$C,Token!$A:$A,$D850),)</f>
        <v/>
      </c>
    </row>
    <row r="851">
      <c r="A851" s="39" t="str">
        <f>IF(AND($L851*1&gt;=$G$3,$L851*1&lt;=$G$4,$I851*$J851&gt;0,OR($I851&lt;&gt;$I852,$L851-$L852&gt;25),IF(ABS($I851)&gt;10,$I851/POW(10,$J851),$J851/POW(10,$I851))*MAXIFS(Token!$C:$C,Token!$A:$A,$K851)&gt;0.01),$L851/86400+DATE(1970,1,1)+$G$6,)</f>
        <v/>
      </c>
      <c r="B851" s="27" t="str">
        <f t="shared" si="1"/>
        <v/>
      </c>
      <c r="C851" s="14" t="str">
        <f>IF($A851&lt;&gt;"",MINIFS(Merchant!$A:$A,Merchant!$B:$B,$G$2),)</f>
        <v/>
      </c>
      <c r="D851" s="14" t="str">
        <f t="shared" si="2"/>
        <v/>
      </c>
      <c r="E851" s="14" t="str">
        <f t="shared" si="3"/>
        <v/>
      </c>
      <c r="F851" s="7" t="str">
        <f>IF($A851&lt;&gt;"",MAXIFS(Token!$C:$C,Token!$A:$A,$D851),)</f>
        <v/>
      </c>
    </row>
    <row r="852">
      <c r="A852" s="39" t="str">
        <f>IF(AND($L852*1&gt;=$G$3,$L852*1&lt;=$G$4,$I852*$J852&gt;0,OR($I852&lt;&gt;$I853,$L852-$L853&gt;25),IF(ABS($I852)&gt;10,$I852/POW(10,$J852),$J852/POW(10,$I852))*MAXIFS(Token!$C:$C,Token!$A:$A,$K852)&gt;0.01),$L852/86400+DATE(1970,1,1)+$G$6,)</f>
        <v/>
      </c>
      <c r="B852" s="27" t="str">
        <f t="shared" si="1"/>
        <v/>
      </c>
      <c r="C852" s="14" t="str">
        <f>IF($A852&lt;&gt;"",MINIFS(Merchant!$A:$A,Merchant!$B:$B,$G$2),)</f>
        <v/>
      </c>
      <c r="D852" s="14" t="str">
        <f t="shared" si="2"/>
        <v/>
      </c>
      <c r="E852" s="14" t="str">
        <f t="shared" si="3"/>
        <v/>
      </c>
      <c r="F852" s="7" t="str">
        <f>IF($A852&lt;&gt;"",MAXIFS(Token!$C:$C,Token!$A:$A,$D852),)</f>
        <v/>
      </c>
    </row>
    <row r="853">
      <c r="A853" s="39" t="str">
        <f>IF(AND($L853*1&gt;=$G$3,$L853*1&lt;=$G$4,$I853*$J853&gt;0,OR($I853&lt;&gt;$I854,$L853-$L854&gt;25),IF(ABS($I853)&gt;10,$I853/POW(10,$J853),$J853/POW(10,$I853))*MAXIFS(Token!$C:$C,Token!$A:$A,$K853)&gt;0.01),$L853/86400+DATE(1970,1,1)+$G$6,)</f>
        <v/>
      </c>
      <c r="B853" s="27" t="str">
        <f t="shared" si="1"/>
        <v/>
      </c>
      <c r="C853" s="14" t="str">
        <f>IF($A853&lt;&gt;"",MINIFS(Merchant!$A:$A,Merchant!$B:$B,$G$2),)</f>
        <v/>
      </c>
      <c r="D853" s="14" t="str">
        <f t="shared" si="2"/>
        <v/>
      </c>
      <c r="E853" s="14" t="str">
        <f t="shared" si="3"/>
        <v/>
      </c>
      <c r="F853" s="7" t="str">
        <f>IF($A853&lt;&gt;"",MAXIFS(Token!$C:$C,Token!$A:$A,$D853),)</f>
        <v/>
      </c>
    </row>
    <row r="854">
      <c r="A854" s="39" t="str">
        <f>IF(AND($L854*1&gt;=$G$3,$L854*1&lt;=$G$4,$I854*$J854&gt;0,OR($I854&lt;&gt;$I855,$L854-$L855&gt;25),IF(ABS($I854)&gt;10,$I854/POW(10,$J854),$J854/POW(10,$I854))*MAXIFS(Token!$C:$C,Token!$A:$A,$K854)&gt;0.01),$L854/86400+DATE(1970,1,1)+$G$6,)</f>
        <v/>
      </c>
      <c r="B854" s="27" t="str">
        <f t="shared" si="1"/>
        <v/>
      </c>
      <c r="C854" s="14" t="str">
        <f>IF($A854&lt;&gt;"",MINIFS(Merchant!$A:$A,Merchant!$B:$B,$G$2),)</f>
        <v/>
      </c>
      <c r="D854" s="14" t="str">
        <f t="shared" si="2"/>
        <v/>
      </c>
      <c r="E854" s="14" t="str">
        <f t="shared" si="3"/>
        <v/>
      </c>
      <c r="F854" s="7" t="str">
        <f>IF($A854&lt;&gt;"",MAXIFS(Token!$C:$C,Token!$A:$A,$D854),)</f>
        <v/>
      </c>
    </row>
    <row r="855">
      <c r="A855" s="39" t="str">
        <f>IF(AND($L855*1&gt;=$G$3,$L855*1&lt;=$G$4,$I855*$J855&gt;0,OR($I855&lt;&gt;$I856,$L855-$L856&gt;25),IF(ABS($I855)&gt;10,$I855/POW(10,$J855),$J855/POW(10,$I855))*MAXIFS(Token!$C:$C,Token!$A:$A,$K855)&gt;0.01),$L855/86400+DATE(1970,1,1)+$G$6,)</f>
        <v/>
      </c>
      <c r="B855" s="27" t="str">
        <f t="shared" si="1"/>
        <v/>
      </c>
      <c r="C855" s="14" t="str">
        <f>IF($A855&lt;&gt;"",MINIFS(Merchant!$A:$A,Merchant!$B:$B,$G$2),)</f>
        <v/>
      </c>
      <c r="D855" s="14" t="str">
        <f t="shared" si="2"/>
        <v/>
      </c>
      <c r="E855" s="14" t="str">
        <f t="shared" si="3"/>
        <v/>
      </c>
      <c r="F855" s="7" t="str">
        <f>IF($A855&lt;&gt;"",MAXIFS(Token!$C:$C,Token!$A:$A,$D855),)</f>
        <v/>
      </c>
    </row>
    <row r="856">
      <c r="A856" s="39" t="str">
        <f>IF(AND($L856*1&gt;=$G$3,$L856*1&lt;=$G$4,$I856*$J856&gt;0,OR($I856&lt;&gt;$I857,$L856-$L857&gt;25),IF(ABS($I856)&gt;10,$I856/POW(10,$J856),$J856/POW(10,$I856))*MAXIFS(Token!$C:$C,Token!$A:$A,$K856)&gt;0.01),$L856/86400+DATE(1970,1,1)+$G$6,)</f>
        <v/>
      </c>
      <c r="B856" s="27" t="str">
        <f t="shared" si="1"/>
        <v/>
      </c>
      <c r="C856" s="14" t="str">
        <f>IF($A856&lt;&gt;"",MINIFS(Merchant!$A:$A,Merchant!$B:$B,$G$2),)</f>
        <v/>
      </c>
      <c r="D856" s="14" t="str">
        <f t="shared" si="2"/>
        <v/>
      </c>
      <c r="E856" s="14" t="str">
        <f t="shared" si="3"/>
        <v/>
      </c>
      <c r="F856" s="7" t="str">
        <f>IF($A856&lt;&gt;"",MAXIFS(Token!$C:$C,Token!$A:$A,$D856),)</f>
        <v/>
      </c>
    </row>
    <row r="857">
      <c r="A857" s="39" t="str">
        <f>IF(AND($L857*1&gt;=$G$3,$L857*1&lt;=$G$4,$I857*$J857&gt;0,OR($I857&lt;&gt;$I858,$L857-$L858&gt;25),IF(ABS($I857)&gt;10,$I857/POW(10,$J857),$J857/POW(10,$I857))*MAXIFS(Token!$C:$C,Token!$A:$A,$K857)&gt;0.01),$L857/86400+DATE(1970,1,1)+$G$6,)</f>
        <v/>
      </c>
      <c r="B857" s="27" t="str">
        <f t="shared" si="1"/>
        <v/>
      </c>
      <c r="C857" s="14" t="str">
        <f>IF($A857&lt;&gt;"",MINIFS(Merchant!$A:$A,Merchant!$B:$B,$G$2),)</f>
        <v/>
      </c>
      <c r="D857" s="14" t="str">
        <f t="shared" si="2"/>
        <v/>
      </c>
      <c r="E857" s="14" t="str">
        <f t="shared" si="3"/>
        <v/>
      </c>
      <c r="F857" s="7" t="str">
        <f>IF($A857&lt;&gt;"",MAXIFS(Token!$C:$C,Token!$A:$A,$D857),)</f>
        <v/>
      </c>
    </row>
    <row r="858">
      <c r="A858" s="39" t="str">
        <f>IF(AND($L858*1&gt;=$G$3,$L858*1&lt;=$G$4,$I858*$J858&gt;0,OR($I858&lt;&gt;$I859,$L858-$L859&gt;25),IF(ABS($I858)&gt;10,$I858/POW(10,$J858),$J858/POW(10,$I858))*MAXIFS(Token!$C:$C,Token!$A:$A,$K858)&gt;0.01),$L858/86400+DATE(1970,1,1)+$G$6,)</f>
        <v/>
      </c>
      <c r="B858" s="27" t="str">
        <f t="shared" si="1"/>
        <v/>
      </c>
      <c r="C858" s="14" t="str">
        <f>IF($A858&lt;&gt;"",MINIFS(Merchant!$A:$A,Merchant!$B:$B,$G$2),)</f>
        <v/>
      </c>
      <c r="D858" s="14" t="str">
        <f t="shared" si="2"/>
        <v/>
      </c>
      <c r="E858" s="14" t="str">
        <f t="shared" si="3"/>
        <v/>
      </c>
      <c r="F858" s="7" t="str">
        <f>IF($A858&lt;&gt;"",MAXIFS(Token!$C:$C,Token!$A:$A,$D858),)</f>
        <v/>
      </c>
    </row>
    <row r="859">
      <c r="A859" s="39" t="str">
        <f>IF(AND($L859*1&gt;=$G$3,$L859*1&lt;=$G$4,$I859*$J859&gt;0,OR($I859&lt;&gt;$I860,$L859-$L860&gt;25),IF(ABS($I859)&gt;10,$I859/POW(10,$J859),$J859/POW(10,$I859))*MAXIFS(Token!$C:$C,Token!$A:$A,$K859)&gt;0.01),$L859/86400+DATE(1970,1,1)+$G$6,)</f>
        <v/>
      </c>
      <c r="B859" s="27" t="str">
        <f t="shared" si="1"/>
        <v/>
      </c>
      <c r="C859" s="14" t="str">
        <f>IF($A859&lt;&gt;"",MINIFS(Merchant!$A:$A,Merchant!$B:$B,$G$2),)</f>
        <v/>
      </c>
      <c r="D859" s="14" t="str">
        <f t="shared" si="2"/>
        <v/>
      </c>
      <c r="E859" s="14" t="str">
        <f t="shared" si="3"/>
        <v/>
      </c>
      <c r="F859" s="7" t="str">
        <f>IF($A859&lt;&gt;"",MAXIFS(Token!$C:$C,Token!$A:$A,$D859),)</f>
        <v/>
      </c>
    </row>
    <row r="860">
      <c r="A860" s="39" t="str">
        <f>IF(AND($L860*1&gt;=$G$3,$L860*1&lt;=$G$4,$I860*$J860&gt;0,OR($I860&lt;&gt;$I861,$L860-$L861&gt;25),IF(ABS($I860)&gt;10,$I860/POW(10,$J860),$J860/POW(10,$I860))*MAXIFS(Token!$C:$C,Token!$A:$A,$K860)&gt;0.01),$L860/86400+DATE(1970,1,1)+$G$6,)</f>
        <v/>
      </c>
      <c r="B860" s="27" t="str">
        <f t="shared" si="1"/>
        <v/>
      </c>
      <c r="C860" s="14" t="str">
        <f>IF($A860&lt;&gt;"",MINIFS(Merchant!$A:$A,Merchant!$B:$B,$G$2),)</f>
        <v/>
      </c>
      <c r="D860" s="14" t="str">
        <f t="shared" si="2"/>
        <v/>
      </c>
      <c r="E860" s="14" t="str">
        <f t="shared" si="3"/>
        <v/>
      </c>
      <c r="F860" s="7" t="str">
        <f>IF($A860&lt;&gt;"",MAXIFS(Token!$C:$C,Token!$A:$A,$D860),)</f>
        <v/>
      </c>
    </row>
    <row r="861">
      <c r="A861" s="39" t="str">
        <f>IF(AND($L861*1&gt;=$G$3,$L861*1&lt;=$G$4,$I861*$J861&gt;0,OR($I861&lt;&gt;$I862,$L861-$L862&gt;25),IF(ABS($I861)&gt;10,$I861/POW(10,$J861),$J861/POW(10,$I861))*MAXIFS(Token!$C:$C,Token!$A:$A,$K861)&gt;0.01),$L861/86400+DATE(1970,1,1)+$G$6,)</f>
        <v/>
      </c>
      <c r="B861" s="27" t="str">
        <f t="shared" si="1"/>
        <v/>
      </c>
      <c r="C861" s="14" t="str">
        <f>IF($A861&lt;&gt;"",MINIFS(Merchant!$A:$A,Merchant!$B:$B,$G$2),)</f>
        <v/>
      </c>
      <c r="D861" s="14" t="str">
        <f t="shared" si="2"/>
        <v/>
      </c>
      <c r="E861" s="14" t="str">
        <f t="shared" si="3"/>
        <v/>
      </c>
      <c r="F861" s="7" t="str">
        <f>IF($A861&lt;&gt;"",MAXIFS(Token!$C:$C,Token!$A:$A,$D861),)</f>
        <v/>
      </c>
    </row>
    <row r="862">
      <c r="A862" s="39" t="str">
        <f>IF(AND($L862*1&gt;=$G$3,$L862*1&lt;=$G$4,$I862*$J862&gt;0,OR($I862&lt;&gt;$I863,$L862-$L863&gt;25),IF(ABS($I862)&gt;10,$I862/POW(10,$J862),$J862/POW(10,$I862))*MAXIFS(Token!$C:$C,Token!$A:$A,$K862)&gt;0.01),$L862/86400+DATE(1970,1,1)+$G$6,)</f>
        <v/>
      </c>
      <c r="B862" s="27" t="str">
        <f t="shared" si="1"/>
        <v/>
      </c>
      <c r="C862" s="14" t="str">
        <f>IF($A862&lt;&gt;"",MINIFS(Merchant!$A:$A,Merchant!$B:$B,$G$2),)</f>
        <v/>
      </c>
      <c r="D862" s="14" t="str">
        <f t="shared" si="2"/>
        <v/>
      </c>
      <c r="E862" s="14" t="str">
        <f t="shared" si="3"/>
        <v/>
      </c>
      <c r="F862" s="7" t="str">
        <f>IF($A862&lt;&gt;"",MAXIFS(Token!$C:$C,Token!$A:$A,$D862),)</f>
        <v/>
      </c>
    </row>
    <row r="863">
      <c r="A863" s="39" t="str">
        <f>IF(AND($L863*1&gt;=$G$3,$L863*1&lt;=$G$4,$I863*$J863&gt;0,OR($I863&lt;&gt;$I864,$L863-$L864&gt;25),IF(ABS($I863)&gt;10,$I863/POW(10,$J863),$J863/POW(10,$I863))*MAXIFS(Token!$C:$C,Token!$A:$A,$K863)&gt;0.01),$L863/86400+DATE(1970,1,1)+$G$6,)</f>
        <v/>
      </c>
      <c r="B863" s="27" t="str">
        <f t="shared" si="1"/>
        <v/>
      </c>
      <c r="C863" s="14" t="str">
        <f>IF($A863&lt;&gt;"",MINIFS(Merchant!$A:$A,Merchant!$B:$B,$G$2),)</f>
        <v/>
      </c>
      <c r="D863" s="14" t="str">
        <f t="shared" si="2"/>
        <v/>
      </c>
      <c r="E863" s="14" t="str">
        <f t="shared" si="3"/>
        <v/>
      </c>
      <c r="F863" s="7" t="str">
        <f>IF($A863&lt;&gt;"",MAXIFS(Token!$C:$C,Token!$A:$A,$D863),)</f>
        <v/>
      </c>
    </row>
    <row r="864">
      <c r="A864" s="39" t="str">
        <f>IF(AND($L864*1&gt;=$G$3,$L864*1&lt;=$G$4,$I864*$J864&gt;0,OR($I864&lt;&gt;$I865,$L864-$L865&gt;25),IF(ABS($I864)&gt;10,$I864/POW(10,$J864),$J864/POW(10,$I864))*MAXIFS(Token!$C:$C,Token!$A:$A,$K864)&gt;0.01),$L864/86400+DATE(1970,1,1)+$G$6,)</f>
        <v/>
      </c>
      <c r="B864" s="27" t="str">
        <f t="shared" si="1"/>
        <v/>
      </c>
      <c r="C864" s="14" t="str">
        <f>IF($A864&lt;&gt;"",MINIFS(Merchant!$A:$A,Merchant!$B:$B,$G$2),)</f>
        <v/>
      </c>
      <c r="D864" s="14" t="str">
        <f t="shared" si="2"/>
        <v/>
      </c>
      <c r="E864" s="14" t="str">
        <f t="shared" si="3"/>
        <v/>
      </c>
      <c r="F864" s="7" t="str">
        <f>IF($A864&lt;&gt;"",MAXIFS(Token!$C:$C,Token!$A:$A,$D864),)</f>
        <v/>
      </c>
    </row>
    <row r="865">
      <c r="A865" s="39" t="str">
        <f>IF(AND($L865*1&gt;=$G$3,$L865*1&lt;=$G$4,$I865*$J865&gt;0,OR($I865&lt;&gt;$I866,$L865-$L866&gt;25),IF(ABS($I865)&gt;10,$I865/POW(10,$J865),$J865/POW(10,$I865))*MAXIFS(Token!$C:$C,Token!$A:$A,$K865)&gt;0.01),$L865/86400+DATE(1970,1,1)+$G$6,)</f>
        <v/>
      </c>
      <c r="B865" s="27" t="str">
        <f t="shared" si="1"/>
        <v/>
      </c>
      <c r="C865" s="14" t="str">
        <f>IF($A865&lt;&gt;"",MINIFS(Merchant!$A:$A,Merchant!$B:$B,$G$2),)</f>
        <v/>
      </c>
      <c r="D865" s="14" t="str">
        <f t="shared" si="2"/>
        <v/>
      </c>
      <c r="E865" s="14" t="str">
        <f t="shared" si="3"/>
        <v/>
      </c>
      <c r="F865" s="7" t="str">
        <f>IF($A865&lt;&gt;"",MAXIFS(Token!$C:$C,Token!$A:$A,$D865),)</f>
        <v/>
      </c>
    </row>
    <row r="866">
      <c r="A866" s="39" t="str">
        <f>IF(AND($L866*1&gt;=$G$3,$L866*1&lt;=$G$4,$I866*$J866&gt;0,OR($I866&lt;&gt;$I867,$L866-$L867&gt;25),IF(ABS($I866)&gt;10,$I866/POW(10,$J866),$J866/POW(10,$I866))*MAXIFS(Token!$C:$C,Token!$A:$A,$K866)&gt;0.01),$L866/86400+DATE(1970,1,1)+$G$6,)</f>
        <v/>
      </c>
      <c r="B866" s="27" t="str">
        <f t="shared" si="1"/>
        <v/>
      </c>
      <c r="C866" s="14" t="str">
        <f>IF($A866&lt;&gt;"",MINIFS(Merchant!$A:$A,Merchant!$B:$B,$G$2),)</f>
        <v/>
      </c>
      <c r="D866" s="14" t="str">
        <f t="shared" si="2"/>
        <v/>
      </c>
      <c r="E866" s="14" t="str">
        <f t="shared" si="3"/>
        <v/>
      </c>
      <c r="F866" s="7" t="str">
        <f>IF($A866&lt;&gt;"",MAXIFS(Token!$C:$C,Token!$A:$A,$D866),)</f>
        <v/>
      </c>
    </row>
    <row r="867">
      <c r="A867" s="39" t="str">
        <f>IF(AND($L867*1&gt;=$G$3,$L867*1&lt;=$G$4,$I867*$J867&gt;0,OR($I867&lt;&gt;$I868,$L867-$L868&gt;25),IF(ABS($I867)&gt;10,$I867/POW(10,$J867),$J867/POW(10,$I867))*MAXIFS(Token!$C:$C,Token!$A:$A,$K867)&gt;0.01),$L867/86400+DATE(1970,1,1)+$G$6,)</f>
        <v/>
      </c>
      <c r="B867" s="27" t="str">
        <f t="shared" si="1"/>
        <v/>
      </c>
      <c r="C867" s="14" t="str">
        <f>IF($A867&lt;&gt;"",MINIFS(Merchant!$A:$A,Merchant!$B:$B,$G$2),)</f>
        <v/>
      </c>
      <c r="D867" s="14" t="str">
        <f t="shared" si="2"/>
        <v/>
      </c>
      <c r="E867" s="14" t="str">
        <f t="shared" si="3"/>
        <v/>
      </c>
      <c r="F867" s="7" t="str">
        <f>IF($A867&lt;&gt;"",MAXIFS(Token!$C:$C,Token!$A:$A,$D867),)</f>
        <v/>
      </c>
    </row>
    <row r="868">
      <c r="A868" s="39" t="str">
        <f>IF(AND($L868*1&gt;=$G$3,$L868*1&lt;=$G$4,$I868*$J868&gt;0,OR($I868&lt;&gt;$I869,$L868-$L869&gt;25),IF(ABS($I868)&gt;10,$I868/POW(10,$J868),$J868/POW(10,$I868))*MAXIFS(Token!$C:$C,Token!$A:$A,$K868)&gt;0.01),$L868/86400+DATE(1970,1,1)+$G$6,)</f>
        <v/>
      </c>
      <c r="B868" s="27" t="str">
        <f t="shared" si="1"/>
        <v/>
      </c>
      <c r="C868" s="14" t="str">
        <f>IF($A868&lt;&gt;"",MINIFS(Merchant!$A:$A,Merchant!$B:$B,$G$2),)</f>
        <v/>
      </c>
      <c r="D868" s="14" t="str">
        <f t="shared" si="2"/>
        <v/>
      </c>
      <c r="E868" s="14" t="str">
        <f t="shared" si="3"/>
        <v/>
      </c>
      <c r="F868" s="7" t="str">
        <f>IF($A868&lt;&gt;"",MAXIFS(Token!$C:$C,Token!$A:$A,$D868),)</f>
        <v/>
      </c>
    </row>
    <row r="869">
      <c r="A869" s="39" t="str">
        <f>IF(AND($L869*1&gt;=$G$3,$L869*1&lt;=$G$4,$I869*$J869&gt;0,OR($I869&lt;&gt;$I870,$L869-$L870&gt;25),IF(ABS($I869)&gt;10,$I869/POW(10,$J869),$J869/POW(10,$I869))*MAXIFS(Token!$C:$C,Token!$A:$A,$K869)&gt;0.01),$L869/86400+DATE(1970,1,1)+$G$6,)</f>
        <v/>
      </c>
      <c r="B869" s="27" t="str">
        <f t="shared" si="1"/>
        <v/>
      </c>
      <c r="C869" s="14" t="str">
        <f>IF($A869&lt;&gt;"",MINIFS(Merchant!$A:$A,Merchant!$B:$B,$G$2),)</f>
        <v/>
      </c>
      <c r="D869" s="14" t="str">
        <f t="shared" si="2"/>
        <v/>
      </c>
      <c r="E869" s="14" t="str">
        <f t="shared" si="3"/>
        <v/>
      </c>
      <c r="F869" s="7" t="str">
        <f>IF($A869&lt;&gt;"",MAXIFS(Token!$C:$C,Token!$A:$A,$D869),)</f>
        <v/>
      </c>
    </row>
    <row r="870">
      <c r="A870" s="39" t="str">
        <f>IF(AND($L870*1&gt;=$G$3,$L870*1&lt;=$G$4,$I870*$J870&gt;0,OR($I870&lt;&gt;$I871,$L870-$L871&gt;25),IF(ABS($I870)&gt;10,$I870/POW(10,$J870),$J870/POW(10,$I870))*MAXIFS(Token!$C:$C,Token!$A:$A,$K870)&gt;0.01),$L870/86400+DATE(1970,1,1)+$G$6,)</f>
        <v/>
      </c>
      <c r="B870" s="27" t="str">
        <f t="shared" si="1"/>
        <v/>
      </c>
      <c r="C870" s="14" t="str">
        <f>IF($A870&lt;&gt;"",MINIFS(Merchant!$A:$A,Merchant!$B:$B,$G$2),)</f>
        <v/>
      </c>
      <c r="D870" s="14" t="str">
        <f t="shared" si="2"/>
        <v/>
      </c>
      <c r="E870" s="14" t="str">
        <f t="shared" si="3"/>
        <v/>
      </c>
      <c r="F870" s="7" t="str">
        <f>IF($A870&lt;&gt;"",MAXIFS(Token!$C:$C,Token!$A:$A,$D870),)</f>
        <v/>
      </c>
    </row>
    <row r="871">
      <c r="A871" s="39" t="str">
        <f>IF(AND($L871*1&gt;=$G$3,$L871*1&lt;=$G$4,$I871*$J871&gt;0,OR($I871&lt;&gt;$I872,$L871-$L872&gt;25),IF(ABS($I871)&gt;10,$I871/POW(10,$J871),$J871/POW(10,$I871))*MAXIFS(Token!$C:$C,Token!$A:$A,$K871)&gt;0.01),$L871/86400+DATE(1970,1,1)+$G$6,)</f>
        <v/>
      </c>
      <c r="B871" s="27" t="str">
        <f t="shared" si="1"/>
        <v/>
      </c>
      <c r="C871" s="14" t="str">
        <f>IF($A871&lt;&gt;"",MINIFS(Merchant!$A:$A,Merchant!$B:$B,$G$2),)</f>
        <v/>
      </c>
      <c r="D871" s="14" t="str">
        <f t="shared" si="2"/>
        <v/>
      </c>
      <c r="E871" s="14" t="str">
        <f t="shared" si="3"/>
        <v/>
      </c>
      <c r="F871" s="7" t="str">
        <f>IF($A871&lt;&gt;"",MAXIFS(Token!$C:$C,Token!$A:$A,$D871),)</f>
        <v/>
      </c>
    </row>
    <row r="872">
      <c r="A872" s="39" t="str">
        <f>IF(AND($L872*1&gt;=$G$3,$L872*1&lt;=$G$4,$I872*$J872&gt;0,OR($I872&lt;&gt;$I873,$L872-$L873&gt;25),IF(ABS($I872)&gt;10,$I872/POW(10,$J872),$J872/POW(10,$I872))*MAXIFS(Token!$C:$C,Token!$A:$A,$K872)&gt;0.01),$L872/86400+DATE(1970,1,1)+$G$6,)</f>
        <v/>
      </c>
      <c r="B872" s="27" t="str">
        <f t="shared" si="1"/>
        <v/>
      </c>
      <c r="C872" s="14" t="str">
        <f>IF($A872&lt;&gt;"",MINIFS(Merchant!$A:$A,Merchant!$B:$B,$G$2),)</f>
        <v/>
      </c>
      <c r="D872" s="14" t="str">
        <f t="shared" si="2"/>
        <v/>
      </c>
      <c r="E872" s="14" t="str">
        <f t="shared" si="3"/>
        <v/>
      </c>
      <c r="F872" s="7" t="str">
        <f>IF($A872&lt;&gt;"",MAXIFS(Token!$C:$C,Token!$A:$A,$D872),)</f>
        <v/>
      </c>
    </row>
    <row r="873">
      <c r="A873" s="39" t="str">
        <f>IF(AND($L873*1&gt;=$G$3,$L873*1&lt;=$G$4,$I873*$J873&gt;0,OR($I873&lt;&gt;$I874,$L873-$L874&gt;25),IF(ABS($I873)&gt;10,$I873/POW(10,$J873),$J873/POW(10,$I873))*MAXIFS(Token!$C:$C,Token!$A:$A,$K873)&gt;0.01),$L873/86400+DATE(1970,1,1)+$G$6,)</f>
        <v/>
      </c>
      <c r="B873" s="27" t="str">
        <f t="shared" si="1"/>
        <v/>
      </c>
      <c r="C873" s="14" t="str">
        <f>IF($A873&lt;&gt;"",MINIFS(Merchant!$A:$A,Merchant!$B:$B,$G$2),)</f>
        <v/>
      </c>
      <c r="D873" s="14" t="str">
        <f t="shared" si="2"/>
        <v/>
      </c>
      <c r="E873" s="14" t="str">
        <f t="shared" si="3"/>
        <v/>
      </c>
      <c r="F873" s="7" t="str">
        <f>IF($A873&lt;&gt;"",MAXIFS(Token!$C:$C,Token!$A:$A,$D873),)</f>
        <v/>
      </c>
    </row>
    <row r="874">
      <c r="A874" s="39" t="str">
        <f>IF(AND($L874*1&gt;=$G$3,$L874*1&lt;=$G$4,$I874*$J874&gt;0,OR($I874&lt;&gt;$I875,$L874-$L875&gt;25),IF(ABS($I874)&gt;10,$I874/POW(10,$J874),$J874/POW(10,$I874))*MAXIFS(Token!$C:$C,Token!$A:$A,$K874)&gt;0.01),$L874/86400+DATE(1970,1,1)+$G$6,)</f>
        <v/>
      </c>
      <c r="B874" s="27" t="str">
        <f t="shared" si="1"/>
        <v/>
      </c>
      <c r="C874" s="14" t="str">
        <f>IF($A874&lt;&gt;"",MINIFS(Merchant!$A:$A,Merchant!$B:$B,$G$2),)</f>
        <v/>
      </c>
      <c r="D874" s="14" t="str">
        <f t="shared" si="2"/>
        <v/>
      </c>
      <c r="E874" s="14" t="str">
        <f t="shared" si="3"/>
        <v/>
      </c>
      <c r="F874" s="7" t="str">
        <f>IF($A874&lt;&gt;"",MAXIFS(Token!$C:$C,Token!$A:$A,$D874),)</f>
        <v/>
      </c>
    </row>
    <row r="875">
      <c r="A875" s="39" t="str">
        <f>IF(AND($L875*1&gt;=$G$3,$L875*1&lt;=$G$4,$I875*$J875&gt;0,OR($I875&lt;&gt;$I876,$L875-$L876&gt;25),IF(ABS($I875)&gt;10,$I875/POW(10,$J875),$J875/POW(10,$I875))*MAXIFS(Token!$C:$C,Token!$A:$A,$K875)&gt;0.01),$L875/86400+DATE(1970,1,1)+$G$6,)</f>
        <v/>
      </c>
      <c r="B875" s="27" t="str">
        <f t="shared" si="1"/>
        <v/>
      </c>
      <c r="C875" s="14" t="str">
        <f>IF($A875&lt;&gt;"",MINIFS(Merchant!$A:$A,Merchant!$B:$B,$G$2),)</f>
        <v/>
      </c>
      <c r="D875" s="14" t="str">
        <f t="shared" si="2"/>
        <v/>
      </c>
      <c r="E875" s="14" t="str">
        <f t="shared" si="3"/>
        <v/>
      </c>
      <c r="F875" s="7" t="str">
        <f>IF($A875&lt;&gt;"",MAXIFS(Token!$C:$C,Token!$A:$A,$D875),)</f>
        <v/>
      </c>
    </row>
    <row r="876">
      <c r="A876" s="39" t="str">
        <f>IF(AND($L876*1&gt;=$G$3,$L876*1&lt;=$G$4,$I876*$J876&gt;0,OR($I876&lt;&gt;$I877,$L876-$L877&gt;25),IF(ABS($I876)&gt;10,$I876/POW(10,$J876),$J876/POW(10,$I876))*MAXIFS(Token!$C:$C,Token!$A:$A,$K876)&gt;0.01),$L876/86400+DATE(1970,1,1)+$G$6,)</f>
        <v/>
      </c>
      <c r="B876" s="27" t="str">
        <f t="shared" si="1"/>
        <v/>
      </c>
      <c r="C876" s="14" t="str">
        <f>IF($A876&lt;&gt;"",MINIFS(Merchant!$A:$A,Merchant!$B:$B,$G$2),)</f>
        <v/>
      </c>
      <c r="D876" s="14" t="str">
        <f t="shared" si="2"/>
        <v/>
      </c>
      <c r="E876" s="14" t="str">
        <f t="shared" si="3"/>
        <v/>
      </c>
      <c r="F876" s="7" t="str">
        <f>IF($A876&lt;&gt;"",MAXIFS(Token!$C:$C,Token!$A:$A,$D876),)</f>
        <v/>
      </c>
    </row>
    <row r="877">
      <c r="A877" s="39" t="str">
        <f>IF(AND($L877*1&gt;=$G$3,$L877*1&lt;=$G$4,$I877*$J877&gt;0,OR($I877&lt;&gt;$I878,$L877-$L878&gt;25),IF(ABS($I877)&gt;10,$I877/POW(10,$J877),$J877/POW(10,$I877))*MAXIFS(Token!$C:$C,Token!$A:$A,$K877)&gt;0.01),$L877/86400+DATE(1970,1,1)+$G$6,)</f>
        <v/>
      </c>
      <c r="B877" s="27" t="str">
        <f t="shared" si="1"/>
        <v/>
      </c>
      <c r="C877" s="14" t="str">
        <f>IF($A877&lt;&gt;"",MINIFS(Merchant!$A:$A,Merchant!$B:$B,$G$2),)</f>
        <v/>
      </c>
      <c r="D877" s="14" t="str">
        <f t="shared" si="2"/>
        <v/>
      </c>
      <c r="E877" s="14" t="str">
        <f t="shared" si="3"/>
        <v/>
      </c>
      <c r="F877" s="7" t="str">
        <f>IF($A877&lt;&gt;"",MAXIFS(Token!$C:$C,Token!$A:$A,$D877),)</f>
        <v/>
      </c>
    </row>
    <row r="878">
      <c r="A878" s="39" t="str">
        <f>IF(AND($L878*1&gt;=$G$3,$L878*1&lt;=$G$4,$I878*$J878&gt;0,OR($I878&lt;&gt;$I879,$L878-$L879&gt;25),IF(ABS($I878)&gt;10,$I878/POW(10,$J878),$J878/POW(10,$I878))*MAXIFS(Token!$C:$C,Token!$A:$A,$K878)&gt;0.01),$L878/86400+DATE(1970,1,1)+$G$6,)</f>
        <v/>
      </c>
      <c r="B878" s="27" t="str">
        <f t="shared" si="1"/>
        <v/>
      </c>
      <c r="C878" s="14" t="str">
        <f>IF($A878&lt;&gt;"",MINIFS(Merchant!$A:$A,Merchant!$B:$B,$G$2),)</f>
        <v/>
      </c>
      <c r="D878" s="14" t="str">
        <f t="shared" si="2"/>
        <v/>
      </c>
      <c r="E878" s="14" t="str">
        <f t="shared" si="3"/>
        <v/>
      </c>
      <c r="F878" s="7" t="str">
        <f>IF($A878&lt;&gt;"",MAXIFS(Token!$C:$C,Token!$A:$A,$D878),)</f>
        <v/>
      </c>
    </row>
    <row r="879">
      <c r="A879" s="39" t="str">
        <f>IF(AND($L879*1&gt;=$G$3,$L879*1&lt;=$G$4,$I879*$J879&gt;0,OR($I879&lt;&gt;$I880,$L879-$L880&gt;25),IF(ABS($I879)&gt;10,$I879/POW(10,$J879),$J879/POW(10,$I879))*MAXIFS(Token!$C:$C,Token!$A:$A,$K879)&gt;0.01),$L879/86400+DATE(1970,1,1)+$G$6,)</f>
        <v/>
      </c>
      <c r="B879" s="27" t="str">
        <f t="shared" si="1"/>
        <v/>
      </c>
      <c r="C879" s="14" t="str">
        <f>IF($A879&lt;&gt;"",MINIFS(Merchant!$A:$A,Merchant!$B:$B,$G$2),)</f>
        <v/>
      </c>
      <c r="D879" s="14" t="str">
        <f t="shared" si="2"/>
        <v/>
      </c>
      <c r="E879" s="14" t="str">
        <f t="shared" si="3"/>
        <v/>
      </c>
      <c r="F879" s="7" t="str">
        <f>IF($A879&lt;&gt;"",MAXIFS(Token!$C:$C,Token!$A:$A,$D879),)</f>
        <v/>
      </c>
    </row>
    <row r="880">
      <c r="A880" s="39" t="str">
        <f>IF(AND($L880*1&gt;=$G$3,$L880*1&lt;=$G$4,$I880*$J880&gt;0,OR($I880&lt;&gt;$I881,$L880-$L881&gt;25),IF(ABS($I880)&gt;10,$I880/POW(10,$J880),$J880/POW(10,$I880))*MAXIFS(Token!$C:$C,Token!$A:$A,$K880)&gt;0.01),$L880/86400+DATE(1970,1,1)+$G$6,)</f>
        <v/>
      </c>
      <c r="B880" s="27" t="str">
        <f t="shared" si="1"/>
        <v/>
      </c>
      <c r="C880" s="14" t="str">
        <f>IF($A880&lt;&gt;"",MINIFS(Merchant!$A:$A,Merchant!$B:$B,$G$2),)</f>
        <v/>
      </c>
      <c r="D880" s="14" t="str">
        <f t="shared" si="2"/>
        <v/>
      </c>
      <c r="E880" s="14" t="str">
        <f t="shared" si="3"/>
        <v/>
      </c>
      <c r="F880" s="7" t="str">
        <f>IF($A880&lt;&gt;"",MAXIFS(Token!$C:$C,Token!$A:$A,$D880),)</f>
        <v/>
      </c>
    </row>
    <row r="881">
      <c r="A881" s="39" t="str">
        <f>IF(AND($L881*1&gt;=$G$3,$L881*1&lt;=$G$4,$I881*$J881&gt;0,OR($I881&lt;&gt;$I882,$L881-$L882&gt;25),IF(ABS($I881)&gt;10,$I881/POW(10,$J881),$J881/POW(10,$I881))*MAXIFS(Token!$C:$C,Token!$A:$A,$K881)&gt;0.01),$L881/86400+DATE(1970,1,1)+$G$6,)</f>
        <v/>
      </c>
      <c r="B881" s="27" t="str">
        <f t="shared" si="1"/>
        <v/>
      </c>
      <c r="C881" s="14" t="str">
        <f>IF($A881&lt;&gt;"",MINIFS(Merchant!$A:$A,Merchant!$B:$B,$G$2),)</f>
        <v/>
      </c>
      <c r="D881" s="14" t="str">
        <f t="shared" si="2"/>
        <v/>
      </c>
      <c r="E881" s="14" t="str">
        <f t="shared" si="3"/>
        <v/>
      </c>
      <c r="F881" s="7" t="str">
        <f>IF($A881&lt;&gt;"",MAXIFS(Token!$C:$C,Token!$A:$A,$D881),)</f>
        <v/>
      </c>
    </row>
    <row r="882">
      <c r="A882" s="39" t="str">
        <f>IF(AND($L882*1&gt;=$G$3,$L882*1&lt;=$G$4,$I882*$J882&gt;0,OR($I882&lt;&gt;$I883,$L882-$L883&gt;25),IF(ABS($I882)&gt;10,$I882/POW(10,$J882),$J882/POW(10,$I882))*MAXIFS(Token!$C:$C,Token!$A:$A,$K882)&gt;0.01),$L882/86400+DATE(1970,1,1)+$G$6,)</f>
        <v/>
      </c>
      <c r="B882" s="27" t="str">
        <f t="shared" si="1"/>
        <v/>
      </c>
      <c r="C882" s="14" t="str">
        <f>IF($A882&lt;&gt;"",MINIFS(Merchant!$A:$A,Merchant!$B:$B,$G$2),)</f>
        <v/>
      </c>
      <c r="D882" s="14" t="str">
        <f t="shared" si="2"/>
        <v/>
      </c>
      <c r="E882" s="14" t="str">
        <f t="shared" si="3"/>
        <v/>
      </c>
      <c r="F882" s="7" t="str">
        <f>IF($A882&lt;&gt;"",MAXIFS(Token!$C:$C,Token!$A:$A,$D882),)</f>
        <v/>
      </c>
    </row>
    <row r="883">
      <c r="A883" s="39" t="str">
        <f>IF(AND($L883*1&gt;=$G$3,$L883*1&lt;=$G$4,$I883*$J883&gt;0,OR($I883&lt;&gt;$I884,$L883-$L884&gt;25),IF(ABS($I883)&gt;10,$I883/POW(10,$J883),$J883/POW(10,$I883))*MAXIFS(Token!$C:$C,Token!$A:$A,$K883)&gt;0.01),$L883/86400+DATE(1970,1,1)+$G$6,)</f>
        <v/>
      </c>
      <c r="B883" s="27" t="str">
        <f t="shared" si="1"/>
        <v/>
      </c>
      <c r="C883" s="14" t="str">
        <f>IF($A883&lt;&gt;"",MINIFS(Merchant!$A:$A,Merchant!$B:$B,$G$2),)</f>
        <v/>
      </c>
      <c r="D883" s="14" t="str">
        <f t="shared" si="2"/>
        <v/>
      </c>
      <c r="E883" s="14" t="str">
        <f t="shared" si="3"/>
        <v/>
      </c>
      <c r="F883" s="7" t="str">
        <f>IF($A883&lt;&gt;"",MAXIFS(Token!$C:$C,Token!$A:$A,$D883),)</f>
        <v/>
      </c>
    </row>
    <row r="884">
      <c r="A884" s="39" t="str">
        <f>IF(AND($L884*1&gt;=$G$3,$L884*1&lt;=$G$4,$I884*$J884&gt;0,OR($I884&lt;&gt;$I885,$L884-$L885&gt;25),IF(ABS($I884)&gt;10,$I884/POW(10,$J884),$J884/POW(10,$I884))*MAXIFS(Token!$C:$C,Token!$A:$A,$K884)&gt;0.01),$L884/86400+DATE(1970,1,1)+$G$6,)</f>
        <v/>
      </c>
      <c r="B884" s="27" t="str">
        <f t="shared" si="1"/>
        <v/>
      </c>
      <c r="C884" s="14" t="str">
        <f>IF($A884&lt;&gt;"",MINIFS(Merchant!$A:$A,Merchant!$B:$B,$G$2),)</f>
        <v/>
      </c>
      <c r="D884" s="14" t="str">
        <f t="shared" si="2"/>
        <v/>
      </c>
      <c r="E884" s="14" t="str">
        <f t="shared" si="3"/>
        <v/>
      </c>
      <c r="F884" s="7" t="str">
        <f>IF($A884&lt;&gt;"",MAXIFS(Token!$C:$C,Token!$A:$A,$D884),)</f>
        <v/>
      </c>
    </row>
    <row r="885">
      <c r="A885" s="39" t="str">
        <f>IF(AND($L885*1&gt;=$G$3,$L885*1&lt;=$G$4,$I885*$J885&gt;0,OR($I885&lt;&gt;$I886,$L885-$L886&gt;25),IF(ABS($I885)&gt;10,$I885/POW(10,$J885),$J885/POW(10,$I885))*MAXIFS(Token!$C:$C,Token!$A:$A,$K885)&gt;0.01),$L885/86400+DATE(1970,1,1)+$G$6,)</f>
        <v/>
      </c>
      <c r="B885" s="27" t="str">
        <f t="shared" si="1"/>
        <v/>
      </c>
      <c r="C885" s="14" t="str">
        <f>IF($A885&lt;&gt;"",MINIFS(Merchant!$A:$A,Merchant!$B:$B,$G$2),)</f>
        <v/>
      </c>
      <c r="D885" s="14" t="str">
        <f t="shared" si="2"/>
        <v/>
      </c>
      <c r="E885" s="14" t="str">
        <f t="shared" si="3"/>
        <v/>
      </c>
      <c r="F885" s="7" t="str">
        <f>IF($A885&lt;&gt;"",MAXIFS(Token!$C:$C,Token!$A:$A,$D885),)</f>
        <v/>
      </c>
    </row>
    <row r="886">
      <c r="A886" s="39" t="str">
        <f>IF(AND($L886*1&gt;=$G$3,$L886*1&lt;=$G$4,$I886*$J886&gt;0,OR($I886&lt;&gt;$I887,$L886-$L887&gt;25),IF(ABS($I886)&gt;10,$I886/POW(10,$J886),$J886/POW(10,$I886))*MAXIFS(Token!$C:$C,Token!$A:$A,$K886)&gt;0.01),$L886/86400+DATE(1970,1,1)+$G$6,)</f>
        <v/>
      </c>
      <c r="B886" s="27" t="str">
        <f t="shared" si="1"/>
        <v/>
      </c>
      <c r="C886" s="14" t="str">
        <f>IF($A886&lt;&gt;"",MINIFS(Merchant!$A:$A,Merchant!$B:$B,$G$2),)</f>
        <v/>
      </c>
      <c r="D886" s="14" t="str">
        <f t="shared" si="2"/>
        <v/>
      </c>
      <c r="E886" s="14" t="str">
        <f t="shared" si="3"/>
        <v/>
      </c>
      <c r="F886" s="7" t="str">
        <f>IF($A886&lt;&gt;"",MAXIFS(Token!$C:$C,Token!$A:$A,$D886),)</f>
        <v/>
      </c>
    </row>
    <row r="887">
      <c r="A887" s="39" t="str">
        <f>IF(AND($L887*1&gt;=$G$3,$L887*1&lt;=$G$4,$I887*$J887&gt;0,OR($I887&lt;&gt;$I888,$L887-$L888&gt;25),IF(ABS($I887)&gt;10,$I887/POW(10,$J887),$J887/POW(10,$I887))*MAXIFS(Token!$C:$C,Token!$A:$A,$K887)&gt;0.01),$L887/86400+DATE(1970,1,1)+$G$6,)</f>
        <v/>
      </c>
      <c r="B887" s="27" t="str">
        <f t="shared" si="1"/>
        <v/>
      </c>
      <c r="C887" s="14" t="str">
        <f>IF($A887&lt;&gt;"",MINIFS(Merchant!$A:$A,Merchant!$B:$B,$G$2),)</f>
        <v/>
      </c>
      <c r="D887" s="14" t="str">
        <f t="shared" si="2"/>
        <v/>
      </c>
      <c r="E887" s="14" t="str">
        <f t="shared" si="3"/>
        <v/>
      </c>
      <c r="F887" s="7" t="str">
        <f>IF($A887&lt;&gt;"",MAXIFS(Token!$C:$C,Token!$A:$A,$D887),)</f>
        <v/>
      </c>
    </row>
    <row r="888">
      <c r="A888" s="39" t="str">
        <f>IF(AND($L888*1&gt;=$G$3,$L888*1&lt;=$G$4,$I888*$J888&gt;0,OR($I888&lt;&gt;$I889,$L888-$L889&gt;25),IF(ABS($I888)&gt;10,$I888/POW(10,$J888),$J888/POW(10,$I888))*MAXIFS(Token!$C:$C,Token!$A:$A,$K888)&gt;0.01),$L888/86400+DATE(1970,1,1)+$G$6,)</f>
        <v/>
      </c>
      <c r="B888" s="27" t="str">
        <f t="shared" si="1"/>
        <v/>
      </c>
      <c r="C888" s="14" t="str">
        <f>IF($A888&lt;&gt;"",MINIFS(Merchant!$A:$A,Merchant!$B:$B,$G$2),)</f>
        <v/>
      </c>
      <c r="D888" s="14" t="str">
        <f t="shared" si="2"/>
        <v/>
      </c>
      <c r="E888" s="14" t="str">
        <f t="shared" si="3"/>
        <v/>
      </c>
      <c r="F888" s="7" t="str">
        <f>IF($A888&lt;&gt;"",MAXIFS(Token!$C:$C,Token!$A:$A,$D888),)</f>
        <v/>
      </c>
    </row>
    <row r="889">
      <c r="A889" s="39" t="str">
        <f>IF(AND($L889*1&gt;=$G$3,$L889*1&lt;=$G$4,$I889*$J889&gt;0,OR($I889&lt;&gt;$I890,$L889-$L890&gt;25),IF(ABS($I889)&gt;10,$I889/POW(10,$J889),$J889/POW(10,$I889))*MAXIFS(Token!$C:$C,Token!$A:$A,$K889)&gt;0.01),$L889/86400+DATE(1970,1,1)+$G$6,)</f>
        <v/>
      </c>
      <c r="B889" s="27" t="str">
        <f t="shared" si="1"/>
        <v/>
      </c>
      <c r="C889" s="14" t="str">
        <f>IF($A889&lt;&gt;"",MINIFS(Merchant!$A:$A,Merchant!$B:$B,$G$2),)</f>
        <v/>
      </c>
      <c r="D889" s="14" t="str">
        <f t="shared" si="2"/>
        <v/>
      </c>
      <c r="E889" s="14" t="str">
        <f t="shared" si="3"/>
        <v/>
      </c>
      <c r="F889" s="7" t="str">
        <f>IF($A889&lt;&gt;"",MAXIFS(Token!$C:$C,Token!$A:$A,$D889),)</f>
        <v/>
      </c>
    </row>
    <row r="890">
      <c r="A890" s="39" t="str">
        <f>IF(AND($L890*1&gt;=$G$3,$L890*1&lt;=$G$4,$I890*$J890&gt;0,OR($I890&lt;&gt;$I891,$L890-$L891&gt;25),IF(ABS($I890)&gt;10,$I890/POW(10,$J890),$J890/POW(10,$I890))*MAXIFS(Token!$C:$C,Token!$A:$A,$K890)&gt;0.01),$L890/86400+DATE(1970,1,1)+$G$6,)</f>
        <v/>
      </c>
      <c r="B890" s="27" t="str">
        <f t="shared" si="1"/>
        <v/>
      </c>
      <c r="C890" s="14" t="str">
        <f>IF($A890&lt;&gt;"",MINIFS(Merchant!$A:$A,Merchant!$B:$B,$G$2),)</f>
        <v/>
      </c>
      <c r="D890" s="14" t="str">
        <f t="shared" si="2"/>
        <v/>
      </c>
      <c r="E890" s="14" t="str">
        <f t="shared" si="3"/>
        <v/>
      </c>
      <c r="F890" s="7" t="str">
        <f>IF($A890&lt;&gt;"",MAXIFS(Token!$C:$C,Token!$A:$A,$D890),)</f>
        <v/>
      </c>
    </row>
    <row r="891">
      <c r="A891" s="39" t="str">
        <f>IF(AND($L891*1&gt;=$G$3,$L891*1&lt;=$G$4,$I891*$J891&gt;0,OR($I891&lt;&gt;$I892,$L891-$L892&gt;25),IF(ABS($I891)&gt;10,$I891/POW(10,$J891),$J891/POW(10,$I891))*MAXIFS(Token!$C:$C,Token!$A:$A,$K891)&gt;0.01),$L891/86400+DATE(1970,1,1)+$G$6,)</f>
        <v/>
      </c>
      <c r="B891" s="27" t="str">
        <f t="shared" si="1"/>
        <v/>
      </c>
      <c r="C891" s="14" t="str">
        <f>IF($A891&lt;&gt;"",MINIFS(Merchant!$A:$A,Merchant!$B:$B,$G$2),)</f>
        <v/>
      </c>
      <c r="D891" s="14" t="str">
        <f t="shared" si="2"/>
        <v/>
      </c>
      <c r="E891" s="14" t="str">
        <f t="shared" si="3"/>
        <v/>
      </c>
      <c r="F891" s="7" t="str">
        <f>IF($A891&lt;&gt;"",MAXIFS(Token!$C:$C,Token!$A:$A,$D891),)</f>
        <v/>
      </c>
    </row>
    <row r="892">
      <c r="A892" s="39" t="str">
        <f>IF(AND($L892*1&gt;=$G$3,$L892*1&lt;=$G$4,$I892*$J892&gt;0,OR($I892&lt;&gt;$I893,$L892-$L893&gt;25),IF(ABS($I892)&gt;10,$I892/POW(10,$J892),$J892/POW(10,$I892))*MAXIFS(Token!$C:$C,Token!$A:$A,$K892)&gt;0.01),$L892/86400+DATE(1970,1,1)+$G$6,)</f>
        <v/>
      </c>
      <c r="B892" s="27" t="str">
        <f t="shared" si="1"/>
        <v/>
      </c>
      <c r="C892" s="14" t="str">
        <f>IF($A892&lt;&gt;"",MINIFS(Merchant!$A:$A,Merchant!$B:$B,$G$2),)</f>
        <v/>
      </c>
      <c r="D892" s="14" t="str">
        <f t="shared" si="2"/>
        <v/>
      </c>
      <c r="E892" s="14" t="str">
        <f t="shared" si="3"/>
        <v/>
      </c>
      <c r="F892" s="7" t="str">
        <f>IF($A892&lt;&gt;"",MAXIFS(Token!$C:$C,Token!$A:$A,$D892),)</f>
        <v/>
      </c>
    </row>
    <row r="893">
      <c r="A893" s="39" t="str">
        <f>IF(AND($L893*1&gt;=$G$3,$L893*1&lt;=$G$4,$I893*$J893&gt;0,OR($I893&lt;&gt;$I894,$L893-$L894&gt;25),IF(ABS($I893)&gt;10,$I893/POW(10,$J893),$J893/POW(10,$I893))*MAXIFS(Token!$C:$C,Token!$A:$A,$K893)&gt;0.01),$L893/86400+DATE(1970,1,1)+$G$6,)</f>
        <v/>
      </c>
      <c r="B893" s="27" t="str">
        <f t="shared" si="1"/>
        <v/>
      </c>
      <c r="C893" s="14" t="str">
        <f>IF($A893&lt;&gt;"",MINIFS(Merchant!$A:$A,Merchant!$B:$B,$G$2),)</f>
        <v/>
      </c>
      <c r="D893" s="14" t="str">
        <f t="shared" si="2"/>
        <v/>
      </c>
      <c r="E893" s="14" t="str">
        <f t="shared" si="3"/>
        <v/>
      </c>
      <c r="F893" s="7" t="str">
        <f>IF($A893&lt;&gt;"",MAXIFS(Token!$C:$C,Token!$A:$A,$D893),)</f>
        <v/>
      </c>
    </row>
    <row r="894">
      <c r="A894" s="39" t="str">
        <f>IF(AND($L894*1&gt;=$G$3,$L894*1&lt;=$G$4,$I894*$J894&gt;0,OR($I894&lt;&gt;$I895,$L894-$L895&gt;25),IF(ABS($I894)&gt;10,$I894/POW(10,$J894),$J894/POW(10,$I894))*MAXIFS(Token!$C:$C,Token!$A:$A,$K894)&gt;0.01),$L894/86400+DATE(1970,1,1)+$G$6,)</f>
        <v/>
      </c>
      <c r="B894" s="27" t="str">
        <f t="shared" si="1"/>
        <v/>
      </c>
      <c r="C894" s="14" t="str">
        <f>IF($A894&lt;&gt;"",MINIFS(Merchant!$A:$A,Merchant!$B:$B,$G$2),)</f>
        <v/>
      </c>
      <c r="D894" s="14" t="str">
        <f t="shared" si="2"/>
        <v/>
      </c>
      <c r="E894" s="14" t="str">
        <f t="shared" si="3"/>
        <v/>
      </c>
      <c r="F894" s="7" t="str">
        <f>IF($A894&lt;&gt;"",MAXIFS(Token!$C:$C,Token!$A:$A,$D894),)</f>
        <v/>
      </c>
    </row>
    <row r="895">
      <c r="A895" s="39" t="str">
        <f>IF(AND($L895*1&gt;=$G$3,$L895*1&lt;=$G$4,$I895*$J895&gt;0,OR($I895&lt;&gt;$I896,$L895-$L896&gt;25),IF(ABS($I895)&gt;10,$I895/POW(10,$J895),$J895/POW(10,$I895))*MAXIFS(Token!$C:$C,Token!$A:$A,$K895)&gt;0.01),$L895/86400+DATE(1970,1,1)+$G$6,)</f>
        <v/>
      </c>
      <c r="B895" s="27" t="str">
        <f t="shared" si="1"/>
        <v/>
      </c>
      <c r="C895" s="14" t="str">
        <f>IF($A895&lt;&gt;"",MINIFS(Merchant!$A:$A,Merchant!$B:$B,$G$2),)</f>
        <v/>
      </c>
      <c r="D895" s="14" t="str">
        <f t="shared" si="2"/>
        <v/>
      </c>
      <c r="E895" s="14" t="str">
        <f t="shared" si="3"/>
        <v/>
      </c>
      <c r="F895" s="7" t="str">
        <f>IF($A895&lt;&gt;"",MAXIFS(Token!$C:$C,Token!$A:$A,$D895),)</f>
        <v/>
      </c>
    </row>
    <row r="896">
      <c r="A896" s="39" t="str">
        <f>IF(AND($L896*1&gt;=$G$3,$L896*1&lt;=$G$4,$I896*$J896&gt;0,OR($I896&lt;&gt;$I897,$L896-$L897&gt;25),IF(ABS($I896)&gt;10,$I896/POW(10,$J896),$J896/POW(10,$I896))*MAXIFS(Token!$C:$C,Token!$A:$A,$K896)&gt;0.01),$L896/86400+DATE(1970,1,1)+$G$6,)</f>
        <v/>
      </c>
      <c r="B896" s="27" t="str">
        <f t="shared" si="1"/>
        <v/>
      </c>
      <c r="C896" s="14" t="str">
        <f>IF($A896&lt;&gt;"",MINIFS(Merchant!$A:$A,Merchant!$B:$B,$G$2),)</f>
        <v/>
      </c>
      <c r="D896" s="14" t="str">
        <f t="shared" si="2"/>
        <v/>
      </c>
      <c r="E896" s="14" t="str">
        <f t="shared" si="3"/>
        <v/>
      </c>
      <c r="F896" s="7" t="str">
        <f>IF($A896&lt;&gt;"",MAXIFS(Token!$C:$C,Token!$A:$A,$D896),)</f>
        <v/>
      </c>
    </row>
    <row r="897">
      <c r="A897" s="39" t="str">
        <f>IF(AND($L897*1&gt;=$G$3,$L897*1&lt;=$G$4,$I897*$J897&gt;0,OR($I897&lt;&gt;$I898,$L897-$L898&gt;25),IF(ABS($I897)&gt;10,$I897/POW(10,$J897),$J897/POW(10,$I897))*MAXIFS(Token!$C:$C,Token!$A:$A,$K897)&gt;0.01),$L897/86400+DATE(1970,1,1)+$G$6,)</f>
        <v/>
      </c>
      <c r="B897" s="27" t="str">
        <f t="shared" si="1"/>
        <v/>
      </c>
      <c r="C897" s="14" t="str">
        <f>IF($A897&lt;&gt;"",MINIFS(Merchant!$A:$A,Merchant!$B:$B,$G$2),)</f>
        <v/>
      </c>
      <c r="D897" s="14" t="str">
        <f t="shared" si="2"/>
        <v/>
      </c>
      <c r="E897" s="14" t="str">
        <f t="shared" si="3"/>
        <v/>
      </c>
      <c r="F897" s="7" t="str">
        <f>IF($A897&lt;&gt;"",MAXIFS(Token!$C:$C,Token!$A:$A,$D897),)</f>
        <v/>
      </c>
    </row>
    <row r="898">
      <c r="A898" s="39" t="str">
        <f>IF(AND($L898*1&gt;=$G$3,$L898*1&lt;=$G$4,$I898*$J898&gt;0,OR($I898&lt;&gt;$I899,$L898-$L899&gt;25),IF(ABS($I898)&gt;10,$I898/POW(10,$J898),$J898/POW(10,$I898))*MAXIFS(Token!$C:$C,Token!$A:$A,$K898)&gt;0.01),$L898/86400+DATE(1970,1,1)+$G$6,)</f>
        <v/>
      </c>
      <c r="B898" s="27" t="str">
        <f t="shared" si="1"/>
        <v/>
      </c>
      <c r="C898" s="14" t="str">
        <f>IF($A898&lt;&gt;"",MINIFS(Merchant!$A:$A,Merchant!$B:$B,$G$2),)</f>
        <v/>
      </c>
      <c r="D898" s="14" t="str">
        <f t="shared" si="2"/>
        <v/>
      </c>
      <c r="E898" s="14" t="str">
        <f t="shared" si="3"/>
        <v/>
      </c>
      <c r="F898" s="7" t="str">
        <f>IF($A898&lt;&gt;"",MAXIFS(Token!$C:$C,Token!$A:$A,$D898),)</f>
        <v/>
      </c>
    </row>
    <row r="899">
      <c r="A899" s="39" t="str">
        <f>IF(AND($L899*1&gt;=$G$3,$L899*1&lt;=$G$4,$I899*$J899&gt;0,OR($I899&lt;&gt;$I900,$L899-$L900&gt;25),IF(ABS($I899)&gt;10,$I899/POW(10,$J899),$J899/POW(10,$I899))*MAXIFS(Token!$C:$C,Token!$A:$A,$K899)&gt;0.01),$L899/86400+DATE(1970,1,1)+$G$6,)</f>
        <v/>
      </c>
      <c r="B899" s="27" t="str">
        <f t="shared" si="1"/>
        <v/>
      </c>
      <c r="C899" s="14" t="str">
        <f>IF($A899&lt;&gt;"",MINIFS(Merchant!$A:$A,Merchant!$B:$B,$G$2),)</f>
        <v/>
      </c>
      <c r="D899" s="14" t="str">
        <f t="shared" si="2"/>
        <v/>
      </c>
      <c r="E899" s="14" t="str">
        <f t="shared" si="3"/>
        <v/>
      </c>
      <c r="F899" s="7" t="str">
        <f>IF($A899&lt;&gt;"",MAXIFS(Token!$C:$C,Token!$A:$A,$D899),)</f>
        <v/>
      </c>
    </row>
    <row r="900">
      <c r="A900" s="39" t="str">
        <f>IF(AND($L900*1&gt;=$G$3,$L900*1&lt;=$G$4,$I900*$J900&gt;0,OR($I900&lt;&gt;$I901,$L900-$L901&gt;25),IF(ABS($I900)&gt;10,$I900/POW(10,$J900),$J900/POW(10,$I900))*MAXIFS(Token!$C:$C,Token!$A:$A,$K900)&gt;0.01),$L900/86400+DATE(1970,1,1)+$G$6,)</f>
        <v/>
      </c>
      <c r="B900" s="27" t="str">
        <f t="shared" si="1"/>
        <v/>
      </c>
      <c r="C900" s="14" t="str">
        <f>IF($A900&lt;&gt;"",MINIFS(Merchant!$A:$A,Merchant!$B:$B,$G$2),)</f>
        <v/>
      </c>
      <c r="D900" s="14" t="str">
        <f t="shared" si="2"/>
        <v/>
      </c>
      <c r="E900" s="14" t="str">
        <f t="shared" si="3"/>
        <v/>
      </c>
      <c r="F900" s="7" t="str">
        <f>IF($A900&lt;&gt;"",MAXIFS(Token!$C:$C,Token!$A:$A,$D900),)</f>
        <v/>
      </c>
    </row>
    <row r="901">
      <c r="A901" s="39" t="str">
        <f>IF(AND($L901*1&gt;=$G$3,$L901*1&lt;=$G$4,$I901*$J901&gt;0,OR($I901&lt;&gt;$I902,$L901-$L902&gt;25),IF(ABS($I901)&gt;10,$I901/POW(10,$J901),$J901/POW(10,$I901))*MAXIFS(Token!$C:$C,Token!$A:$A,$K901)&gt;0.01),$L901/86400+DATE(1970,1,1)+$G$6,)</f>
        <v/>
      </c>
      <c r="B901" s="27" t="str">
        <f t="shared" si="1"/>
        <v/>
      </c>
      <c r="C901" s="14" t="str">
        <f>IF($A901&lt;&gt;"",MINIFS(Merchant!$A:$A,Merchant!$B:$B,$G$2),)</f>
        <v/>
      </c>
      <c r="D901" s="14" t="str">
        <f t="shared" si="2"/>
        <v/>
      </c>
      <c r="E901" s="14" t="str">
        <f t="shared" si="3"/>
        <v/>
      </c>
      <c r="F901" s="7" t="str">
        <f>IF($A901&lt;&gt;"",MAXIFS(Token!$C:$C,Token!$A:$A,$D901),)</f>
        <v/>
      </c>
    </row>
    <row r="902">
      <c r="A902" s="39" t="str">
        <f>IF(AND($L902*1&gt;=$G$3,$L902*1&lt;=$G$4,$I902*$J902&gt;0,OR($I902&lt;&gt;$I903,$L902-$L903&gt;25),IF(ABS($I902)&gt;10,$I902/POW(10,$J902),$J902/POW(10,$I902))*MAXIFS(Token!$C:$C,Token!$A:$A,$K902)&gt;0.01),$L902/86400+DATE(1970,1,1)+$G$6,)</f>
        <v/>
      </c>
      <c r="B902" s="27" t="str">
        <f t="shared" si="1"/>
        <v/>
      </c>
      <c r="C902" s="14" t="str">
        <f>IF($A902&lt;&gt;"",MINIFS(Merchant!$A:$A,Merchant!$B:$B,$G$2),)</f>
        <v/>
      </c>
      <c r="D902" s="14" t="str">
        <f t="shared" si="2"/>
        <v/>
      </c>
      <c r="E902" s="14" t="str">
        <f t="shared" si="3"/>
        <v/>
      </c>
      <c r="F902" s="7" t="str">
        <f>IF($A902&lt;&gt;"",MAXIFS(Token!$C:$C,Token!$A:$A,$D902),)</f>
        <v/>
      </c>
    </row>
    <row r="903">
      <c r="A903" s="39" t="str">
        <f>IF(AND($L903*1&gt;=$G$3,$L903*1&lt;=$G$4,$I903*$J903&gt;0,OR($I903&lt;&gt;$I904,$L903-$L904&gt;25),IF(ABS($I903)&gt;10,$I903/POW(10,$J903),$J903/POW(10,$I903))*MAXIFS(Token!$C:$C,Token!$A:$A,$K903)&gt;0.01),$L903/86400+DATE(1970,1,1)+$G$6,)</f>
        <v/>
      </c>
      <c r="B903" s="27" t="str">
        <f t="shared" si="1"/>
        <v/>
      </c>
      <c r="C903" s="14" t="str">
        <f>IF($A903&lt;&gt;"",MINIFS(Merchant!$A:$A,Merchant!$B:$B,$G$2),)</f>
        <v/>
      </c>
      <c r="D903" s="14" t="str">
        <f t="shared" si="2"/>
        <v/>
      </c>
      <c r="E903" s="14" t="str">
        <f t="shared" si="3"/>
        <v/>
      </c>
      <c r="F903" s="7" t="str">
        <f>IF($A903&lt;&gt;"",MAXIFS(Token!$C:$C,Token!$A:$A,$D903),)</f>
        <v/>
      </c>
    </row>
    <row r="904">
      <c r="A904" s="39" t="str">
        <f>IF(AND($L904*1&gt;=$G$3,$L904*1&lt;=$G$4,$I904*$J904&gt;0,OR($I904&lt;&gt;$I905,$L904-$L905&gt;25),IF(ABS($I904)&gt;10,$I904/POW(10,$J904),$J904/POW(10,$I904))*MAXIFS(Token!$C:$C,Token!$A:$A,$K904)&gt;0.01),$L904/86400+DATE(1970,1,1)+$G$6,)</f>
        <v/>
      </c>
      <c r="B904" s="27" t="str">
        <f t="shared" si="1"/>
        <v/>
      </c>
      <c r="C904" s="14" t="str">
        <f>IF($A904&lt;&gt;"",MINIFS(Merchant!$A:$A,Merchant!$B:$B,$G$2),)</f>
        <v/>
      </c>
      <c r="D904" s="14" t="str">
        <f t="shared" si="2"/>
        <v/>
      </c>
      <c r="E904" s="14" t="str">
        <f t="shared" si="3"/>
        <v/>
      </c>
      <c r="F904" s="7" t="str">
        <f>IF($A904&lt;&gt;"",MAXIFS(Token!$C:$C,Token!$A:$A,$D904),)</f>
        <v/>
      </c>
    </row>
    <row r="905">
      <c r="A905" s="39" t="str">
        <f>IF(AND($L905*1&gt;=$G$3,$L905*1&lt;=$G$4,$I905*$J905&gt;0,OR($I905&lt;&gt;$I906,$L905-$L906&gt;25),IF(ABS($I905)&gt;10,$I905/POW(10,$J905),$J905/POW(10,$I905))*MAXIFS(Token!$C:$C,Token!$A:$A,$K905)&gt;0.01),$L905/86400+DATE(1970,1,1)+$G$6,)</f>
        <v/>
      </c>
      <c r="B905" s="27" t="str">
        <f t="shared" si="1"/>
        <v/>
      </c>
      <c r="C905" s="14" t="str">
        <f>IF($A905&lt;&gt;"",MINIFS(Merchant!$A:$A,Merchant!$B:$B,$G$2),)</f>
        <v/>
      </c>
      <c r="D905" s="14" t="str">
        <f t="shared" si="2"/>
        <v/>
      </c>
      <c r="E905" s="14" t="str">
        <f t="shared" si="3"/>
        <v/>
      </c>
      <c r="F905" s="7" t="str">
        <f>IF($A905&lt;&gt;"",MAXIFS(Token!$C:$C,Token!$A:$A,$D905),)</f>
        <v/>
      </c>
    </row>
    <row r="906">
      <c r="A906" s="39" t="str">
        <f>IF(AND($L906*1&gt;=$G$3,$L906*1&lt;=$G$4,$I906*$J906&gt;0,OR($I906&lt;&gt;$I907,$L906-$L907&gt;25),IF(ABS($I906)&gt;10,$I906/POW(10,$J906),$J906/POW(10,$I906))*MAXIFS(Token!$C:$C,Token!$A:$A,$K906)&gt;0.01),$L906/86400+DATE(1970,1,1)+$G$6,)</f>
        <v/>
      </c>
      <c r="B906" s="27" t="str">
        <f t="shared" si="1"/>
        <v/>
      </c>
      <c r="C906" s="14" t="str">
        <f>IF($A906&lt;&gt;"",MINIFS(Merchant!$A:$A,Merchant!$B:$B,$G$2),)</f>
        <v/>
      </c>
      <c r="D906" s="14" t="str">
        <f t="shared" si="2"/>
        <v/>
      </c>
      <c r="E906" s="14" t="str">
        <f t="shared" si="3"/>
        <v/>
      </c>
      <c r="F906" s="7" t="str">
        <f>IF($A906&lt;&gt;"",MAXIFS(Token!$C:$C,Token!$A:$A,$D906),)</f>
        <v/>
      </c>
    </row>
    <row r="907">
      <c r="A907" s="39" t="str">
        <f>IF(AND($L907*1&gt;=$G$3,$L907*1&lt;=$G$4,$I907*$J907&gt;0,OR($I907&lt;&gt;$I908,$L907-$L908&gt;25),IF(ABS($I907)&gt;10,$I907/POW(10,$J907),$J907/POW(10,$I907))*MAXIFS(Token!$C:$C,Token!$A:$A,$K907)&gt;0.01),$L907/86400+DATE(1970,1,1)+$G$6,)</f>
        <v/>
      </c>
      <c r="B907" s="27" t="str">
        <f t="shared" si="1"/>
        <v/>
      </c>
      <c r="C907" s="14" t="str">
        <f>IF($A907&lt;&gt;"",MINIFS(Merchant!$A:$A,Merchant!$B:$B,$G$2),)</f>
        <v/>
      </c>
      <c r="D907" s="14" t="str">
        <f t="shared" si="2"/>
        <v/>
      </c>
      <c r="E907" s="14" t="str">
        <f t="shared" si="3"/>
        <v/>
      </c>
      <c r="F907" s="7" t="str">
        <f>IF($A907&lt;&gt;"",MAXIFS(Token!$C:$C,Token!$A:$A,$D907),)</f>
        <v/>
      </c>
    </row>
    <row r="908">
      <c r="A908" s="39" t="str">
        <f>IF(AND($L908*1&gt;=$G$3,$L908*1&lt;=$G$4,$I908*$J908&gt;0,OR($I908&lt;&gt;$I909,$L908-$L909&gt;25),IF(ABS($I908)&gt;10,$I908/POW(10,$J908),$J908/POW(10,$I908))*MAXIFS(Token!$C:$C,Token!$A:$A,$K908)&gt;0.01),$L908/86400+DATE(1970,1,1)+$G$6,)</f>
        <v/>
      </c>
      <c r="B908" s="27" t="str">
        <f t="shared" si="1"/>
        <v/>
      </c>
      <c r="C908" s="14" t="str">
        <f>IF($A908&lt;&gt;"",MINIFS(Merchant!$A:$A,Merchant!$B:$B,$G$2),)</f>
        <v/>
      </c>
      <c r="D908" s="14" t="str">
        <f t="shared" si="2"/>
        <v/>
      </c>
      <c r="E908" s="14" t="str">
        <f t="shared" si="3"/>
        <v/>
      </c>
      <c r="F908" s="7" t="str">
        <f>IF($A908&lt;&gt;"",MAXIFS(Token!$C:$C,Token!$A:$A,$D908),)</f>
        <v/>
      </c>
    </row>
    <row r="909">
      <c r="A909" s="39" t="str">
        <f>IF(AND($L909*1&gt;=$G$3,$L909*1&lt;=$G$4,$I909*$J909&gt;0,OR($I909&lt;&gt;$I910,$L909-$L910&gt;25),IF(ABS($I909)&gt;10,$I909/POW(10,$J909),$J909/POW(10,$I909))*MAXIFS(Token!$C:$C,Token!$A:$A,$K909)&gt;0.01),$L909/86400+DATE(1970,1,1)+$G$6,)</f>
        <v/>
      </c>
      <c r="B909" s="27" t="str">
        <f t="shared" si="1"/>
        <v/>
      </c>
      <c r="C909" s="14" t="str">
        <f>IF($A909&lt;&gt;"",MINIFS(Merchant!$A:$A,Merchant!$B:$B,$G$2),)</f>
        <v/>
      </c>
      <c r="D909" s="14" t="str">
        <f t="shared" si="2"/>
        <v/>
      </c>
      <c r="E909" s="14" t="str">
        <f t="shared" si="3"/>
        <v/>
      </c>
      <c r="F909" s="7" t="str">
        <f>IF($A909&lt;&gt;"",MAXIFS(Token!$C:$C,Token!$A:$A,$D909),)</f>
        <v/>
      </c>
    </row>
    <row r="910">
      <c r="A910" s="39" t="str">
        <f>IF(AND($L910*1&gt;=$G$3,$L910*1&lt;=$G$4,$I910*$J910&gt;0,OR($I910&lt;&gt;$I911,$L910-$L911&gt;25),IF(ABS($I910)&gt;10,$I910/POW(10,$J910),$J910/POW(10,$I910))*MAXIFS(Token!$C:$C,Token!$A:$A,$K910)&gt;0.01),$L910/86400+DATE(1970,1,1)+$G$6,)</f>
        <v/>
      </c>
      <c r="B910" s="27" t="str">
        <f t="shared" si="1"/>
        <v/>
      </c>
      <c r="C910" s="14" t="str">
        <f>IF($A910&lt;&gt;"",MINIFS(Merchant!$A:$A,Merchant!$B:$B,$G$2),)</f>
        <v/>
      </c>
      <c r="D910" s="14" t="str">
        <f t="shared" si="2"/>
        <v/>
      </c>
      <c r="E910" s="14" t="str">
        <f t="shared" si="3"/>
        <v/>
      </c>
      <c r="F910" s="7" t="str">
        <f>IF($A910&lt;&gt;"",MAXIFS(Token!$C:$C,Token!$A:$A,$D910),)</f>
        <v/>
      </c>
    </row>
    <row r="911">
      <c r="A911" s="39" t="str">
        <f>IF(AND($L911*1&gt;=$G$3,$L911*1&lt;=$G$4,$I911*$J911&gt;0,OR($I911&lt;&gt;$I912,$L911-$L912&gt;25),IF(ABS($I911)&gt;10,$I911/POW(10,$J911),$J911/POW(10,$I911))*MAXIFS(Token!$C:$C,Token!$A:$A,$K911)&gt;0.01),$L911/86400+DATE(1970,1,1)+$G$6,)</f>
        <v/>
      </c>
      <c r="B911" s="27" t="str">
        <f t="shared" si="1"/>
        <v/>
      </c>
      <c r="C911" s="14" t="str">
        <f>IF($A911&lt;&gt;"",MINIFS(Merchant!$A:$A,Merchant!$B:$B,$G$2),)</f>
        <v/>
      </c>
      <c r="D911" s="14" t="str">
        <f t="shared" si="2"/>
        <v/>
      </c>
      <c r="E911" s="14" t="str">
        <f t="shared" si="3"/>
        <v/>
      </c>
      <c r="F911" s="7" t="str">
        <f>IF($A911&lt;&gt;"",MAXIFS(Token!$C:$C,Token!$A:$A,$D911),)</f>
        <v/>
      </c>
    </row>
    <row r="912">
      <c r="A912" s="39" t="str">
        <f>IF(AND($L912*1&gt;=$G$3,$L912*1&lt;=$G$4,$I912*$J912&gt;0,OR($I912&lt;&gt;$I913,$L912-$L913&gt;25),IF(ABS($I912)&gt;10,$I912/POW(10,$J912),$J912/POW(10,$I912))*MAXIFS(Token!$C:$C,Token!$A:$A,$K912)&gt;0.01),$L912/86400+DATE(1970,1,1)+$G$6,)</f>
        <v/>
      </c>
      <c r="B912" s="27" t="str">
        <f t="shared" si="1"/>
        <v/>
      </c>
      <c r="C912" s="14" t="str">
        <f>IF($A912&lt;&gt;"",MINIFS(Merchant!$A:$A,Merchant!$B:$B,$G$2),)</f>
        <v/>
      </c>
      <c r="D912" s="14" t="str">
        <f t="shared" si="2"/>
        <v/>
      </c>
      <c r="E912" s="14" t="str">
        <f t="shared" si="3"/>
        <v/>
      </c>
      <c r="F912" s="7" t="str">
        <f>IF($A912&lt;&gt;"",MAXIFS(Token!$C:$C,Token!$A:$A,$D912),)</f>
        <v/>
      </c>
    </row>
    <row r="913">
      <c r="A913" s="39" t="str">
        <f>IF(AND($L913*1&gt;=$G$3,$L913*1&lt;=$G$4,$I913*$J913&gt;0,OR($I913&lt;&gt;$I914,$L913-$L914&gt;25),IF(ABS($I913)&gt;10,$I913/POW(10,$J913),$J913/POW(10,$I913))*MAXIFS(Token!$C:$C,Token!$A:$A,$K913)&gt;0.01),$L913/86400+DATE(1970,1,1)+$G$6,)</f>
        <v/>
      </c>
      <c r="B913" s="27" t="str">
        <f t="shared" si="1"/>
        <v/>
      </c>
      <c r="C913" s="14" t="str">
        <f>IF($A913&lt;&gt;"",MINIFS(Merchant!$A:$A,Merchant!$B:$B,$G$2),)</f>
        <v/>
      </c>
      <c r="D913" s="14" t="str">
        <f t="shared" si="2"/>
        <v/>
      </c>
      <c r="E913" s="14" t="str">
        <f t="shared" si="3"/>
        <v/>
      </c>
      <c r="F913" s="7" t="str">
        <f>IF($A913&lt;&gt;"",MAXIFS(Token!$C:$C,Token!$A:$A,$D913),)</f>
        <v/>
      </c>
    </row>
    <row r="914">
      <c r="A914" s="39" t="str">
        <f>IF(AND($L914*1&gt;=$G$3,$L914*1&lt;=$G$4,$I914*$J914&gt;0,OR($I914&lt;&gt;$I915,$L914-$L915&gt;25),IF(ABS($I914)&gt;10,$I914/POW(10,$J914),$J914/POW(10,$I914))*MAXIFS(Token!$C:$C,Token!$A:$A,$K914)&gt;0.01),$L914/86400+DATE(1970,1,1)+$G$6,)</f>
        <v/>
      </c>
      <c r="B914" s="27" t="str">
        <f t="shared" si="1"/>
        <v/>
      </c>
      <c r="C914" s="14" t="str">
        <f>IF($A914&lt;&gt;"",MINIFS(Merchant!$A:$A,Merchant!$B:$B,$G$2),)</f>
        <v/>
      </c>
      <c r="D914" s="14" t="str">
        <f t="shared" si="2"/>
        <v/>
      </c>
      <c r="E914" s="14" t="str">
        <f t="shared" si="3"/>
        <v/>
      </c>
      <c r="F914" s="7" t="str">
        <f>IF($A914&lt;&gt;"",MAXIFS(Token!$C:$C,Token!$A:$A,$D914),)</f>
        <v/>
      </c>
    </row>
    <row r="915">
      <c r="A915" s="39" t="str">
        <f>IF(AND($L915*1&gt;=$G$3,$L915*1&lt;=$G$4,$I915*$J915&gt;0,OR($I915&lt;&gt;$I916,$L915-$L916&gt;25),IF(ABS($I915)&gt;10,$I915/POW(10,$J915),$J915/POW(10,$I915))*MAXIFS(Token!$C:$C,Token!$A:$A,$K915)&gt;0.01),$L915/86400+DATE(1970,1,1)+$G$6,)</f>
        <v/>
      </c>
      <c r="B915" s="27" t="str">
        <f t="shared" si="1"/>
        <v/>
      </c>
      <c r="C915" s="14" t="str">
        <f>IF($A915&lt;&gt;"",MINIFS(Merchant!$A:$A,Merchant!$B:$B,$G$2),)</f>
        <v/>
      </c>
      <c r="D915" s="14" t="str">
        <f t="shared" si="2"/>
        <v/>
      </c>
      <c r="E915" s="14" t="str">
        <f t="shared" si="3"/>
        <v/>
      </c>
      <c r="F915" s="7" t="str">
        <f>IF($A915&lt;&gt;"",MAXIFS(Token!$C:$C,Token!$A:$A,$D915),)</f>
        <v/>
      </c>
    </row>
    <row r="916">
      <c r="A916" s="39" t="str">
        <f>IF(AND($L916*1&gt;=$G$3,$L916*1&lt;=$G$4,$I916*$J916&gt;0,OR($I916&lt;&gt;$I917,$L916-$L917&gt;25),IF(ABS($I916)&gt;10,$I916/POW(10,$J916),$J916/POW(10,$I916))*MAXIFS(Token!$C:$C,Token!$A:$A,$K916)&gt;0.01),$L916/86400+DATE(1970,1,1)+$G$6,)</f>
        <v/>
      </c>
      <c r="B916" s="27" t="str">
        <f t="shared" si="1"/>
        <v/>
      </c>
      <c r="C916" s="14" t="str">
        <f>IF($A916&lt;&gt;"",MINIFS(Merchant!$A:$A,Merchant!$B:$B,$G$2),)</f>
        <v/>
      </c>
      <c r="D916" s="14" t="str">
        <f t="shared" si="2"/>
        <v/>
      </c>
      <c r="E916" s="14" t="str">
        <f t="shared" si="3"/>
        <v/>
      </c>
      <c r="F916" s="7" t="str">
        <f>IF($A916&lt;&gt;"",MAXIFS(Token!$C:$C,Token!$A:$A,$D916),)</f>
        <v/>
      </c>
    </row>
    <row r="917">
      <c r="A917" s="39" t="str">
        <f>IF(AND($L917*1&gt;=$G$3,$L917*1&lt;=$G$4,$I917*$J917&gt;0,OR($I917&lt;&gt;$I918,$L917-$L918&gt;25),IF(ABS($I917)&gt;10,$I917/POW(10,$J917),$J917/POW(10,$I917))*MAXIFS(Token!$C:$C,Token!$A:$A,$K917)&gt;0.01),$L917/86400+DATE(1970,1,1)+$G$6,)</f>
        <v/>
      </c>
      <c r="B917" s="27" t="str">
        <f t="shared" si="1"/>
        <v/>
      </c>
      <c r="C917" s="14" t="str">
        <f>IF($A917&lt;&gt;"",MINIFS(Merchant!$A:$A,Merchant!$B:$B,$G$2),)</f>
        <v/>
      </c>
      <c r="D917" s="14" t="str">
        <f t="shared" si="2"/>
        <v/>
      </c>
      <c r="E917" s="14" t="str">
        <f t="shared" si="3"/>
        <v/>
      </c>
      <c r="F917" s="7" t="str">
        <f>IF($A917&lt;&gt;"",MAXIFS(Token!$C:$C,Token!$A:$A,$D917),)</f>
        <v/>
      </c>
    </row>
    <row r="918">
      <c r="A918" s="39" t="str">
        <f>IF(AND($L918*1&gt;=$G$3,$L918*1&lt;=$G$4,$I918*$J918&gt;0,OR($I918&lt;&gt;$I919,$L918-$L919&gt;25),IF(ABS($I918)&gt;10,$I918/POW(10,$J918),$J918/POW(10,$I918))*MAXIFS(Token!$C:$C,Token!$A:$A,$K918)&gt;0.01),$L918/86400+DATE(1970,1,1)+$G$6,)</f>
        <v/>
      </c>
      <c r="B918" s="27" t="str">
        <f t="shared" si="1"/>
        <v/>
      </c>
      <c r="C918" s="14" t="str">
        <f>IF($A918&lt;&gt;"",MINIFS(Merchant!$A:$A,Merchant!$B:$B,$G$2),)</f>
        <v/>
      </c>
      <c r="D918" s="14" t="str">
        <f t="shared" si="2"/>
        <v/>
      </c>
      <c r="E918" s="14" t="str">
        <f t="shared" si="3"/>
        <v/>
      </c>
      <c r="F918" s="7" t="str">
        <f>IF($A918&lt;&gt;"",MAXIFS(Token!$C:$C,Token!$A:$A,$D918),)</f>
        <v/>
      </c>
    </row>
    <row r="919">
      <c r="A919" s="39" t="str">
        <f>IF(AND($L919*1&gt;=$G$3,$L919*1&lt;=$G$4,$I919*$J919&gt;0,OR($I919&lt;&gt;$I920,$L919-$L920&gt;25),IF(ABS($I919)&gt;10,$I919/POW(10,$J919),$J919/POW(10,$I919))*MAXIFS(Token!$C:$C,Token!$A:$A,$K919)&gt;0.01),$L919/86400+DATE(1970,1,1)+$G$6,)</f>
        <v/>
      </c>
      <c r="B919" s="27" t="str">
        <f t="shared" si="1"/>
        <v/>
      </c>
      <c r="C919" s="14" t="str">
        <f>IF($A919&lt;&gt;"",MINIFS(Merchant!$A:$A,Merchant!$B:$B,$G$2),)</f>
        <v/>
      </c>
      <c r="D919" s="14" t="str">
        <f t="shared" si="2"/>
        <v/>
      </c>
      <c r="E919" s="14" t="str">
        <f t="shared" si="3"/>
        <v/>
      </c>
      <c r="F919" s="7" t="str">
        <f>IF($A919&lt;&gt;"",MAXIFS(Token!$C:$C,Token!$A:$A,$D919),)</f>
        <v/>
      </c>
    </row>
    <row r="920">
      <c r="A920" s="39" t="str">
        <f>IF(AND($L920*1&gt;=$G$3,$L920*1&lt;=$G$4,$I920*$J920&gt;0,OR($I920&lt;&gt;$I921,$L920-$L921&gt;25),IF(ABS($I920)&gt;10,$I920/POW(10,$J920),$J920/POW(10,$I920))*MAXIFS(Token!$C:$C,Token!$A:$A,$K920)&gt;0.01),$L920/86400+DATE(1970,1,1)+$G$6,)</f>
        <v/>
      </c>
      <c r="B920" s="27" t="str">
        <f t="shared" si="1"/>
        <v/>
      </c>
      <c r="C920" s="14" t="str">
        <f>IF($A920&lt;&gt;"",MINIFS(Merchant!$A:$A,Merchant!$B:$B,$G$2),)</f>
        <v/>
      </c>
      <c r="D920" s="14" t="str">
        <f t="shared" si="2"/>
        <v/>
      </c>
      <c r="E920" s="14" t="str">
        <f t="shared" si="3"/>
        <v/>
      </c>
      <c r="F920" s="7" t="str">
        <f>IF($A920&lt;&gt;"",MAXIFS(Token!$C:$C,Token!$A:$A,$D920),)</f>
        <v/>
      </c>
    </row>
    <row r="921">
      <c r="A921" s="39" t="str">
        <f>IF(AND($L921*1&gt;=$G$3,$L921*1&lt;=$G$4,$I921*$J921&gt;0,OR($I921&lt;&gt;$I922,$L921-$L922&gt;25),IF(ABS($I921)&gt;10,$I921/POW(10,$J921),$J921/POW(10,$I921))*MAXIFS(Token!$C:$C,Token!$A:$A,$K921)&gt;0.01),$L921/86400+DATE(1970,1,1)+$G$6,)</f>
        <v/>
      </c>
      <c r="B921" s="27" t="str">
        <f t="shared" si="1"/>
        <v/>
      </c>
      <c r="C921" s="14" t="str">
        <f>IF($A921&lt;&gt;"",MINIFS(Merchant!$A:$A,Merchant!$B:$B,$G$2),)</f>
        <v/>
      </c>
      <c r="D921" s="14" t="str">
        <f t="shared" si="2"/>
        <v/>
      </c>
      <c r="E921" s="14" t="str">
        <f t="shared" si="3"/>
        <v/>
      </c>
      <c r="F921" s="7" t="str">
        <f>IF($A921&lt;&gt;"",MAXIFS(Token!$C:$C,Token!$A:$A,$D921),)</f>
        <v/>
      </c>
    </row>
    <row r="922">
      <c r="A922" s="39" t="str">
        <f>IF(AND($L922*1&gt;=$G$3,$L922*1&lt;=$G$4,$I922*$J922&gt;0,OR($I922&lt;&gt;$I923,$L922-$L923&gt;25),IF(ABS($I922)&gt;10,$I922/POW(10,$J922),$J922/POW(10,$I922))*MAXIFS(Token!$C:$C,Token!$A:$A,$K922)&gt;0.01),$L922/86400+DATE(1970,1,1)+$G$6,)</f>
        <v/>
      </c>
      <c r="B922" s="27" t="str">
        <f t="shared" si="1"/>
        <v/>
      </c>
      <c r="C922" s="14" t="str">
        <f>IF($A922&lt;&gt;"",MINIFS(Merchant!$A:$A,Merchant!$B:$B,$G$2),)</f>
        <v/>
      </c>
      <c r="D922" s="14" t="str">
        <f t="shared" si="2"/>
        <v/>
      </c>
      <c r="E922" s="14" t="str">
        <f t="shared" si="3"/>
        <v/>
      </c>
      <c r="F922" s="7" t="str">
        <f>IF($A922&lt;&gt;"",MAXIFS(Token!$C:$C,Token!$A:$A,$D922),)</f>
        <v/>
      </c>
    </row>
    <row r="923">
      <c r="A923" s="39" t="str">
        <f>IF(AND($L923*1&gt;=$G$3,$L923*1&lt;=$G$4,$I923*$J923&gt;0,OR($I923&lt;&gt;$I924,$L923-$L924&gt;25),IF(ABS($I923)&gt;10,$I923/POW(10,$J923),$J923/POW(10,$I923))*MAXIFS(Token!$C:$C,Token!$A:$A,$K923)&gt;0.01),$L923/86400+DATE(1970,1,1)+$G$6,)</f>
        <v/>
      </c>
      <c r="B923" s="27" t="str">
        <f t="shared" si="1"/>
        <v/>
      </c>
      <c r="C923" s="14" t="str">
        <f>IF($A923&lt;&gt;"",MINIFS(Merchant!$A:$A,Merchant!$B:$B,$G$2),)</f>
        <v/>
      </c>
      <c r="D923" s="14" t="str">
        <f t="shared" si="2"/>
        <v/>
      </c>
      <c r="E923" s="14" t="str">
        <f t="shared" si="3"/>
        <v/>
      </c>
      <c r="F923" s="7" t="str">
        <f>IF($A923&lt;&gt;"",MAXIFS(Token!$C:$C,Token!$A:$A,$D923),)</f>
        <v/>
      </c>
    </row>
    <row r="924">
      <c r="A924" s="39" t="str">
        <f>IF(AND($L924*1&gt;=$G$3,$L924*1&lt;=$G$4,$I924*$J924&gt;0,OR($I924&lt;&gt;$I925,$L924-$L925&gt;25),IF(ABS($I924)&gt;10,$I924/POW(10,$J924),$J924/POW(10,$I924))*MAXIFS(Token!$C:$C,Token!$A:$A,$K924)&gt;0.01),$L924/86400+DATE(1970,1,1)+$G$6,)</f>
        <v/>
      </c>
      <c r="B924" s="27" t="str">
        <f t="shared" si="1"/>
        <v/>
      </c>
      <c r="C924" s="14" t="str">
        <f>IF($A924&lt;&gt;"",MINIFS(Merchant!$A:$A,Merchant!$B:$B,$G$2),)</f>
        <v/>
      </c>
      <c r="D924" s="14" t="str">
        <f t="shared" si="2"/>
        <v/>
      </c>
      <c r="E924" s="14" t="str">
        <f t="shared" si="3"/>
        <v/>
      </c>
      <c r="F924" s="7" t="str">
        <f>IF($A924&lt;&gt;"",MAXIFS(Token!$C:$C,Token!$A:$A,$D924),)</f>
        <v/>
      </c>
    </row>
    <row r="925">
      <c r="A925" s="39" t="str">
        <f>IF(AND($L925*1&gt;=$G$3,$L925*1&lt;=$G$4,$I925*$J925&gt;0,OR($I925&lt;&gt;$I926,$L925-$L926&gt;25),IF(ABS($I925)&gt;10,$I925/POW(10,$J925),$J925/POW(10,$I925))*MAXIFS(Token!$C:$C,Token!$A:$A,$K925)&gt;0.01),$L925/86400+DATE(1970,1,1)+$G$6,)</f>
        <v/>
      </c>
      <c r="B925" s="27" t="str">
        <f t="shared" si="1"/>
        <v/>
      </c>
      <c r="C925" s="14" t="str">
        <f>IF($A925&lt;&gt;"",MINIFS(Merchant!$A:$A,Merchant!$B:$B,$G$2),)</f>
        <v/>
      </c>
      <c r="D925" s="14" t="str">
        <f t="shared" si="2"/>
        <v/>
      </c>
      <c r="E925" s="14" t="str">
        <f t="shared" si="3"/>
        <v/>
      </c>
      <c r="F925" s="7" t="str">
        <f>IF($A925&lt;&gt;"",MAXIFS(Token!$C:$C,Token!$A:$A,$D925),)</f>
        <v/>
      </c>
    </row>
    <row r="926">
      <c r="A926" s="39" t="str">
        <f>IF(AND($L926*1&gt;=$G$3,$L926*1&lt;=$G$4,$I926*$J926&gt;0,OR($I926&lt;&gt;$I927,$L926-$L927&gt;25),IF(ABS($I926)&gt;10,$I926/POW(10,$J926),$J926/POW(10,$I926))*MAXIFS(Token!$C:$C,Token!$A:$A,$K926)&gt;0.01),$L926/86400+DATE(1970,1,1)+$G$6,)</f>
        <v/>
      </c>
      <c r="B926" s="27" t="str">
        <f t="shared" si="1"/>
        <v/>
      </c>
      <c r="C926" s="14" t="str">
        <f>IF($A926&lt;&gt;"",MINIFS(Merchant!$A:$A,Merchant!$B:$B,$G$2),)</f>
        <v/>
      </c>
      <c r="D926" s="14" t="str">
        <f t="shared" si="2"/>
        <v/>
      </c>
      <c r="E926" s="14" t="str">
        <f t="shared" si="3"/>
        <v/>
      </c>
      <c r="F926" s="7" t="str">
        <f>IF($A926&lt;&gt;"",MAXIFS(Token!$C:$C,Token!$A:$A,$D926),)</f>
        <v/>
      </c>
    </row>
    <row r="927">
      <c r="A927" s="39" t="str">
        <f>IF(AND($L927*1&gt;=$G$3,$L927*1&lt;=$G$4,$I927*$J927&gt;0,OR($I927&lt;&gt;$I928,$L927-$L928&gt;25),IF(ABS($I927)&gt;10,$I927/POW(10,$J927),$J927/POW(10,$I927))*MAXIFS(Token!$C:$C,Token!$A:$A,$K927)&gt;0.01),$L927/86400+DATE(1970,1,1)+$G$6,)</f>
        <v/>
      </c>
      <c r="B927" s="27" t="str">
        <f t="shared" si="1"/>
        <v/>
      </c>
      <c r="C927" s="14" t="str">
        <f>IF($A927&lt;&gt;"",MINIFS(Merchant!$A:$A,Merchant!$B:$B,$G$2),)</f>
        <v/>
      </c>
      <c r="D927" s="14" t="str">
        <f t="shared" si="2"/>
        <v/>
      </c>
      <c r="E927" s="14" t="str">
        <f t="shared" si="3"/>
        <v/>
      </c>
      <c r="F927" s="7" t="str">
        <f>IF($A927&lt;&gt;"",MAXIFS(Token!$C:$C,Token!$A:$A,$D927),)</f>
        <v/>
      </c>
    </row>
    <row r="928">
      <c r="A928" s="39" t="str">
        <f>IF(AND($L928*1&gt;=$G$3,$L928*1&lt;=$G$4,$I928*$J928&gt;0,OR($I928&lt;&gt;$I929,$L928-$L929&gt;25),IF(ABS($I928)&gt;10,$I928/POW(10,$J928),$J928/POW(10,$I928))*MAXIFS(Token!$C:$C,Token!$A:$A,$K928)&gt;0.01),$L928/86400+DATE(1970,1,1)+$G$6,)</f>
        <v/>
      </c>
      <c r="B928" s="27" t="str">
        <f t="shared" si="1"/>
        <v/>
      </c>
      <c r="C928" s="14" t="str">
        <f>IF($A928&lt;&gt;"",MINIFS(Merchant!$A:$A,Merchant!$B:$B,$G$2),)</f>
        <v/>
      </c>
      <c r="D928" s="14" t="str">
        <f t="shared" si="2"/>
        <v/>
      </c>
      <c r="E928" s="14" t="str">
        <f t="shared" si="3"/>
        <v/>
      </c>
      <c r="F928" s="7" t="str">
        <f>IF($A928&lt;&gt;"",MAXIFS(Token!$C:$C,Token!$A:$A,$D928),)</f>
        <v/>
      </c>
    </row>
    <row r="929">
      <c r="A929" s="39" t="str">
        <f>IF(AND($L929*1&gt;=$G$3,$L929*1&lt;=$G$4,$I929*$J929&gt;0,OR($I929&lt;&gt;$I930,$L929-$L930&gt;25),IF(ABS($I929)&gt;10,$I929/POW(10,$J929),$J929/POW(10,$I929))*MAXIFS(Token!$C:$C,Token!$A:$A,$K929)&gt;0.01),$L929/86400+DATE(1970,1,1)+$G$6,)</f>
        <v/>
      </c>
      <c r="B929" s="27" t="str">
        <f t="shared" si="1"/>
        <v/>
      </c>
      <c r="C929" s="14" t="str">
        <f>IF($A929&lt;&gt;"",MINIFS(Merchant!$A:$A,Merchant!$B:$B,$G$2),)</f>
        <v/>
      </c>
      <c r="D929" s="14" t="str">
        <f t="shared" si="2"/>
        <v/>
      </c>
      <c r="E929" s="14" t="str">
        <f t="shared" si="3"/>
        <v/>
      </c>
      <c r="F929" s="7" t="str">
        <f>IF($A929&lt;&gt;"",MAXIFS(Token!$C:$C,Token!$A:$A,$D929),)</f>
        <v/>
      </c>
    </row>
    <row r="930">
      <c r="A930" s="39" t="str">
        <f>IF(AND($L930*1&gt;=$G$3,$L930*1&lt;=$G$4,$I930*$J930&gt;0,OR($I930&lt;&gt;$I931,$L930-$L931&gt;25),IF(ABS($I930)&gt;10,$I930/POW(10,$J930),$J930/POW(10,$I930))*MAXIFS(Token!$C:$C,Token!$A:$A,$K930)&gt;0.01),$L930/86400+DATE(1970,1,1)+$G$6,)</f>
        <v/>
      </c>
      <c r="B930" s="27" t="str">
        <f t="shared" si="1"/>
        <v/>
      </c>
      <c r="C930" s="14" t="str">
        <f>IF($A930&lt;&gt;"",MINIFS(Merchant!$A:$A,Merchant!$B:$B,$G$2),)</f>
        <v/>
      </c>
      <c r="D930" s="14" t="str">
        <f t="shared" si="2"/>
        <v/>
      </c>
      <c r="E930" s="14" t="str">
        <f t="shared" si="3"/>
        <v/>
      </c>
      <c r="F930" s="7" t="str">
        <f>IF($A930&lt;&gt;"",MAXIFS(Token!$C:$C,Token!$A:$A,$D930),)</f>
        <v/>
      </c>
    </row>
    <row r="931">
      <c r="A931" s="39" t="str">
        <f>IF(AND($L931*1&gt;=$G$3,$L931*1&lt;=$G$4,$I931*$J931&gt;0,OR($I931&lt;&gt;$I932,$L931-$L932&gt;25),IF(ABS($I931)&gt;10,$I931/POW(10,$J931),$J931/POW(10,$I931))*MAXIFS(Token!$C:$C,Token!$A:$A,$K931)&gt;0.01),$L931/86400+DATE(1970,1,1)+$G$6,)</f>
        <v/>
      </c>
      <c r="B931" s="27" t="str">
        <f t="shared" si="1"/>
        <v/>
      </c>
      <c r="C931" s="14" t="str">
        <f>IF($A931&lt;&gt;"",MINIFS(Merchant!$A:$A,Merchant!$B:$B,$G$2),)</f>
        <v/>
      </c>
      <c r="D931" s="14" t="str">
        <f t="shared" si="2"/>
        <v/>
      </c>
      <c r="E931" s="14" t="str">
        <f t="shared" si="3"/>
        <v/>
      </c>
      <c r="F931" s="7" t="str">
        <f>IF($A931&lt;&gt;"",MAXIFS(Token!$C:$C,Token!$A:$A,$D931),)</f>
        <v/>
      </c>
    </row>
    <row r="932">
      <c r="A932" s="39" t="str">
        <f>IF(AND($L932*1&gt;=$G$3,$L932*1&lt;=$G$4,$I932*$J932&gt;0,OR($I932&lt;&gt;$I933,$L932-$L933&gt;25),IF(ABS($I932)&gt;10,$I932/POW(10,$J932),$J932/POW(10,$I932))*MAXIFS(Token!$C:$C,Token!$A:$A,$K932)&gt;0.01),$L932/86400+DATE(1970,1,1)+$G$6,)</f>
        <v/>
      </c>
      <c r="B932" s="27" t="str">
        <f t="shared" si="1"/>
        <v/>
      </c>
      <c r="C932" s="14" t="str">
        <f>IF($A932&lt;&gt;"",MINIFS(Merchant!$A:$A,Merchant!$B:$B,$G$2),)</f>
        <v/>
      </c>
      <c r="D932" s="14" t="str">
        <f t="shared" si="2"/>
        <v/>
      </c>
      <c r="E932" s="14" t="str">
        <f t="shared" si="3"/>
        <v/>
      </c>
      <c r="F932" s="7" t="str">
        <f>IF($A932&lt;&gt;"",MAXIFS(Token!$C:$C,Token!$A:$A,$D932),)</f>
        <v/>
      </c>
    </row>
    <row r="933">
      <c r="A933" s="39" t="str">
        <f>IF(AND($L933*1&gt;=$G$3,$L933*1&lt;=$G$4,$I933*$J933&gt;0,OR($I933&lt;&gt;$I934,$L933-$L934&gt;25),IF(ABS($I933)&gt;10,$I933/POW(10,$J933),$J933/POW(10,$I933))*MAXIFS(Token!$C:$C,Token!$A:$A,$K933)&gt;0.01),$L933/86400+DATE(1970,1,1)+$G$6,)</f>
        <v/>
      </c>
      <c r="B933" s="27" t="str">
        <f t="shared" si="1"/>
        <v/>
      </c>
      <c r="C933" s="14" t="str">
        <f>IF($A933&lt;&gt;"",MINIFS(Merchant!$A:$A,Merchant!$B:$B,$G$2),)</f>
        <v/>
      </c>
      <c r="D933" s="14" t="str">
        <f t="shared" si="2"/>
        <v/>
      </c>
      <c r="E933" s="14" t="str">
        <f t="shared" si="3"/>
        <v/>
      </c>
      <c r="F933" s="7" t="str">
        <f>IF($A933&lt;&gt;"",MAXIFS(Token!$C:$C,Token!$A:$A,$D933),)</f>
        <v/>
      </c>
    </row>
    <row r="934">
      <c r="A934" s="39" t="str">
        <f>IF(AND($L934*1&gt;=$G$3,$L934*1&lt;=$G$4,$I934*$J934&gt;0,OR($I934&lt;&gt;$I935,$L934-$L935&gt;25),IF(ABS($I934)&gt;10,$I934/POW(10,$J934),$J934/POW(10,$I934))*MAXIFS(Token!$C:$C,Token!$A:$A,$K934)&gt;0.01),$L934/86400+DATE(1970,1,1)+$G$6,)</f>
        <v/>
      </c>
      <c r="B934" s="27" t="str">
        <f t="shared" si="1"/>
        <v/>
      </c>
      <c r="C934" s="14" t="str">
        <f>IF($A934&lt;&gt;"",MINIFS(Merchant!$A:$A,Merchant!$B:$B,$G$2),)</f>
        <v/>
      </c>
      <c r="D934" s="14" t="str">
        <f t="shared" si="2"/>
        <v/>
      </c>
      <c r="E934" s="14" t="str">
        <f t="shared" si="3"/>
        <v/>
      </c>
      <c r="F934" s="7" t="str">
        <f>IF($A934&lt;&gt;"",MAXIFS(Token!$C:$C,Token!$A:$A,$D934),)</f>
        <v/>
      </c>
    </row>
    <row r="935">
      <c r="A935" s="39" t="str">
        <f>IF(AND($L935*1&gt;=$G$3,$L935*1&lt;=$G$4,$I935*$J935&gt;0,OR($I935&lt;&gt;$I936,$L935-$L936&gt;25),IF(ABS($I935)&gt;10,$I935/POW(10,$J935),$J935/POW(10,$I935))*MAXIFS(Token!$C:$C,Token!$A:$A,$K935)&gt;0.01),$L935/86400+DATE(1970,1,1)+$G$6,)</f>
        <v/>
      </c>
      <c r="B935" s="27" t="str">
        <f t="shared" si="1"/>
        <v/>
      </c>
      <c r="C935" s="14" t="str">
        <f>IF($A935&lt;&gt;"",MINIFS(Merchant!$A:$A,Merchant!$B:$B,$G$2),)</f>
        <v/>
      </c>
      <c r="D935" s="14" t="str">
        <f t="shared" si="2"/>
        <v/>
      </c>
      <c r="E935" s="14" t="str">
        <f t="shared" si="3"/>
        <v/>
      </c>
      <c r="F935" s="7" t="str">
        <f>IF($A935&lt;&gt;"",MAXIFS(Token!$C:$C,Token!$A:$A,$D935),)</f>
        <v/>
      </c>
    </row>
    <row r="936">
      <c r="A936" s="39" t="str">
        <f>IF(AND($L936*1&gt;=$G$3,$L936*1&lt;=$G$4,$I936*$J936&gt;0,OR($I936&lt;&gt;$I937,$L936-$L937&gt;25),IF(ABS($I936)&gt;10,$I936/POW(10,$J936),$J936/POW(10,$I936))*MAXIFS(Token!$C:$C,Token!$A:$A,$K936)&gt;0.01),$L936/86400+DATE(1970,1,1)+$G$6,)</f>
        <v/>
      </c>
      <c r="B936" s="27" t="str">
        <f t="shared" si="1"/>
        <v/>
      </c>
      <c r="C936" s="14" t="str">
        <f>IF($A936&lt;&gt;"",MINIFS(Merchant!$A:$A,Merchant!$B:$B,$G$2),)</f>
        <v/>
      </c>
      <c r="D936" s="14" t="str">
        <f t="shared" si="2"/>
        <v/>
      </c>
      <c r="E936" s="14" t="str">
        <f t="shared" si="3"/>
        <v/>
      </c>
      <c r="F936" s="7" t="str">
        <f>IF($A936&lt;&gt;"",MAXIFS(Token!$C:$C,Token!$A:$A,$D936),)</f>
        <v/>
      </c>
    </row>
    <row r="937">
      <c r="A937" s="39" t="str">
        <f>IF(AND($L937*1&gt;=$G$3,$L937*1&lt;=$G$4,$I937*$J937&gt;0,OR($I937&lt;&gt;$I938,$L937-$L938&gt;25),IF(ABS($I937)&gt;10,$I937/POW(10,$J937),$J937/POW(10,$I937))*MAXIFS(Token!$C:$C,Token!$A:$A,$K937)&gt;0.01),$L937/86400+DATE(1970,1,1)+$G$6,)</f>
        <v/>
      </c>
      <c r="B937" s="27" t="str">
        <f t="shared" si="1"/>
        <v/>
      </c>
      <c r="C937" s="14" t="str">
        <f>IF($A937&lt;&gt;"",MINIFS(Merchant!$A:$A,Merchant!$B:$B,$G$2),)</f>
        <v/>
      </c>
      <c r="D937" s="14" t="str">
        <f t="shared" si="2"/>
        <v/>
      </c>
      <c r="E937" s="14" t="str">
        <f t="shared" si="3"/>
        <v/>
      </c>
      <c r="F937" s="7" t="str">
        <f>IF($A937&lt;&gt;"",MAXIFS(Token!$C:$C,Token!$A:$A,$D937),)</f>
        <v/>
      </c>
    </row>
    <row r="938">
      <c r="A938" s="39" t="str">
        <f>IF(AND($L938*1&gt;=$G$3,$L938*1&lt;=$G$4,$I938*$J938&gt;0,OR($I938&lt;&gt;$I939,$L938-$L939&gt;25),IF(ABS($I938)&gt;10,$I938/POW(10,$J938),$J938/POW(10,$I938))*MAXIFS(Token!$C:$C,Token!$A:$A,$K938)&gt;0.01),$L938/86400+DATE(1970,1,1)+$G$6,)</f>
        <v/>
      </c>
      <c r="B938" s="27" t="str">
        <f t="shared" si="1"/>
        <v/>
      </c>
      <c r="C938" s="14" t="str">
        <f>IF($A938&lt;&gt;"",MINIFS(Merchant!$A:$A,Merchant!$B:$B,$G$2),)</f>
        <v/>
      </c>
      <c r="D938" s="14" t="str">
        <f t="shared" si="2"/>
        <v/>
      </c>
      <c r="E938" s="14" t="str">
        <f t="shared" si="3"/>
        <v/>
      </c>
      <c r="F938" s="7" t="str">
        <f>IF($A938&lt;&gt;"",MAXIFS(Token!$C:$C,Token!$A:$A,$D938),)</f>
        <v/>
      </c>
    </row>
    <row r="939">
      <c r="A939" s="39" t="str">
        <f>IF(AND($L939*1&gt;=$G$3,$L939*1&lt;=$G$4,$I939*$J939&gt;0,OR($I939&lt;&gt;$I940,$L939-$L940&gt;25),IF(ABS($I939)&gt;10,$I939/POW(10,$J939),$J939/POW(10,$I939))*MAXIFS(Token!$C:$C,Token!$A:$A,$K939)&gt;0.01),$L939/86400+DATE(1970,1,1)+$G$6,)</f>
        <v/>
      </c>
      <c r="B939" s="27" t="str">
        <f t="shared" si="1"/>
        <v/>
      </c>
      <c r="C939" s="14" t="str">
        <f>IF($A939&lt;&gt;"",MINIFS(Merchant!$A:$A,Merchant!$B:$B,$G$2),)</f>
        <v/>
      </c>
      <c r="D939" s="14" t="str">
        <f t="shared" si="2"/>
        <v/>
      </c>
      <c r="E939" s="14" t="str">
        <f t="shared" si="3"/>
        <v/>
      </c>
      <c r="F939" s="7" t="str">
        <f>IF($A939&lt;&gt;"",MAXIFS(Token!$C:$C,Token!$A:$A,$D939),)</f>
        <v/>
      </c>
    </row>
    <row r="940">
      <c r="A940" s="39" t="str">
        <f>IF(AND($L940*1&gt;=$G$3,$L940*1&lt;=$G$4,$I940*$J940&gt;0,OR($I940&lt;&gt;$I941,$L940-$L941&gt;25),IF(ABS($I940)&gt;10,$I940/POW(10,$J940),$J940/POW(10,$I940))*MAXIFS(Token!$C:$C,Token!$A:$A,$K940)&gt;0.01),$L940/86400+DATE(1970,1,1)+$G$6,)</f>
        <v/>
      </c>
      <c r="B940" s="27" t="str">
        <f t="shared" si="1"/>
        <v/>
      </c>
      <c r="C940" s="14" t="str">
        <f>IF($A940&lt;&gt;"",MINIFS(Merchant!$A:$A,Merchant!$B:$B,$G$2),)</f>
        <v/>
      </c>
      <c r="D940" s="14" t="str">
        <f t="shared" si="2"/>
        <v/>
      </c>
      <c r="E940" s="14" t="str">
        <f t="shared" si="3"/>
        <v/>
      </c>
      <c r="F940" s="7" t="str">
        <f>IF($A940&lt;&gt;"",MAXIFS(Token!$C:$C,Token!$A:$A,$D940),)</f>
        <v/>
      </c>
    </row>
    <row r="941">
      <c r="A941" s="39" t="str">
        <f>IF(AND($L941*1&gt;=$G$3,$L941*1&lt;=$G$4,$I941*$J941&gt;0,OR($I941&lt;&gt;$I942,$L941-$L942&gt;25),IF(ABS($I941)&gt;10,$I941/POW(10,$J941),$J941/POW(10,$I941))*MAXIFS(Token!$C:$C,Token!$A:$A,$K941)&gt;0.01),$L941/86400+DATE(1970,1,1)+$G$6,)</f>
        <v/>
      </c>
      <c r="B941" s="27" t="str">
        <f t="shared" si="1"/>
        <v/>
      </c>
      <c r="C941" s="14" t="str">
        <f>IF($A941&lt;&gt;"",MINIFS(Merchant!$A:$A,Merchant!$B:$B,$G$2),)</f>
        <v/>
      </c>
      <c r="D941" s="14" t="str">
        <f t="shared" si="2"/>
        <v/>
      </c>
      <c r="E941" s="14" t="str">
        <f t="shared" si="3"/>
        <v/>
      </c>
      <c r="F941" s="7" t="str">
        <f>IF($A941&lt;&gt;"",MAXIFS(Token!$C:$C,Token!$A:$A,$D941),)</f>
        <v/>
      </c>
    </row>
    <row r="942">
      <c r="A942" s="39" t="str">
        <f>IF(AND($L942*1&gt;=$G$3,$L942*1&lt;=$G$4,$I942*$J942&gt;0,OR($I942&lt;&gt;$I943,$L942-$L943&gt;25),IF(ABS($I942)&gt;10,$I942/POW(10,$J942),$J942/POW(10,$I942))*MAXIFS(Token!$C:$C,Token!$A:$A,$K942)&gt;0.01),$L942/86400+DATE(1970,1,1)+$G$6,)</f>
        <v/>
      </c>
      <c r="B942" s="27" t="str">
        <f t="shared" si="1"/>
        <v/>
      </c>
      <c r="C942" s="14" t="str">
        <f>IF($A942&lt;&gt;"",MINIFS(Merchant!$A:$A,Merchant!$B:$B,$G$2),)</f>
        <v/>
      </c>
      <c r="D942" s="14" t="str">
        <f t="shared" si="2"/>
        <v/>
      </c>
      <c r="E942" s="14" t="str">
        <f t="shared" si="3"/>
        <v/>
      </c>
      <c r="F942" s="7" t="str">
        <f>IF($A942&lt;&gt;"",MAXIFS(Token!$C:$C,Token!$A:$A,$D942),)</f>
        <v/>
      </c>
    </row>
    <row r="943">
      <c r="A943" s="39" t="str">
        <f>IF(AND($L943*1&gt;=$G$3,$L943*1&lt;=$G$4,$I943*$J943&gt;0,OR($I943&lt;&gt;$I944,$L943-$L944&gt;25),IF(ABS($I943)&gt;10,$I943/POW(10,$J943),$J943/POW(10,$I943))*MAXIFS(Token!$C:$C,Token!$A:$A,$K943)&gt;0.01),$L943/86400+DATE(1970,1,1)+$G$6,)</f>
        <v/>
      </c>
      <c r="B943" s="27" t="str">
        <f t="shared" si="1"/>
        <v/>
      </c>
      <c r="C943" s="14" t="str">
        <f>IF($A943&lt;&gt;"",MINIFS(Merchant!$A:$A,Merchant!$B:$B,$G$2),)</f>
        <v/>
      </c>
      <c r="D943" s="14" t="str">
        <f t="shared" si="2"/>
        <v/>
      </c>
      <c r="E943" s="14" t="str">
        <f t="shared" si="3"/>
        <v/>
      </c>
      <c r="F943" s="7" t="str">
        <f>IF($A943&lt;&gt;"",MAXIFS(Token!$C:$C,Token!$A:$A,$D943),)</f>
        <v/>
      </c>
    </row>
    <row r="944">
      <c r="A944" s="39" t="str">
        <f>IF(AND($L944*1&gt;=$G$3,$L944*1&lt;=$G$4,$I944*$J944&gt;0,OR($I944&lt;&gt;$I945,$L944-$L945&gt;25),IF(ABS($I944)&gt;10,$I944/POW(10,$J944),$J944/POW(10,$I944))*MAXIFS(Token!$C:$C,Token!$A:$A,$K944)&gt;0.01),$L944/86400+DATE(1970,1,1)+$G$6,)</f>
        <v/>
      </c>
      <c r="B944" s="27" t="str">
        <f t="shared" si="1"/>
        <v/>
      </c>
      <c r="C944" s="14" t="str">
        <f>IF($A944&lt;&gt;"",MINIFS(Merchant!$A:$A,Merchant!$B:$B,$G$2),)</f>
        <v/>
      </c>
      <c r="D944" s="14" t="str">
        <f t="shared" si="2"/>
        <v/>
      </c>
      <c r="E944" s="14" t="str">
        <f t="shared" si="3"/>
        <v/>
      </c>
      <c r="F944" s="7" t="str">
        <f>IF($A944&lt;&gt;"",MAXIFS(Token!$C:$C,Token!$A:$A,$D944),)</f>
        <v/>
      </c>
    </row>
    <row r="945">
      <c r="A945" s="39" t="str">
        <f>IF(AND($L945*1&gt;=$G$3,$L945*1&lt;=$G$4,$I945*$J945&gt;0,OR($I945&lt;&gt;$I946,$L945-$L946&gt;25),IF(ABS($I945)&gt;10,$I945/POW(10,$J945),$J945/POW(10,$I945))*MAXIFS(Token!$C:$C,Token!$A:$A,$K945)&gt;0.01),$L945/86400+DATE(1970,1,1)+$G$6,)</f>
        <v/>
      </c>
      <c r="B945" s="27" t="str">
        <f t="shared" si="1"/>
        <v/>
      </c>
      <c r="C945" s="14" t="str">
        <f>IF($A945&lt;&gt;"",MINIFS(Merchant!$A:$A,Merchant!$B:$B,$G$2),)</f>
        <v/>
      </c>
      <c r="D945" s="14" t="str">
        <f t="shared" si="2"/>
        <v/>
      </c>
      <c r="E945" s="14" t="str">
        <f t="shared" si="3"/>
        <v/>
      </c>
      <c r="F945" s="7" t="str">
        <f>IF($A945&lt;&gt;"",MAXIFS(Token!$C:$C,Token!$A:$A,$D945),)</f>
        <v/>
      </c>
    </row>
    <row r="946">
      <c r="A946" s="39" t="str">
        <f>IF(AND($L946*1&gt;=$G$3,$L946*1&lt;=$G$4,$I946*$J946&gt;0,OR($I946&lt;&gt;$I947,$L946-$L947&gt;25),IF(ABS($I946)&gt;10,$I946/POW(10,$J946),$J946/POW(10,$I946))*MAXIFS(Token!$C:$C,Token!$A:$A,$K946)&gt;0.01),$L946/86400+DATE(1970,1,1)+$G$6,)</f>
        <v/>
      </c>
      <c r="B946" s="27" t="str">
        <f t="shared" si="1"/>
        <v/>
      </c>
      <c r="C946" s="14" t="str">
        <f>IF($A946&lt;&gt;"",MINIFS(Merchant!$A:$A,Merchant!$B:$B,$G$2),)</f>
        <v/>
      </c>
      <c r="D946" s="14" t="str">
        <f t="shared" si="2"/>
        <v/>
      </c>
      <c r="E946" s="14" t="str">
        <f t="shared" si="3"/>
        <v/>
      </c>
      <c r="F946" s="7" t="str">
        <f>IF($A946&lt;&gt;"",MAXIFS(Token!$C:$C,Token!$A:$A,$D946),)</f>
        <v/>
      </c>
    </row>
    <row r="947">
      <c r="A947" s="39" t="str">
        <f>IF(AND($L947*1&gt;=$G$3,$L947*1&lt;=$G$4,$I947*$J947&gt;0,OR($I947&lt;&gt;$I948,$L947-$L948&gt;25),IF(ABS($I947)&gt;10,$I947/POW(10,$J947),$J947/POW(10,$I947))*MAXIFS(Token!$C:$C,Token!$A:$A,$K947)&gt;0.01),$L947/86400+DATE(1970,1,1)+$G$6,)</f>
        <v/>
      </c>
      <c r="B947" s="27" t="str">
        <f t="shared" si="1"/>
        <v/>
      </c>
      <c r="C947" s="14" t="str">
        <f>IF($A947&lt;&gt;"",MINIFS(Merchant!$A:$A,Merchant!$B:$B,$G$2),)</f>
        <v/>
      </c>
      <c r="D947" s="14" t="str">
        <f t="shared" si="2"/>
        <v/>
      </c>
      <c r="E947" s="14" t="str">
        <f t="shared" si="3"/>
        <v/>
      </c>
      <c r="F947" s="7" t="str">
        <f>IF($A947&lt;&gt;"",MAXIFS(Token!$C:$C,Token!$A:$A,$D947),)</f>
        <v/>
      </c>
    </row>
    <row r="948">
      <c r="A948" s="39" t="str">
        <f>IF(AND($L948*1&gt;=$G$3,$L948*1&lt;=$G$4,$I948*$J948&gt;0,OR($I948&lt;&gt;$I949,$L948-$L949&gt;25),IF(ABS($I948)&gt;10,$I948/POW(10,$J948),$J948/POW(10,$I948))*MAXIFS(Token!$C:$C,Token!$A:$A,$K948)&gt;0.01),$L948/86400+DATE(1970,1,1)+$G$6,)</f>
        <v/>
      </c>
      <c r="B948" s="27" t="str">
        <f t="shared" si="1"/>
        <v/>
      </c>
      <c r="C948" s="14" t="str">
        <f>IF($A948&lt;&gt;"",MINIFS(Merchant!$A:$A,Merchant!$B:$B,$G$2),)</f>
        <v/>
      </c>
      <c r="D948" s="14" t="str">
        <f t="shared" si="2"/>
        <v/>
      </c>
      <c r="E948" s="14" t="str">
        <f t="shared" si="3"/>
        <v/>
      </c>
      <c r="F948" s="7" t="str">
        <f>IF($A948&lt;&gt;"",MAXIFS(Token!$C:$C,Token!$A:$A,$D948),)</f>
        <v/>
      </c>
    </row>
    <row r="949">
      <c r="A949" s="39" t="str">
        <f>IF(AND($L949*1&gt;=$G$3,$L949*1&lt;=$G$4,$I949*$J949&gt;0,OR($I949&lt;&gt;$I950,$L949-$L950&gt;25),IF(ABS($I949)&gt;10,$I949/POW(10,$J949),$J949/POW(10,$I949))*MAXIFS(Token!$C:$C,Token!$A:$A,$K949)&gt;0.01),$L949/86400+DATE(1970,1,1)+$G$6,)</f>
        <v/>
      </c>
      <c r="B949" s="27" t="str">
        <f t="shared" si="1"/>
        <v/>
      </c>
      <c r="C949" s="14" t="str">
        <f>IF($A949&lt;&gt;"",MINIFS(Merchant!$A:$A,Merchant!$B:$B,$G$2),)</f>
        <v/>
      </c>
      <c r="D949" s="14" t="str">
        <f t="shared" si="2"/>
        <v/>
      </c>
      <c r="E949" s="14" t="str">
        <f t="shared" si="3"/>
        <v/>
      </c>
      <c r="F949" s="7" t="str">
        <f>IF($A949&lt;&gt;"",MAXIFS(Token!$C:$C,Token!$A:$A,$D949),)</f>
        <v/>
      </c>
    </row>
    <row r="950">
      <c r="A950" s="39" t="str">
        <f>IF(AND($L950*1&gt;=$G$3,$L950*1&lt;=$G$4,$I950*$J950&gt;0,OR($I950&lt;&gt;$I951,$L950-$L951&gt;25),IF(ABS($I950)&gt;10,$I950/POW(10,$J950),$J950/POW(10,$I950))*MAXIFS(Token!$C:$C,Token!$A:$A,$K950)&gt;0.01),$L950/86400+DATE(1970,1,1)+$G$6,)</f>
        <v/>
      </c>
      <c r="B950" s="27" t="str">
        <f t="shared" si="1"/>
        <v/>
      </c>
      <c r="C950" s="14" t="str">
        <f>IF($A950&lt;&gt;"",MINIFS(Merchant!$A:$A,Merchant!$B:$B,$G$2),)</f>
        <v/>
      </c>
      <c r="D950" s="14" t="str">
        <f t="shared" si="2"/>
        <v/>
      </c>
      <c r="E950" s="14" t="str">
        <f t="shared" si="3"/>
        <v/>
      </c>
      <c r="F950" s="7" t="str">
        <f>IF($A950&lt;&gt;"",MAXIFS(Token!$C:$C,Token!$A:$A,$D950),)</f>
        <v/>
      </c>
    </row>
    <row r="951">
      <c r="A951" s="39" t="str">
        <f>IF(AND($L951*1&gt;=$G$3,$L951*1&lt;=$G$4,$I951*$J951&gt;0,OR($I951&lt;&gt;$I952,$L951-$L952&gt;25),IF(ABS($I951)&gt;10,$I951/POW(10,$J951),$J951/POW(10,$I951))*MAXIFS(Token!$C:$C,Token!$A:$A,$K951)&gt;0.01),$L951/86400+DATE(1970,1,1)+$G$6,)</f>
        <v/>
      </c>
      <c r="B951" s="27" t="str">
        <f t="shared" si="1"/>
        <v/>
      </c>
      <c r="C951" s="14" t="str">
        <f>IF($A951&lt;&gt;"",MINIFS(Merchant!$A:$A,Merchant!$B:$B,$G$2),)</f>
        <v/>
      </c>
      <c r="D951" s="14" t="str">
        <f t="shared" si="2"/>
        <v/>
      </c>
      <c r="E951" s="14" t="str">
        <f t="shared" si="3"/>
        <v/>
      </c>
      <c r="F951" s="7" t="str">
        <f>IF($A951&lt;&gt;"",MAXIFS(Token!$C:$C,Token!$A:$A,$D951),)</f>
        <v/>
      </c>
    </row>
    <row r="952">
      <c r="A952" s="39" t="str">
        <f>IF(AND($L952*1&gt;=$G$3,$L952*1&lt;=$G$4,$I952*$J952&gt;0,OR($I952&lt;&gt;$I953,$L952-$L953&gt;25),IF(ABS($I952)&gt;10,$I952/POW(10,$J952),$J952/POW(10,$I952))*MAXIFS(Token!$C:$C,Token!$A:$A,$K952)&gt;0.01),$L952/86400+DATE(1970,1,1)+$G$6,)</f>
        <v/>
      </c>
      <c r="B952" s="27" t="str">
        <f t="shared" si="1"/>
        <v/>
      </c>
      <c r="C952" s="14" t="str">
        <f>IF($A952&lt;&gt;"",MINIFS(Merchant!$A:$A,Merchant!$B:$B,$G$2),)</f>
        <v/>
      </c>
      <c r="D952" s="14" t="str">
        <f t="shared" si="2"/>
        <v/>
      </c>
      <c r="E952" s="14" t="str">
        <f t="shared" si="3"/>
        <v/>
      </c>
      <c r="F952" s="7" t="str">
        <f>IF($A952&lt;&gt;"",MAXIFS(Token!$C:$C,Token!$A:$A,$D952),)</f>
        <v/>
      </c>
    </row>
    <row r="953">
      <c r="A953" s="39" t="str">
        <f>IF(AND($L953*1&gt;=$G$3,$L953*1&lt;=$G$4,$I953*$J953&gt;0,OR($I953&lt;&gt;$I954,$L953-$L954&gt;25),IF(ABS($I953)&gt;10,$I953/POW(10,$J953),$J953/POW(10,$I953))*MAXIFS(Token!$C:$C,Token!$A:$A,$K953)&gt;0.01),$L953/86400+DATE(1970,1,1)+$G$6,)</f>
        <v/>
      </c>
      <c r="B953" s="27" t="str">
        <f t="shared" si="1"/>
        <v/>
      </c>
      <c r="C953" s="14" t="str">
        <f>IF($A953&lt;&gt;"",MINIFS(Merchant!$A:$A,Merchant!$B:$B,$G$2),)</f>
        <v/>
      </c>
      <c r="D953" s="14" t="str">
        <f t="shared" si="2"/>
        <v/>
      </c>
      <c r="E953" s="14" t="str">
        <f t="shared" si="3"/>
        <v/>
      </c>
      <c r="F953" s="7" t="str">
        <f>IF($A953&lt;&gt;"",MAXIFS(Token!$C:$C,Token!$A:$A,$D953),)</f>
        <v/>
      </c>
    </row>
    <row r="954">
      <c r="A954" s="39" t="str">
        <f>IF(AND($L954*1&gt;=$G$3,$L954*1&lt;=$G$4,$I954*$J954&gt;0,OR($I954&lt;&gt;$I955,$L954-$L955&gt;25),IF(ABS($I954)&gt;10,$I954/POW(10,$J954),$J954/POW(10,$I954))*MAXIFS(Token!$C:$C,Token!$A:$A,$K954)&gt;0.01),$L954/86400+DATE(1970,1,1)+$G$6,)</f>
        <v/>
      </c>
      <c r="B954" s="27" t="str">
        <f t="shared" si="1"/>
        <v/>
      </c>
      <c r="C954" s="14" t="str">
        <f>IF($A954&lt;&gt;"",MINIFS(Merchant!$A:$A,Merchant!$B:$B,$G$2),)</f>
        <v/>
      </c>
      <c r="D954" s="14" t="str">
        <f t="shared" si="2"/>
        <v/>
      </c>
      <c r="E954" s="14" t="str">
        <f t="shared" si="3"/>
        <v/>
      </c>
      <c r="F954" s="7" t="str">
        <f>IF($A954&lt;&gt;"",MAXIFS(Token!$C:$C,Token!$A:$A,$D954),)</f>
        <v/>
      </c>
    </row>
    <row r="955">
      <c r="A955" s="39" t="str">
        <f>IF(AND($L955*1&gt;=$G$3,$L955*1&lt;=$G$4,$I955*$J955&gt;0,OR($I955&lt;&gt;$I956,$L955-$L956&gt;25),IF(ABS($I955)&gt;10,$I955/POW(10,$J955),$J955/POW(10,$I955))*MAXIFS(Token!$C:$C,Token!$A:$A,$K955)&gt;0.01),$L955/86400+DATE(1970,1,1)+$G$6,)</f>
        <v/>
      </c>
      <c r="B955" s="27" t="str">
        <f t="shared" si="1"/>
        <v/>
      </c>
      <c r="C955" s="14" t="str">
        <f>IF($A955&lt;&gt;"",MINIFS(Merchant!$A:$A,Merchant!$B:$B,$G$2),)</f>
        <v/>
      </c>
      <c r="D955" s="14" t="str">
        <f t="shared" si="2"/>
        <v/>
      </c>
      <c r="E955" s="14" t="str">
        <f t="shared" si="3"/>
        <v/>
      </c>
      <c r="F955" s="7" t="str">
        <f>IF($A955&lt;&gt;"",MAXIFS(Token!$C:$C,Token!$A:$A,$D955),)</f>
        <v/>
      </c>
    </row>
    <row r="956">
      <c r="A956" s="39" t="str">
        <f>IF(AND($L956*1&gt;=$G$3,$L956*1&lt;=$G$4,$I956*$J956&gt;0,OR($I956&lt;&gt;$I957,$L956-$L957&gt;25),IF(ABS($I956)&gt;10,$I956/POW(10,$J956),$J956/POW(10,$I956))*MAXIFS(Token!$C:$C,Token!$A:$A,$K956)&gt;0.01),$L956/86400+DATE(1970,1,1)+$G$6,)</f>
        <v/>
      </c>
      <c r="B956" s="27" t="str">
        <f t="shared" si="1"/>
        <v/>
      </c>
      <c r="C956" s="14" t="str">
        <f>IF($A956&lt;&gt;"",MINIFS(Merchant!$A:$A,Merchant!$B:$B,$G$2),)</f>
        <v/>
      </c>
      <c r="D956" s="14" t="str">
        <f t="shared" si="2"/>
        <v/>
      </c>
      <c r="E956" s="14" t="str">
        <f t="shared" si="3"/>
        <v/>
      </c>
      <c r="F956" s="7" t="str">
        <f>IF($A956&lt;&gt;"",MAXIFS(Token!$C:$C,Token!$A:$A,$D956),)</f>
        <v/>
      </c>
    </row>
    <row r="957">
      <c r="A957" s="39" t="str">
        <f>IF(AND($L957*1&gt;=$G$3,$L957*1&lt;=$G$4,$I957*$J957&gt;0,OR($I957&lt;&gt;$I958,$L957-$L958&gt;25),IF(ABS($I957)&gt;10,$I957/POW(10,$J957),$J957/POW(10,$I957))*MAXIFS(Token!$C:$C,Token!$A:$A,$K957)&gt;0.01),$L957/86400+DATE(1970,1,1)+$G$6,)</f>
        <v/>
      </c>
      <c r="B957" s="27" t="str">
        <f t="shared" si="1"/>
        <v/>
      </c>
      <c r="C957" s="14" t="str">
        <f>IF($A957&lt;&gt;"",MINIFS(Merchant!$A:$A,Merchant!$B:$B,$G$2),)</f>
        <v/>
      </c>
      <c r="D957" s="14" t="str">
        <f t="shared" si="2"/>
        <v/>
      </c>
      <c r="E957" s="14" t="str">
        <f t="shared" si="3"/>
        <v/>
      </c>
      <c r="F957" s="7" t="str">
        <f>IF($A957&lt;&gt;"",MAXIFS(Token!$C:$C,Token!$A:$A,$D957),)</f>
        <v/>
      </c>
    </row>
    <row r="958">
      <c r="A958" s="39" t="str">
        <f>IF(AND($L958*1&gt;=$G$3,$L958*1&lt;=$G$4,$I958*$J958&gt;0,OR($I958&lt;&gt;$I959,$L958-$L959&gt;25),IF(ABS($I958)&gt;10,$I958/POW(10,$J958),$J958/POW(10,$I958))*MAXIFS(Token!$C:$C,Token!$A:$A,$K958)&gt;0.01),$L958/86400+DATE(1970,1,1)+$G$6,)</f>
        <v/>
      </c>
      <c r="B958" s="27" t="str">
        <f t="shared" si="1"/>
        <v/>
      </c>
      <c r="C958" s="14" t="str">
        <f>IF($A958&lt;&gt;"",MINIFS(Merchant!$A:$A,Merchant!$B:$B,$G$2),)</f>
        <v/>
      </c>
      <c r="D958" s="14" t="str">
        <f t="shared" si="2"/>
        <v/>
      </c>
      <c r="E958" s="14" t="str">
        <f t="shared" si="3"/>
        <v/>
      </c>
      <c r="F958" s="7" t="str">
        <f>IF($A958&lt;&gt;"",MAXIFS(Token!$C:$C,Token!$A:$A,$D958),)</f>
        <v/>
      </c>
    </row>
    <row r="959">
      <c r="A959" s="39" t="str">
        <f>IF(AND($L959*1&gt;=$G$3,$L959*1&lt;=$G$4,$I959*$J959&gt;0,OR($I959&lt;&gt;$I960,$L959-$L960&gt;25),IF(ABS($I959)&gt;10,$I959/POW(10,$J959),$J959/POW(10,$I959))*MAXIFS(Token!$C:$C,Token!$A:$A,$K959)&gt;0.01),$L959/86400+DATE(1970,1,1)+$G$6,)</f>
        <v/>
      </c>
      <c r="B959" s="27" t="str">
        <f t="shared" si="1"/>
        <v/>
      </c>
      <c r="C959" s="14" t="str">
        <f>IF($A959&lt;&gt;"",MINIFS(Merchant!$A:$A,Merchant!$B:$B,$G$2),)</f>
        <v/>
      </c>
      <c r="D959" s="14" t="str">
        <f t="shared" si="2"/>
        <v/>
      </c>
      <c r="E959" s="14" t="str">
        <f t="shared" si="3"/>
        <v/>
      </c>
      <c r="F959" s="7" t="str">
        <f>IF($A959&lt;&gt;"",MAXIFS(Token!$C:$C,Token!$A:$A,$D959),)</f>
        <v/>
      </c>
    </row>
    <row r="960">
      <c r="A960" s="39" t="str">
        <f>IF(AND($L960*1&gt;=$G$3,$L960*1&lt;=$G$4,$I960*$J960&gt;0,OR($I960&lt;&gt;$I961,$L960-$L961&gt;25),IF(ABS($I960)&gt;10,$I960/POW(10,$J960),$J960/POW(10,$I960))*MAXIFS(Token!$C:$C,Token!$A:$A,$K960)&gt;0.01),$L960/86400+DATE(1970,1,1)+$G$6,)</f>
        <v/>
      </c>
      <c r="B960" s="27" t="str">
        <f t="shared" si="1"/>
        <v/>
      </c>
      <c r="C960" s="14" t="str">
        <f>IF($A960&lt;&gt;"",MINIFS(Merchant!$A:$A,Merchant!$B:$B,$G$2),)</f>
        <v/>
      </c>
      <c r="D960" s="14" t="str">
        <f t="shared" si="2"/>
        <v/>
      </c>
      <c r="E960" s="14" t="str">
        <f t="shared" si="3"/>
        <v/>
      </c>
      <c r="F960" s="7" t="str">
        <f>IF($A960&lt;&gt;"",MAXIFS(Token!$C:$C,Token!$A:$A,$D960),)</f>
        <v/>
      </c>
    </row>
    <row r="961">
      <c r="A961" s="39" t="str">
        <f>IF(AND($L961*1&gt;=$G$3,$L961*1&lt;=$G$4,$I961*$J961&gt;0,OR($I961&lt;&gt;$I962,$L961-$L962&gt;25),IF(ABS($I961)&gt;10,$I961/POW(10,$J961),$J961/POW(10,$I961))*MAXIFS(Token!$C:$C,Token!$A:$A,$K961)&gt;0.01),$L961/86400+DATE(1970,1,1)+$G$6,)</f>
        <v/>
      </c>
      <c r="B961" s="27" t="str">
        <f t="shared" si="1"/>
        <v/>
      </c>
      <c r="C961" s="14" t="str">
        <f>IF($A961&lt;&gt;"",MINIFS(Merchant!$A:$A,Merchant!$B:$B,$G$2),)</f>
        <v/>
      </c>
      <c r="D961" s="14" t="str">
        <f t="shared" si="2"/>
        <v/>
      </c>
      <c r="E961" s="14" t="str">
        <f t="shared" si="3"/>
        <v/>
      </c>
      <c r="F961" s="7" t="str">
        <f>IF($A961&lt;&gt;"",MAXIFS(Token!$C:$C,Token!$A:$A,$D961),)</f>
        <v/>
      </c>
    </row>
    <row r="962">
      <c r="A962" s="39" t="str">
        <f>IF(AND($L962*1&gt;=$G$3,$L962*1&lt;=$G$4,$I962*$J962&gt;0,OR($I962&lt;&gt;$I963,$L962-$L963&gt;25),IF(ABS($I962)&gt;10,$I962/POW(10,$J962),$J962/POW(10,$I962))*MAXIFS(Token!$C:$C,Token!$A:$A,$K962)&gt;0.01),$L962/86400+DATE(1970,1,1)+$G$6,)</f>
        <v/>
      </c>
      <c r="B962" s="27" t="str">
        <f t="shared" si="1"/>
        <v/>
      </c>
      <c r="C962" s="14" t="str">
        <f>IF($A962&lt;&gt;"",MINIFS(Merchant!$A:$A,Merchant!$B:$B,$G$2),)</f>
        <v/>
      </c>
      <c r="D962" s="14" t="str">
        <f t="shared" si="2"/>
        <v/>
      </c>
      <c r="E962" s="14" t="str">
        <f t="shared" si="3"/>
        <v/>
      </c>
      <c r="F962" s="7" t="str">
        <f>IF($A962&lt;&gt;"",MAXIFS(Token!$C:$C,Token!$A:$A,$D962),)</f>
        <v/>
      </c>
    </row>
    <row r="963">
      <c r="A963" s="39" t="str">
        <f>IF(AND($L963*1&gt;=$G$3,$L963*1&lt;=$G$4,$I963*$J963&gt;0,OR($I963&lt;&gt;$I964,$L963-$L964&gt;25),IF(ABS($I963)&gt;10,$I963/POW(10,$J963),$J963/POW(10,$I963))*MAXIFS(Token!$C:$C,Token!$A:$A,$K963)&gt;0.01),$L963/86400+DATE(1970,1,1)+$G$6,)</f>
        <v/>
      </c>
      <c r="B963" s="27" t="str">
        <f t="shared" si="1"/>
        <v/>
      </c>
      <c r="C963" s="14" t="str">
        <f>IF($A963&lt;&gt;"",MINIFS(Merchant!$A:$A,Merchant!$B:$B,$G$2),)</f>
        <v/>
      </c>
      <c r="D963" s="14" t="str">
        <f t="shared" si="2"/>
        <v/>
      </c>
      <c r="E963" s="14" t="str">
        <f t="shared" si="3"/>
        <v/>
      </c>
      <c r="F963" s="7" t="str">
        <f>IF($A963&lt;&gt;"",MAXIFS(Token!$C:$C,Token!$A:$A,$D963),)</f>
        <v/>
      </c>
    </row>
    <row r="964">
      <c r="A964" s="39" t="str">
        <f>IF(AND($L964*1&gt;=$G$3,$L964*1&lt;=$G$4,$I964*$J964&gt;0,OR($I964&lt;&gt;$I965,$L964-$L965&gt;25),IF(ABS($I964)&gt;10,$I964/POW(10,$J964),$J964/POW(10,$I964))*MAXIFS(Token!$C:$C,Token!$A:$A,$K964)&gt;0.01),$L964/86400+DATE(1970,1,1)+$G$6,)</f>
        <v/>
      </c>
      <c r="B964" s="27" t="str">
        <f t="shared" si="1"/>
        <v/>
      </c>
      <c r="C964" s="14" t="str">
        <f>IF($A964&lt;&gt;"",MINIFS(Merchant!$A:$A,Merchant!$B:$B,$G$2),)</f>
        <v/>
      </c>
      <c r="D964" s="14" t="str">
        <f t="shared" si="2"/>
        <v/>
      </c>
      <c r="E964" s="14" t="str">
        <f t="shared" si="3"/>
        <v/>
      </c>
      <c r="F964" s="7" t="str">
        <f>IF($A964&lt;&gt;"",MAXIFS(Token!$C:$C,Token!$A:$A,$D964),)</f>
        <v/>
      </c>
    </row>
    <row r="965">
      <c r="A965" s="39" t="str">
        <f>IF(AND($L965*1&gt;=$G$3,$L965*1&lt;=$G$4,$I965*$J965&gt;0,OR($I965&lt;&gt;$I966,$L965-$L966&gt;25),IF(ABS($I965)&gt;10,$I965/POW(10,$J965),$J965/POW(10,$I965))*MAXIFS(Token!$C:$C,Token!$A:$A,$K965)&gt;0.01),$L965/86400+DATE(1970,1,1)+$G$6,)</f>
        <v/>
      </c>
      <c r="B965" s="27" t="str">
        <f t="shared" si="1"/>
        <v/>
      </c>
      <c r="C965" s="14" t="str">
        <f>IF($A965&lt;&gt;"",MINIFS(Merchant!$A:$A,Merchant!$B:$B,$G$2),)</f>
        <v/>
      </c>
      <c r="D965" s="14" t="str">
        <f t="shared" si="2"/>
        <v/>
      </c>
      <c r="E965" s="14" t="str">
        <f t="shared" si="3"/>
        <v/>
      </c>
      <c r="F965" s="7" t="str">
        <f>IF($A965&lt;&gt;"",MAXIFS(Token!$C:$C,Token!$A:$A,$D965),)</f>
        <v/>
      </c>
    </row>
    <row r="966">
      <c r="A966" s="39" t="str">
        <f>IF(AND($L966*1&gt;=$G$3,$L966*1&lt;=$G$4,$I966*$J966&gt;0,OR($I966&lt;&gt;$I967,$L966-$L967&gt;25),IF(ABS($I966)&gt;10,$I966/POW(10,$J966),$J966/POW(10,$I966))*MAXIFS(Token!$C:$C,Token!$A:$A,$K966)&gt;0.01),$L966/86400+DATE(1970,1,1)+$G$6,)</f>
        <v/>
      </c>
      <c r="B966" s="27" t="str">
        <f t="shared" si="1"/>
        <v/>
      </c>
      <c r="C966" s="14" t="str">
        <f>IF($A966&lt;&gt;"",MINIFS(Merchant!$A:$A,Merchant!$B:$B,$G$2),)</f>
        <v/>
      </c>
      <c r="D966" s="14" t="str">
        <f t="shared" si="2"/>
        <v/>
      </c>
      <c r="E966" s="14" t="str">
        <f t="shared" si="3"/>
        <v/>
      </c>
      <c r="F966" s="7" t="str">
        <f>IF($A966&lt;&gt;"",MAXIFS(Token!$C:$C,Token!$A:$A,$D966),)</f>
        <v/>
      </c>
    </row>
    <row r="967">
      <c r="A967" s="39" t="str">
        <f>IF(AND($L967*1&gt;=$G$3,$L967*1&lt;=$G$4,$I967*$J967&gt;0,OR($I967&lt;&gt;$I968,$L967-$L968&gt;25),IF(ABS($I967)&gt;10,$I967/POW(10,$J967),$J967/POW(10,$I967))*MAXIFS(Token!$C:$C,Token!$A:$A,$K967)&gt;0.01),$L967/86400+DATE(1970,1,1)+$G$6,)</f>
        <v/>
      </c>
      <c r="B967" s="27" t="str">
        <f t="shared" si="1"/>
        <v/>
      </c>
      <c r="C967" s="14" t="str">
        <f>IF($A967&lt;&gt;"",MINIFS(Merchant!$A:$A,Merchant!$B:$B,$G$2),)</f>
        <v/>
      </c>
      <c r="D967" s="14" t="str">
        <f t="shared" si="2"/>
        <v/>
      </c>
      <c r="E967" s="14" t="str">
        <f t="shared" si="3"/>
        <v/>
      </c>
      <c r="F967" s="7" t="str">
        <f>IF($A967&lt;&gt;"",MAXIFS(Token!$C:$C,Token!$A:$A,$D967),)</f>
        <v/>
      </c>
    </row>
    <row r="968">
      <c r="A968" s="39" t="str">
        <f>IF(AND($L968*1&gt;=$G$3,$L968*1&lt;=$G$4,$I968*$J968&gt;0,OR($I968&lt;&gt;$I969,$L968-$L969&gt;25),IF(ABS($I968)&gt;10,$I968/POW(10,$J968),$J968/POW(10,$I968))*MAXIFS(Token!$C:$C,Token!$A:$A,$K968)&gt;0.01),$L968/86400+DATE(1970,1,1)+$G$6,)</f>
        <v/>
      </c>
      <c r="B968" s="27" t="str">
        <f t="shared" si="1"/>
        <v/>
      </c>
      <c r="C968" s="14" t="str">
        <f>IF($A968&lt;&gt;"",MINIFS(Merchant!$A:$A,Merchant!$B:$B,$G$2),)</f>
        <v/>
      </c>
      <c r="D968" s="14" t="str">
        <f t="shared" si="2"/>
        <v/>
      </c>
      <c r="E968" s="14" t="str">
        <f t="shared" si="3"/>
        <v/>
      </c>
      <c r="F968" s="7" t="str">
        <f>IF($A968&lt;&gt;"",MAXIFS(Token!$C:$C,Token!$A:$A,$D968),)</f>
        <v/>
      </c>
    </row>
    <row r="969">
      <c r="A969" s="39" t="str">
        <f>IF(AND($L969*1&gt;=$G$3,$L969*1&lt;=$G$4,$I969*$J969&gt;0,OR($I969&lt;&gt;$I970,$L969-$L970&gt;25),IF(ABS($I969)&gt;10,$I969/POW(10,$J969),$J969/POW(10,$I969))*MAXIFS(Token!$C:$C,Token!$A:$A,$K969)&gt;0.01),$L969/86400+DATE(1970,1,1)+$G$6,)</f>
        <v/>
      </c>
      <c r="B969" s="27" t="str">
        <f t="shared" si="1"/>
        <v/>
      </c>
      <c r="C969" s="14" t="str">
        <f>IF($A969&lt;&gt;"",MINIFS(Merchant!$A:$A,Merchant!$B:$B,$G$2),)</f>
        <v/>
      </c>
      <c r="D969" s="14" t="str">
        <f t="shared" si="2"/>
        <v/>
      </c>
      <c r="E969" s="14" t="str">
        <f t="shared" si="3"/>
        <v/>
      </c>
      <c r="F969" s="7" t="str">
        <f>IF($A969&lt;&gt;"",MAXIFS(Token!$C:$C,Token!$A:$A,$D969),)</f>
        <v/>
      </c>
    </row>
    <row r="970">
      <c r="A970" s="39" t="str">
        <f>IF(AND($L970*1&gt;=$G$3,$L970*1&lt;=$G$4,$I970*$J970&gt;0,OR($I970&lt;&gt;$I971,$L970-$L971&gt;25),IF(ABS($I970)&gt;10,$I970/POW(10,$J970),$J970/POW(10,$I970))*MAXIFS(Token!$C:$C,Token!$A:$A,$K970)&gt;0.01),$L970/86400+DATE(1970,1,1)+$G$6,)</f>
        <v/>
      </c>
      <c r="B970" s="27" t="str">
        <f t="shared" si="1"/>
        <v/>
      </c>
      <c r="C970" s="14" t="str">
        <f>IF($A970&lt;&gt;"",MINIFS(Merchant!$A:$A,Merchant!$B:$B,$G$2),)</f>
        <v/>
      </c>
      <c r="D970" s="14" t="str">
        <f t="shared" si="2"/>
        <v/>
      </c>
      <c r="E970" s="14" t="str">
        <f t="shared" si="3"/>
        <v/>
      </c>
      <c r="F970" s="7" t="str">
        <f>IF($A970&lt;&gt;"",MAXIFS(Token!$C:$C,Token!$A:$A,$D970),)</f>
        <v/>
      </c>
    </row>
    <row r="971">
      <c r="A971" s="39" t="str">
        <f>IF(AND($L971*1&gt;=$G$3,$L971*1&lt;=$G$4,$I971*$J971&gt;0,OR($I971&lt;&gt;$I972,$L971-$L972&gt;25),IF(ABS($I971)&gt;10,$I971/POW(10,$J971),$J971/POW(10,$I971))*MAXIFS(Token!$C:$C,Token!$A:$A,$K971)&gt;0.01),$L971/86400+DATE(1970,1,1)+$G$6,)</f>
        <v/>
      </c>
      <c r="B971" s="27" t="str">
        <f t="shared" si="1"/>
        <v/>
      </c>
      <c r="C971" s="14" t="str">
        <f>IF($A971&lt;&gt;"",MINIFS(Merchant!$A:$A,Merchant!$B:$B,$G$2),)</f>
        <v/>
      </c>
      <c r="D971" s="14" t="str">
        <f t="shared" si="2"/>
        <v/>
      </c>
      <c r="E971" s="14" t="str">
        <f t="shared" si="3"/>
        <v/>
      </c>
      <c r="F971" s="7" t="str">
        <f>IF($A971&lt;&gt;"",MAXIFS(Token!$C:$C,Token!$A:$A,$D971),)</f>
        <v/>
      </c>
    </row>
    <row r="972">
      <c r="A972" s="39" t="str">
        <f>IF(AND($L972*1&gt;=$G$3,$L972*1&lt;=$G$4,$I972*$J972&gt;0,OR($I972&lt;&gt;$I973,$L972-$L973&gt;25),IF(ABS($I972)&gt;10,$I972/POW(10,$J972),$J972/POW(10,$I972))*MAXIFS(Token!$C:$C,Token!$A:$A,$K972)&gt;0.01),$L972/86400+DATE(1970,1,1)+$G$6,)</f>
        <v/>
      </c>
      <c r="B972" s="27" t="str">
        <f t="shared" si="1"/>
        <v/>
      </c>
      <c r="C972" s="14" t="str">
        <f>IF($A972&lt;&gt;"",MINIFS(Merchant!$A:$A,Merchant!$B:$B,$G$2),)</f>
        <v/>
      </c>
      <c r="D972" s="14" t="str">
        <f t="shared" si="2"/>
        <v/>
      </c>
      <c r="E972" s="14" t="str">
        <f t="shared" si="3"/>
        <v/>
      </c>
      <c r="F972" s="7" t="str">
        <f>IF($A972&lt;&gt;"",MAXIFS(Token!$C:$C,Token!$A:$A,$D972),)</f>
        <v/>
      </c>
    </row>
    <row r="973">
      <c r="A973" s="39" t="str">
        <f>IF(AND($L973*1&gt;=$G$3,$L973*1&lt;=$G$4,$I973*$J973&gt;0,OR($I973&lt;&gt;$I974,$L973-$L974&gt;25),IF(ABS($I973)&gt;10,$I973/POW(10,$J973),$J973/POW(10,$I973))*MAXIFS(Token!$C:$C,Token!$A:$A,$K973)&gt;0.01),$L973/86400+DATE(1970,1,1)+$G$6,)</f>
        <v/>
      </c>
      <c r="B973" s="27" t="str">
        <f t="shared" si="1"/>
        <v/>
      </c>
      <c r="C973" s="14" t="str">
        <f>IF($A973&lt;&gt;"",MINIFS(Merchant!$A:$A,Merchant!$B:$B,$G$2),)</f>
        <v/>
      </c>
      <c r="D973" s="14" t="str">
        <f t="shared" si="2"/>
        <v/>
      </c>
      <c r="E973" s="14" t="str">
        <f t="shared" si="3"/>
        <v/>
      </c>
      <c r="F973" s="7" t="str">
        <f>IF($A973&lt;&gt;"",MAXIFS(Token!$C:$C,Token!$A:$A,$D973),)</f>
        <v/>
      </c>
    </row>
    <row r="974">
      <c r="A974" s="39" t="str">
        <f>IF(AND($L974*1&gt;=$G$3,$L974*1&lt;=$G$4,$I974*$J974&gt;0,OR($I974&lt;&gt;$I975,$L974-$L975&gt;25),IF(ABS($I974)&gt;10,$I974/POW(10,$J974),$J974/POW(10,$I974))*MAXIFS(Token!$C:$C,Token!$A:$A,$K974)&gt;0.01),$L974/86400+DATE(1970,1,1)+$G$6,)</f>
        <v/>
      </c>
      <c r="B974" s="27" t="str">
        <f t="shared" si="1"/>
        <v/>
      </c>
      <c r="C974" s="14" t="str">
        <f>IF($A974&lt;&gt;"",MINIFS(Merchant!$A:$A,Merchant!$B:$B,$G$2),)</f>
        <v/>
      </c>
      <c r="D974" s="14" t="str">
        <f t="shared" si="2"/>
        <v/>
      </c>
      <c r="E974" s="14" t="str">
        <f t="shared" si="3"/>
        <v/>
      </c>
      <c r="F974" s="7" t="str">
        <f>IF($A974&lt;&gt;"",MAXIFS(Token!$C:$C,Token!$A:$A,$D974),)</f>
        <v/>
      </c>
    </row>
    <row r="975">
      <c r="A975" s="39" t="str">
        <f>IF(AND($L975*1&gt;=$G$3,$L975*1&lt;=$G$4,$I975*$J975&gt;0,OR($I975&lt;&gt;$I976,$L975-$L976&gt;25),IF(ABS($I975)&gt;10,$I975/POW(10,$J975),$J975/POW(10,$I975))*MAXIFS(Token!$C:$C,Token!$A:$A,$K975)&gt;0.01),$L975/86400+DATE(1970,1,1)+$G$6,)</f>
        <v/>
      </c>
      <c r="B975" s="27" t="str">
        <f t="shared" si="1"/>
        <v/>
      </c>
      <c r="C975" s="14" t="str">
        <f>IF($A975&lt;&gt;"",MINIFS(Merchant!$A:$A,Merchant!$B:$B,$G$2),)</f>
        <v/>
      </c>
      <c r="D975" s="14" t="str">
        <f t="shared" si="2"/>
        <v/>
      </c>
      <c r="E975" s="14" t="str">
        <f t="shared" si="3"/>
        <v/>
      </c>
      <c r="F975" s="7" t="str">
        <f>IF($A975&lt;&gt;"",MAXIFS(Token!$C:$C,Token!$A:$A,$D975),)</f>
        <v/>
      </c>
    </row>
    <row r="976">
      <c r="A976" s="39" t="str">
        <f>IF(AND($L976*1&gt;=$G$3,$L976*1&lt;=$G$4,$I976*$J976&gt;0,OR($I976&lt;&gt;$I977,$L976-$L977&gt;25),IF(ABS($I976)&gt;10,$I976/POW(10,$J976),$J976/POW(10,$I976))*MAXIFS(Token!$C:$C,Token!$A:$A,$K976)&gt;0.01),$L976/86400+DATE(1970,1,1)+$G$6,)</f>
        <v/>
      </c>
      <c r="B976" s="27" t="str">
        <f t="shared" si="1"/>
        <v/>
      </c>
      <c r="C976" s="14" t="str">
        <f>IF($A976&lt;&gt;"",MINIFS(Merchant!$A:$A,Merchant!$B:$B,$G$2),)</f>
        <v/>
      </c>
      <c r="D976" s="14" t="str">
        <f t="shared" si="2"/>
        <v/>
      </c>
      <c r="E976" s="14" t="str">
        <f t="shared" si="3"/>
        <v/>
      </c>
      <c r="F976" s="7" t="str">
        <f>IF($A976&lt;&gt;"",MAXIFS(Token!$C:$C,Token!$A:$A,$D976),)</f>
        <v/>
      </c>
    </row>
    <row r="977">
      <c r="A977" s="39" t="str">
        <f>IF(AND($L977*1&gt;=$G$3,$L977*1&lt;=$G$4,$I977*$J977&gt;0,OR($I977&lt;&gt;$I978,$L977-$L978&gt;25),IF(ABS($I977)&gt;10,$I977/POW(10,$J977),$J977/POW(10,$I977))*MAXIFS(Token!$C:$C,Token!$A:$A,$K977)&gt;0.01),$L977/86400+DATE(1970,1,1)+$G$6,)</f>
        <v/>
      </c>
      <c r="B977" s="27" t="str">
        <f t="shared" si="1"/>
        <v/>
      </c>
      <c r="C977" s="14" t="str">
        <f>IF($A977&lt;&gt;"",MINIFS(Merchant!$A:$A,Merchant!$B:$B,$G$2),)</f>
        <v/>
      </c>
      <c r="D977" s="14" t="str">
        <f t="shared" si="2"/>
        <v/>
      </c>
      <c r="E977" s="14" t="str">
        <f t="shared" si="3"/>
        <v/>
      </c>
      <c r="F977" s="7" t="str">
        <f>IF($A977&lt;&gt;"",MAXIFS(Token!$C:$C,Token!$A:$A,$D977),)</f>
        <v/>
      </c>
    </row>
    <row r="978">
      <c r="A978" s="39" t="str">
        <f>IF(AND($L978*1&gt;=$G$3,$L978*1&lt;=$G$4,$I978*$J978&gt;0,OR($I978&lt;&gt;$I979,$L978-$L979&gt;25),IF(ABS($I978)&gt;10,$I978/POW(10,$J978),$J978/POW(10,$I978))*MAXIFS(Token!$C:$C,Token!$A:$A,$K978)&gt;0.01),$L978/86400+DATE(1970,1,1)+$G$6,)</f>
        <v/>
      </c>
      <c r="B978" s="27" t="str">
        <f t="shared" si="1"/>
        <v/>
      </c>
      <c r="C978" s="14" t="str">
        <f>IF($A978&lt;&gt;"",MINIFS(Merchant!$A:$A,Merchant!$B:$B,$G$2),)</f>
        <v/>
      </c>
      <c r="D978" s="14" t="str">
        <f t="shared" si="2"/>
        <v/>
      </c>
      <c r="E978" s="14" t="str">
        <f t="shared" si="3"/>
        <v/>
      </c>
      <c r="F978" s="7" t="str">
        <f>IF($A978&lt;&gt;"",MAXIFS(Token!$C:$C,Token!$A:$A,$D978),)</f>
        <v/>
      </c>
    </row>
    <row r="979">
      <c r="A979" s="39" t="str">
        <f>IF(AND($L979*1&gt;=$G$3,$L979*1&lt;=$G$4,$I979*$J979&gt;0,OR($I979&lt;&gt;$I980,$L979-$L980&gt;25),IF(ABS($I979)&gt;10,$I979/POW(10,$J979),$J979/POW(10,$I979))*MAXIFS(Token!$C:$C,Token!$A:$A,$K979)&gt;0.01),$L979/86400+DATE(1970,1,1)+$G$6,)</f>
        <v/>
      </c>
      <c r="B979" s="27" t="str">
        <f t="shared" si="1"/>
        <v/>
      </c>
      <c r="C979" s="14" t="str">
        <f>IF($A979&lt;&gt;"",MINIFS(Merchant!$A:$A,Merchant!$B:$B,$G$2),)</f>
        <v/>
      </c>
      <c r="D979" s="14" t="str">
        <f t="shared" si="2"/>
        <v/>
      </c>
      <c r="E979" s="14" t="str">
        <f t="shared" si="3"/>
        <v/>
      </c>
      <c r="F979" s="7" t="str">
        <f>IF($A979&lt;&gt;"",MAXIFS(Token!$C:$C,Token!$A:$A,$D979),)</f>
        <v/>
      </c>
    </row>
    <row r="980">
      <c r="A980" s="39" t="str">
        <f>IF(AND($L980*1&gt;=$G$3,$L980*1&lt;=$G$4,$I980*$J980&gt;0,OR($I980&lt;&gt;$I981,$L980-$L981&gt;25),IF(ABS($I980)&gt;10,$I980/POW(10,$J980),$J980/POW(10,$I980))*MAXIFS(Token!$C:$C,Token!$A:$A,$K980)&gt;0.01),$L980/86400+DATE(1970,1,1)+$G$6,)</f>
        <v/>
      </c>
      <c r="B980" s="27" t="str">
        <f t="shared" si="1"/>
        <v/>
      </c>
      <c r="C980" s="14" t="str">
        <f>IF($A980&lt;&gt;"",MINIFS(Merchant!$A:$A,Merchant!$B:$B,$G$2),)</f>
        <v/>
      </c>
      <c r="D980" s="14" t="str">
        <f t="shared" si="2"/>
        <v/>
      </c>
      <c r="E980" s="14" t="str">
        <f t="shared" si="3"/>
        <v/>
      </c>
      <c r="F980" s="7" t="str">
        <f>IF($A980&lt;&gt;"",MAXIFS(Token!$C:$C,Token!$A:$A,$D980),)</f>
        <v/>
      </c>
    </row>
    <row r="981">
      <c r="A981" s="39" t="str">
        <f>IF(AND($L981*1&gt;=$G$3,$L981*1&lt;=$G$4,$I981*$J981&gt;0,OR($I981&lt;&gt;$I982,$L981-$L982&gt;25),IF(ABS($I981)&gt;10,$I981/POW(10,$J981),$J981/POW(10,$I981))*MAXIFS(Token!$C:$C,Token!$A:$A,$K981)&gt;0.01),$L981/86400+DATE(1970,1,1)+$G$6,)</f>
        <v/>
      </c>
      <c r="B981" s="27" t="str">
        <f t="shared" si="1"/>
        <v/>
      </c>
      <c r="C981" s="14" t="str">
        <f>IF($A981&lt;&gt;"",MINIFS(Merchant!$A:$A,Merchant!$B:$B,$G$2),)</f>
        <v/>
      </c>
      <c r="D981" s="14" t="str">
        <f t="shared" si="2"/>
        <v/>
      </c>
      <c r="E981" s="14" t="str">
        <f t="shared" si="3"/>
        <v/>
      </c>
      <c r="F981" s="7" t="str">
        <f>IF($A981&lt;&gt;"",MAXIFS(Token!$C:$C,Token!$A:$A,$D981),)</f>
        <v/>
      </c>
    </row>
    <row r="982">
      <c r="A982" s="39" t="str">
        <f>IF(AND($L982*1&gt;=$G$3,$L982*1&lt;=$G$4,$I982*$J982&gt;0,OR($I982&lt;&gt;$I983,$L982-$L983&gt;25),IF(ABS($I982)&gt;10,$I982/POW(10,$J982),$J982/POW(10,$I982))*MAXIFS(Token!$C:$C,Token!$A:$A,$K982)&gt;0.01),$L982/86400+DATE(1970,1,1)+$G$6,)</f>
        <v/>
      </c>
      <c r="B982" s="27" t="str">
        <f t="shared" si="1"/>
        <v/>
      </c>
      <c r="C982" s="14" t="str">
        <f>IF($A982&lt;&gt;"",MINIFS(Merchant!$A:$A,Merchant!$B:$B,$G$2),)</f>
        <v/>
      </c>
      <c r="D982" s="14" t="str">
        <f t="shared" si="2"/>
        <v/>
      </c>
      <c r="E982" s="14" t="str">
        <f t="shared" si="3"/>
        <v/>
      </c>
      <c r="F982" s="7" t="str">
        <f>IF($A982&lt;&gt;"",MAXIFS(Token!$C:$C,Token!$A:$A,$D982),)</f>
        <v/>
      </c>
    </row>
    <row r="983">
      <c r="A983" s="39" t="str">
        <f>IF(AND($L983*1&gt;=$G$3,$L983*1&lt;=$G$4,$I983*$J983&gt;0,OR($I983&lt;&gt;$I984,$L983-$L984&gt;25),IF(ABS($I983)&gt;10,$I983/POW(10,$J983),$J983/POW(10,$I983))*MAXIFS(Token!$C:$C,Token!$A:$A,$K983)&gt;0.01),$L983/86400+DATE(1970,1,1)+$G$6,)</f>
        <v/>
      </c>
      <c r="B983" s="27" t="str">
        <f t="shared" si="1"/>
        <v/>
      </c>
      <c r="C983" s="14" t="str">
        <f>IF($A983&lt;&gt;"",MINIFS(Merchant!$A:$A,Merchant!$B:$B,$G$2),)</f>
        <v/>
      </c>
      <c r="D983" s="14" t="str">
        <f t="shared" si="2"/>
        <v/>
      </c>
      <c r="E983" s="14" t="str">
        <f t="shared" si="3"/>
        <v/>
      </c>
      <c r="F983" s="7" t="str">
        <f>IF($A983&lt;&gt;"",MAXIFS(Token!$C:$C,Token!$A:$A,$D983),)</f>
        <v/>
      </c>
    </row>
    <row r="984">
      <c r="A984" s="39" t="str">
        <f>IF(AND($L984*1&gt;=$G$3,$L984*1&lt;=$G$4,$I984*$J984&gt;0,OR($I984&lt;&gt;$I985,$L984-$L985&gt;25),IF(ABS($I984)&gt;10,$I984/POW(10,$J984),$J984/POW(10,$I984))*MAXIFS(Token!$C:$C,Token!$A:$A,$K984)&gt;0.01),$L984/86400+DATE(1970,1,1)+$G$6,)</f>
        <v/>
      </c>
      <c r="B984" s="27" t="str">
        <f t="shared" si="1"/>
        <v/>
      </c>
      <c r="C984" s="14" t="str">
        <f>IF($A984&lt;&gt;"",MINIFS(Merchant!$A:$A,Merchant!$B:$B,$G$2),)</f>
        <v/>
      </c>
      <c r="D984" s="14" t="str">
        <f t="shared" si="2"/>
        <v/>
      </c>
      <c r="E984" s="14" t="str">
        <f t="shared" si="3"/>
        <v/>
      </c>
      <c r="F984" s="7" t="str">
        <f>IF($A984&lt;&gt;"",MAXIFS(Token!$C:$C,Token!$A:$A,$D984),)</f>
        <v/>
      </c>
    </row>
    <row r="985">
      <c r="A985" s="39" t="str">
        <f>IF(AND($L985*1&gt;=$G$3,$L985*1&lt;=$G$4,$I985*$J985&gt;0,OR($I985&lt;&gt;$I986,$L985-$L986&gt;25),IF(ABS($I985)&gt;10,$I985/POW(10,$J985),$J985/POW(10,$I985))*MAXIFS(Token!$C:$C,Token!$A:$A,$K985)&gt;0.01),$L985/86400+DATE(1970,1,1)+$G$6,)</f>
        <v/>
      </c>
      <c r="B985" s="27" t="str">
        <f t="shared" si="1"/>
        <v/>
      </c>
      <c r="C985" s="14" t="str">
        <f>IF($A985&lt;&gt;"",MINIFS(Merchant!$A:$A,Merchant!$B:$B,$G$2),)</f>
        <v/>
      </c>
      <c r="D985" s="14" t="str">
        <f t="shared" si="2"/>
        <v/>
      </c>
      <c r="E985" s="14" t="str">
        <f t="shared" si="3"/>
        <v/>
      </c>
      <c r="F985" s="7" t="str">
        <f>IF($A985&lt;&gt;"",MAXIFS(Token!$C:$C,Token!$A:$A,$D985),)</f>
        <v/>
      </c>
    </row>
    <row r="986">
      <c r="A986" s="39" t="str">
        <f>IF(AND($L986*1&gt;=$G$3,$L986*1&lt;=$G$4,$I986*$J986&gt;0,OR($I986&lt;&gt;$I987,$L986-$L987&gt;25),IF(ABS($I986)&gt;10,$I986/POW(10,$J986),$J986/POW(10,$I986))*MAXIFS(Token!$C:$C,Token!$A:$A,$K986)&gt;0.01),$L986/86400+DATE(1970,1,1)+$G$6,)</f>
        <v/>
      </c>
      <c r="B986" s="27" t="str">
        <f t="shared" si="1"/>
        <v/>
      </c>
      <c r="C986" s="14" t="str">
        <f>IF($A986&lt;&gt;"",MINIFS(Merchant!$A:$A,Merchant!$B:$B,$G$2),)</f>
        <v/>
      </c>
      <c r="D986" s="14" t="str">
        <f t="shared" si="2"/>
        <v/>
      </c>
      <c r="E986" s="14" t="str">
        <f t="shared" si="3"/>
        <v/>
      </c>
      <c r="F986" s="7" t="str">
        <f>IF($A986&lt;&gt;"",MAXIFS(Token!$C:$C,Token!$A:$A,$D986),)</f>
        <v/>
      </c>
    </row>
    <row r="987">
      <c r="A987" s="39" t="str">
        <f>IF(AND($L987*1&gt;=$G$3,$L987*1&lt;=$G$4,$I987*$J987&gt;0,OR($I987&lt;&gt;$I988,$L987-$L988&gt;25),IF(ABS($I987)&gt;10,$I987/POW(10,$J987),$J987/POW(10,$I987))*MAXIFS(Token!$C:$C,Token!$A:$A,$K987)&gt;0.01),$L987/86400+DATE(1970,1,1)+$G$6,)</f>
        <v/>
      </c>
      <c r="B987" s="27" t="str">
        <f t="shared" si="1"/>
        <v/>
      </c>
      <c r="C987" s="14" t="str">
        <f>IF($A987&lt;&gt;"",MINIFS(Merchant!$A:$A,Merchant!$B:$B,$G$2),)</f>
        <v/>
      </c>
      <c r="D987" s="14" t="str">
        <f t="shared" si="2"/>
        <v/>
      </c>
      <c r="E987" s="14" t="str">
        <f t="shared" si="3"/>
        <v/>
      </c>
      <c r="F987" s="7" t="str">
        <f>IF($A987&lt;&gt;"",MAXIFS(Token!$C:$C,Token!$A:$A,$D987),)</f>
        <v/>
      </c>
    </row>
    <row r="988">
      <c r="A988" s="39" t="str">
        <f>IF(AND($L988*1&gt;=$G$3,$L988*1&lt;=$G$4,$I988*$J988&gt;0,OR($I988&lt;&gt;$I989,$L988-$L989&gt;25),IF(ABS($I988)&gt;10,$I988/POW(10,$J988),$J988/POW(10,$I988))*MAXIFS(Token!$C:$C,Token!$A:$A,$K988)&gt;0.01),$L988/86400+DATE(1970,1,1)+$G$6,)</f>
        <v/>
      </c>
      <c r="B988" s="27" t="str">
        <f t="shared" si="1"/>
        <v/>
      </c>
      <c r="C988" s="14" t="str">
        <f>IF($A988&lt;&gt;"",MINIFS(Merchant!$A:$A,Merchant!$B:$B,$G$2),)</f>
        <v/>
      </c>
      <c r="D988" s="14" t="str">
        <f t="shared" si="2"/>
        <v/>
      </c>
      <c r="E988" s="14" t="str">
        <f t="shared" si="3"/>
        <v/>
      </c>
      <c r="F988" s="7" t="str">
        <f>IF($A988&lt;&gt;"",MAXIFS(Token!$C:$C,Token!$A:$A,$D988),)</f>
        <v/>
      </c>
    </row>
    <row r="989">
      <c r="A989" s="39" t="str">
        <f>IF(AND($L989*1&gt;=$G$3,$L989*1&lt;=$G$4,$I989*$J989&gt;0,OR($I989&lt;&gt;$I990,$L989-$L990&gt;25),IF(ABS($I989)&gt;10,$I989/POW(10,$J989),$J989/POW(10,$I989))*MAXIFS(Token!$C:$C,Token!$A:$A,$K989)&gt;0.01),$L989/86400+DATE(1970,1,1)+$G$6,)</f>
        <v/>
      </c>
      <c r="B989" s="27" t="str">
        <f t="shared" si="1"/>
        <v/>
      </c>
      <c r="C989" s="14" t="str">
        <f>IF($A989&lt;&gt;"",MINIFS(Merchant!$A:$A,Merchant!$B:$B,$G$2),)</f>
        <v/>
      </c>
      <c r="D989" s="14" t="str">
        <f t="shared" si="2"/>
        <v/>
      </c>
      <c r="E989" s="14" t="str">
        <f t="shared" si="3"/>
        <v/>
      </c>
      <c r="F989" s="7" t="str">
        <f>IF($A989&lt;&gt;"",MAXIFS(Token!$C:$C,Token!$A:$A,$D989),)</f>
        <v/>
      </c>
    </row>
    <row r="990">
      <c r="A990" s="39" t="str">
        <f>IF(AND($L990*1&gt;=$G$3,$L990*1&lt;=$G$4,$I990*$J990&gt;0,OR($I990&lt;&gt;$I991,$L990-$L991&gt;25),IF(ABS($I990)&gt;10,$I990/POW(10,$J990),$J990/POW(10,$I990))*MAXIFS(Token!$C:$C,Token!$A:$A,$K990)&gt;0.01),$L990/86400+DATE(1970,1,1)+$G$6,)</f>
        <v/>
      </c>
      <c r="B990" s="27" t="str">
        <f t="shared" si="1"/>
        <v/>
      </c>
      <c r="C990" s="14" t="str">
        <f>IF($A990&lt;&gt;"",MINIFS(Merchant!$A:$A,Merchant!$B:$B,$G$2),)</f>
        <v/>
      </c>
      <c r="D990" s="14" t="str">
        <f t="shared" si="2"/>
        <v/>
      </c>
      <c r="E990" s="14" t="str">
        <f t="shared" si="3"/>
        <v/>
      </c>
      <c r="F990" s="7" t="str">
        <f>IF($A990&lt;&gt;"",MAXIFS(Token!$C:$C,Token!$A:$A,$D990),)</f>
        <v/>
      </c>
    </row>
    <row r="991">
      <c r="A991" s="39" t="str">
        <f>IF(AND($L991*1&gt;=$G$3,$L991*1&lt;=$G$4,$I991*$J991&gt;0,OR($I991&lt;&gt;$I992,$L991-$L992&gt;25),IF(ABS($I991)&gt;10,$I991/POW(10,$J991),$J991/POW(10,$I991))*MAXIFS(Token!$C:$C,Token!$A:$A,$K991)&gt;0.01),$L991/86400+DATE(1970,1,1)+$G$6,)</f>
        <v/>
      </c>
      <c r="B991" s="27" t="str">
        <f t="shared" si="1"/>
        <v/>
      </c>
      <c r="C991" s="14" t="str">
        <f>IF($A991&lt;&gt;"",MINIFS(Merchant!$A:$A,Merchant!$B:$B,$G$2),)</f>
        <v/>
      </c>
      <c r="D991" s="14" t="str">
        <f t="shared" si="2"/>
        <v/>
      </c>
      <c r="E991" s="14" t="str">
        <f t="shared" si="3"/>
        <v/>
      </c>
      <c r="F991" s="7" t="str">
        <f>IF($A991&lt;&gt;"",MAXIFS(Token!$C:$C,Token!$A:$A,$D991),)</f>
        <v/>
      </c>
    </row>
    <row r="992">
      <c r="A992" s="39" t="str">
        <f>IF(AND($L992*1&gt;=$G$3,$L992*1&lt;=$G$4,$I992*$J992&gt;0,OR($I992&lt;&gt;$I993,$L992-$L993&gt;25),IF(ABS($I992)&gt;10,$I992/POW(10,$J992),$J992/POW(10,$I992))*MAXIFS(Token!$C:$C,Token!$A:$A,$K992)&gt;0.01),$L992/86400+DATE(1970,1,1)+$G$6,)</f>
        <v/>
      </c>
      <c r="B992" s="27" t="str">
        <f t="shared" si="1"/>
        <v/>
      </c>
      <c r="C992" s="14" t="str">
        <f>IF($A992&lt;&gt;"",MINIFS(Merchant!$A:$A,Merchant!$B:$B,$G$2),)</f>
        <v/>
      </c>
      <c r="D992" s="14" t="str">
        <f t="shared" si="2"/>
        <v/>
      </c>
      <c r="E992" s="14" t="str">
        <f t="shared" si="3"/>
        <v/>
      </c>
      <c r="F992" s="7" t="str">
        <f>IF($A992&lt;&gt;"",MAXIFS(Token!$C:$C,Token!$A:$A,$D992),)</f>
        <v/>
      </c>
    </row>
    <row r="993">
      <c r="A993" s="39" t="str">
        <f>IF(AND($L993*1&gt;=$G$3,$L993*1&lt;=$G$4,$I993*$J993&gt;0,OR($I993&lt;&gt;$I994,$L993-$L994&gt;25),IF(ABS($I993)&gt;10,$I993/POW(10,$J993),$J993/POW(10,$I993))*MAXIFS(Token!$C:$C,Token!$A:$A,$K993)&gt;0.01),$L993/86400+DATE(1970,1,1)+$G$6,)</f>
        <v/>
      </c>
      <c r="B993" s="27" t="str">
        <f t="shared" si="1"/>
        <v/>
      </c>
      <c r="C993" s="14" t="str">
        <f>IF($A993&lt;&gt;"",MINIFS(Merchant!$A:$A,Merchant!$B:$B,$G$2),)</f>
        <v/>
      </c>
      <c r="D993" s="14" t="str">
        <f t="shared" si="2"/>
        <v/>
      </c>
      <c r="E993" s="14" t="str">
        <f t="shared" si="3"/>
        <v/>
      </c>
      <c r="F993" s="7" t="str">
        <f>IF($A993&lt;&gt;"",MAXIFS(Token!$C:$C,Token!$A:$A,$D993),)</f>
        <v/>
      </c>
    </row>
    <row r="994">
      <c r="A994" s="39" t="str">
        <f>IF(AND($L994*1&gt;=$G$3,$L994*1&lt;=$G$4,$I994*$J994&gt;0,OR($I994&lt;&gt;$I995,$L994-$L995&gt;25),IF(ABS($I994)&gt;10,$I994/POW(10,$J994),$J994/POW(10,$I994))*MAXIFS(Token!$C:$C,Token!$A:$A,$K994)&gt;0.01),$L994/86400+DATE(1970,1,1)+$G$6,)</f>
        <v/>
      </c>
      <c r="B994" s="27" t="str">
        <f t="shared" si="1"/>
        <v/>
      </c>
      <c r="C994" s="14" t="str">
        <f>IF($A994&lt;&gt;"",MINIFS(Merchant!$A:$A,Merchant!$B:$B,$G$2),)</f>
        <v/>
      </c>
      <c r="D994" s="14" t="str">
        <f t="shared" si="2"/>
        <v/>
      </c>
      <c r="E994" s="14" t="str">
        <f t="shared" si="3"/>
        <v/>
      </c>
      <c r="F994" s="7" t="str">
        <f>IF($A994&lt;&gt;"",MAXIFS(Token!$C:$C,Token!$A:$A,$D994),)</f>
        <v/>
      </c>
    </row>
    <row r="995">
      <c r="A995" s="39" t="str">
        <f>IF(AND($L995*1&gt;=$G$3,$L995*1&lt;=$G$4,$I995*$J995&gt;0,OR($I995&lt;&gt;$I996,$L995-$L996&gt;25),IF(ABS($I995)&gt;10,$I995/POW(10,$J995),$J995/POW(10,$I995))*MAXIFS(Token!$C:$C,Token!$A:$A,$K995)&gt;0.01),$L995/86400+DATE(1970,1,1)+$G$6,)</f>
        <v/>
      </c>
      <c r="B995" s="27" t="str">
        <f t="shared" si="1"/>
        <v/>
      </c>
      <c r="C995" s="14" t="str">
        <f>IF($A995&lt;&gt;"",MINIFS(Merchant!$A:$A,Merchant!$B:$B,$G$2),)</f>
        <v/>
      </c>
      <c r="D995" s="14" t="str">
        <f t="shared" si="2"/>
        <v/>
      </c>
      <c r="E995" s="14" t="str">
        <f t="shared" si="3"/>
        <v/>
      </c>
      <c r="F995" s="7" t="str">
        <f>IF($A995&lt;&gt;"",MAXIFS(Token!$C:$C,Token!$A:$A,$D995),)</f>
        <v/>
      </c>
    </row>
    <row r="996">
      <c r="A996" s="39" t="str">
        <f>IF(AND($L996*1&gt;=$G$3,$L996*1&lt;=$G$4,$I996*$J996&gt;0,OR($I996&lt;&gt;$I997,$L996-$L997&gt;25),IF(ABS($I996)&gt;10,$I996/POW(10,$J996),$J996/POW(10,$I996))*MAXIFS(Token!$C:$C,Token!$A:$A,$K996)&gt;0.01),$L996/86400+DATE(1970,1,1)+$G$6,)</f>
        <v/>
      </c>
      <c r="B996" s="27" t="str">
        <f t="shared" si="1"/>
        <v/>
      </c>
      <c r="C996" s="14" t="str">
        <f>IF($A996&lt;&gt;"",MINIFS(Merchant!$A:$A,Merchant!$B:$B,$G$2),)</f>
        <v/>
      </c>
      <c r="D996" s="14" t="str">
        <f t="shared" si="2"/>
        <v/>
      </c>
      <c r="E996" s="14" t="str">
        <f t="shared" si="3"/>
        <v/>
      </c>
      <c r="F996" s="7" t="str">
        <f>IF($A996&lt;&gt;"",MAXIFS(Token!$C:$C,Token!$A:$A,$D996),)</f>
        <v/>
      </c>
    </row>
    <row r="997">
      <c r="A997" s="39" t="str">
        <f>IF(AND($L997*1&gt;=$G$3,$L997*1&lt;=$G$4,$I997*$J997&gt;0,OR($I997&lt;&gt;$I998,$L997-$L998&gt;25),IF(ABS($I997)&gt;10,$I997/POW(10,$J997),$J997/POW(10,$I997))*MAXIFS(Token!$C:$C,Token!$A:$A,$K997)&gt;0.01),$L997/86400+DATE(1970,1,1)+$G$6,)</f>
        <v/>
      </c>
      <c r="B997" s="27" t="str">
        <f t="shared" si="1"/>
        <v/>
      </c>
      <c r="C997" s="14" t="str">
        <f>IF($A997&lt;&gt;"",MINIFS(Merchant!$A:$A,Merchant!$B:$B,$G$2),)</f>
        <v/>
      </c>
      <c r="D997" s="14" t="str">
        <f t="shared" si="2"/>
        <v/>
      </c>
      <c r="E997" s="14" t="str">
        <f t="shared" si="3"/>
        <v/>
      </c>
      <c r="F997" s="7" t="str">
        <f>IF($A997&lt;&gt;"",MAXIFS(Token!$C:$C,Token!$A:$A,$D997),)</f>
        <v/>
      </c>
    </row>
    <row r="998">
      <c r="A998" s="39" t="str">
        <f>IF(AND($L998*1&gt;=$G$3,$L998*1&lt;=$G$4,$I998*$J998&gt;0,OR($I998&lt;&gt;$I999,$L998-$L999&gt;25),IF(ABS($I998)&gt;10,$I998/POW(10,$J998),$J998/POW(10,$I998))*MAXIFS(Token!$C:$C,Token!$A:$A,$K998)&gt;0.01),$L998/86400+DATE(1970,1,1)+$G$6,)</f>
        <v/>
      </c>
      <c r="B998" s="27" t="str">
        <f t="shared" si="1"/>
        <v/>
      </c>
      <c r="C998" s="14" t="str">
        <f>IF($A998&lt;&gt;"",MINIFS(Merchant!$A:$A,Merchant!$B:$B,$G$2),)</f>
        <v/>
      </c>
      <c r="D998" s="14" t="str">
        <f t="shared" si="2"/>
        <v/>
      </c>
      <c r="E998" s="14" t="str">
        <f t="shared" si="3"/>
        <v/>
      </c>
      <c r="F998" s="7" t="str">
        <f>IF($A998&lt;&gt;"",MAXIFS(Token!$C:$C,Token!$A:$A,$D998),)</f>
        <v/>
      </c>
    </row>
    <row r="999">
      <c r="A999" s="39" t="str">
        <f>IF(AND($L999*1&gt;=$G$3,$L999*1&lt;=$G$4,$I999*$J999&gt;0,OR($I999&lt;&gt;$I1000,$L999-$L1000&gt;25),IF(ABS($I999)&gt;10,$I999/POW(10,$J999),$J999/POW(10,$I999))*MAXIFS(Token!$C:$C,Token!$A:$A,$K999)&gt;0.01),$L999/86400+DATE(1970,1,1)+$G$6,)</f>
        <v/>
      </c>
      <c r="B999" s="27" t="str">
        <f t="shared" si="1"/>
        <v/>
      </c>
      <c r="C999" s="14" t="str">
        <f>IF($A999&lt;&gt;"",MINIFS(Merchant!$A:$A,Merchant!$B:$B,$G$2),)</f>
        <v/>
      </c>
      <c r="D999" s="14" t="str">
        <f t="shared" si="2"/>
        <v/>
      </c>
      <c r="E999" s="14" t="str">
        <f t="shared" si="3"/>
        <v/>
      </c>
      <c r="F999" s="7" t="str">
        <f>IF($A999&lt;&gt;"",MAXIFS(Token!$C:$C,Token!$A:$A,$D999),)</f>
        <v/>
      </c>
    </row>
    <row r="1000">
      <c r="A1000" s="39" t="str">
        <f>IF(AND($L1000*1&gt;=$G$3,$L1000*1&lt;=$G$4,$I1000*$J1000&gt;0,OR($I1000&lt;&gt;$I1001,$L1000-$L1001&gt;25),IF(ABS($I1000)&gt;10,$I1000/POW(10,$J1000),$J1000/POW(10,$I1000))*MAXIFS(Token!$C:$C,Token!$A:$A,$K1000)&gt;0.01),$L1000/86400+DATE(1970,1,1)+$G$6,)</f>
        <v/>
      </c>
      <c r="B1000" s="27" t="str">
        <f t="shared" si="1"/>
        <v/>
      </c>
      <c r="C1000" s="14" t="str">
        <f>IF($A1000&lt;&gt;"",MINIFS(Merchant!$A:$A,Merchant!$B:$B,$G$2),)</f>
        <v/>
      </c>
      <c r="D1000" s="14" t="str">
        <f t="shared" si="2"/>
        <v/>
      </c>
      <c r="E1000" s="14" t="str">
        <f t="shared" si="3"/>
        <v/>
      </c>
      <c r="F1000" s="7" t="str">
        <f>IF($A1000&lt;&gt;"",MAXIFS(Token!$C:$C,Token!$A:$A,$D1000),)</f>
        <v/>
      </c>
    </row>
  </sheetData>
  <drawing r:id="rId2"/>
  <legacyDrawing r:id="rId3"/>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75"/>
    <col customWidth="1" min="7" max="7" width="12.63"/>
  </cols>
  <sheetData>
    <row r="1">
      <c r="A1" s="1" t="s">
        <v>4</v>
      </c>
      <c r="B1" s="1" t="s">
        <v>5</v>
      </c>
      <c r="C1" s="1" t="s">
        <v>6</v>
      </c>
      <c r="D1" s="1" t="s">
        <v>7</v>
      </c>
      <c r="E1" s="1" t="s">
        <v>8</v>
      </c>
      <c r="F1" s="11" t="s">
        <v>9</v>
      </c>
      <c r="G1" s="14">
        <v>3.0</v>
      </c>
      <c r="H1" s="14" t="s">
        <v>105</v>
      </c>
      <c r="I1" s="6" t="s">
        <v>106</v>
      </c>
      <c r="J1" s="6" t="s">
        <v>107</v>
      </c>
      <c r="K1" s="6" t="s">
        <v>108</v>
      </c>
      <c r="L1" s="6" t="s">
        <v>109</v>
      </c>
    </row>
    <row r="2">
      <c r="A2" s="39" t="str">
        <f>IF(AND($L2*1&gt;=$G$3,$L2*1&lt;=$G$4,$I2*$J2&gt;0,OR($I2&lt;&gt;$I3,$L2-$L3&gt;25),IF(ABS($I2)&gt;10,$I2/POW(10,$J2),$J2/POW(10,$I2))*MAXIFS(Token!$C:$C,Token!$A:$A,$K2)&gt;0.01),$L2/86400+DATE(1970,1,1)+$G$6,)</f>
        <v/>
      </c>
      <c r="B2" s="27" t="str">
        <f t="shared" ref="B2:B1000" si="1">IF($A2&lt;&gt;"",$E2*$F2,)</f>
        <v/>
      </c>
      <c r="C2" s="14" t="str">
        <f>IF($A2&lt;&gt;"",MINIFS(Merchant!$A:$A,Merchant!$B:$B,$G$2),)</f>
        <v/>
      </c>
      <c r="D2" s="14" t="str">
        <f t="shared" ref="D2:D1000" si="2">IF($A2&lt;&gt;"",$K2,)</f>
        <v/>
      </c>
      <c r="E2" s="14" t="str">
        <f t="shared" ref="E2:E1000" si="3">IF($A2&lt;&gt;"",IF(ABS($I2)&gt;10,$I2/POW(10,$J2),$J2/POW(10,$I2)),)</f>
        <v/>
      </c>
      <c r="F2" s="7" t="str">
        <f>IF($A2&lt;&gt;"",MAXIFS(Token!$C:$C,Token!$A:$A,$D2),)</f>
        <v/>
      </c>
      <c r="G2" s="14" t="str">
        <f>VLOOKUP($G1,Merchant!$A:$B,2)</f>
        <v>88r4F8tmgzxyxSoQFz5cWwTMAqtM8xB8pABfL4ikcJyx</v>
      </c>
      <c r="H2" s="6" t="str">
        <f>IFERROR(__xludf.DUMMYFUNCTION("IF(AND($G$11,$G$1&gt;1,INDEX(I:I,ROW()-1)&lt;&gt;""""),ImportJSON(""https://public-api.solscan.io/account/splTransfers?account=""&amp;$G$2&amp;IF($G$5,""&amp;fromTime=""&amp;TO_TEXT($G$3)&amp;""&amp;toTime=""&amp;TO_TEXT($G$4),)&amp;""&amp;offset=""&amp;ROW()-2&amp;""&amp;limit=50""&amp;$G$7,TEXTJOIN("","",1,$H$1:$"&amp;"L$1),""noHeaders""),)"),"12")</f>
        <v>12</v>
      </c>
      <c r="I2" s="6" t="str">
        <f>IFERROR(__xludf.DUMMYFUNCTION("""COMPUTED_VALUE"""),"-75000000000")</f>
        <v>-75000000000</v>
      </c>
      <c r="J2" s="6" t="str">
        <f>IFERROR(__xludf.DUMMYFUNCTION("""COMPUTED_VALUE"""),"9")</f>
        <v>9</v>
      </c>
      <c r="K2" s="6" t="str">
        <f>IFERROR(__xludf.DUMMYFUNCTION("""COMPUTED_VALUE"""),"€")</f>
        <v>€</v>
      </c>
      <c r="L2" s="6" t="str">
        <f>IFERROR(__xludf.DUMMYFUNCTION("""COMPUTED_VALUE"""),"1672490665")</f>
        <v>1672490665</v>
      </c>
    </row>
    <row r="3">
      <c r="A3" s="39">
        <f>IF(AND($L3*1&gt;=$G$3,$L3*1&lt;=$G$4,$I3*$J3&gt;0,OR($I3&lt;&gt;$I4,$L3-$L4&gt;25),IF(ABS($I3)&gt;10,$I3/POW(10,$J3),$J3/POW(10,$I3))*MAXIFS(Token!$C:$C,Token!$A:$A,$K3)&gt;0.01),$L3/86400+DATE(1970,1,1)+$G$6,)</f>
        <v>44915.8183</v>
      </c>
      <c r="B3" s="27">
        <f t="shared" si="1"/>
        <v>75</v>
      </c>
      <c r="C3" s="14">
        <f>IF($A3&lt;&gt;"",MINIFS(Merchant!$A:$A,Merchant!$B:$B,$G$2),)</f>
        <v>3</v>
      </c>
      <c r="D3" s="14" t="str">
        <f t="shared" si="2"/>
        <v>€</v>
      </c>
      <c r="E3" s="14">
        <f t="shared" si="3"/>
        <v>75</v>
      </c>
      <c r="F3" s="7">
        <f>IF($A3&lt;&gt;"",MAXIFS(Token!$C:$C,Token!$A:$A,$D3),)</f>
        <v>1</v>
      </c>
      <c r="G3" s="6">
        <f>IFERROR((VLOOKUP($G$1,Merchant!$A:$M,10)-DATE(1970,1,1)-IF($G$6&lt;&gt;"",$G$6,0))*86400,0)</f>
        <v>-2186100000</v>
      </c>
      <c r="H3" s="6" t="str">
        <f>IFERROR(__xludf.DUMMYFUNCTION("""COMPUTED_VALUE"""),"12")</f>
        <v>12</v>
      </c>
      <c r="I3" s="6" t="str">
        <f>IFERROR(__xludf.DUMMYFUNCTION("""COMPUTED_VALUE"""),"75000000000")</f>
        <v>75000000000</v>
      </c>
      <c r="J3" s="6" t="str">
        <f>IFERROR(__xludf.DUMMYFUNCTION("""COMPUTED_VALUE"""),"9")</f>
        <v>9</v>
      </c>
      <c r="K3" s="6" t="str">
        <f>IFERROR(__xludf.DUMMYFUNCTION("""COMPUTED_VALUE"""),"€")</f>
        <v>€</v>
      </c>
      <c r="L3" s="6" t="str">
        <f>IFERROR(__xludf.DUMMYFUNCTION("""COMPUTED_VALUE"""),"1671557901")</f>
        <v>1671557901</v>
      </c>
    </row>
    <row r="4">
      <c r="A4" s="39" t="str">
        <f>IF(AND($L4*1&gt;=$G$3,$L4*1&lt;=$G$4,$I4*$J4&gt;0,OR($I4&lt;&gt;$I5,$L4-$L5&gt;25),IF(ABS($I4)&gt;10,$I4/POW(10,$J4),$J4/POW(10,$I4))*MAXIFS(Token!$C:$C,Token!$A:$A,$K4)&gt;0.01),$L4/86400+DATE(1970,1,1)+$G$6,)</f>
        <v/>
      </c>
      <c r="B4" s="27" t="str">
        <f t="shared" si="1"/>
        <v/>
      </c>
      <c r="C4" s="14" t="str">
        <f>IF($A4&lt;&gt;"",MINIFS(Merchant!$A:$A,Merchant!$B:$B,$G$2),)</f>
        <v/>
      </c>
      <c r="D4" s="14" t="str">
        <f t="shared" si="2"/>
        <v/>
      </c>
      <c r="E4" s="14" t="str">
        <f t="shared" si="3"/>
        <v/>
      </c>
      <c r="F4" s="7" t="str">
        <f>IF($A4&lt;&gt;"",MAXIFS(Token!$C:$C,Token!$A:$A,$D4),)</f>
        <v/>
      </c>
      <c r="G4" s="6">
        <f>IFERROR((MAX(VLOOKUP($G$1,Merchant!$A:$M,10),VLOOKUP($G$1,Merchant!$A:$M,11))-DATE(1970,1,1)-IF($G$6&lt;&gt;"",$G$6,0))*86400,0)</f>
        <v>1672599970</v>
      </c>
      <c r="H4" s="6" t="str">
        <f>IFERROR(__xludf.DUMMYFUNCTION("""COMPUTED_VALUE"""),"12")</f>
        <v>12</v>
      </c>
      <c r="I4" s="6" t="str">
        <f>IFERROR(__xludf.DUMMYFUNCTION("""COMPUTED_VALUE"""),"0")</f>
        <v>0</v>
      </c>
      <c r="J4" s="6" t="str">
        <f>IFERROR(__xludf.DUMMYFUNCTION("""COMPUTED_VALUE"""),"9")</f>
        <v>9</v>
      </c>
      <c r="K4" s="6" t="str">
        <f>IFERROR(__xludf.DUMMYFUNCTION("""COMPUTED_VALUE"""),"€")</f>
        <v>€</v>
      </c>
      <c r="L4" s="6" t="str">
        <f>IFERROR(__xludf.DUMMYFUNCTION("""COMPUTED_VALUE"""),"1668652136")</f>
        <v>1668652136</v>
      </c>
    </row>
    <row r="5">
      <c r="A5" s="39" t="str">
        <f>IF(AND($L5*1&gt;=$G$3,$L5*1&lt;=$G$4,$I5*$J5&gt;0,OR($I5&lt;&gt;$I6,$L5-$L6&gt;25),IF(ABS($I5)&gt;10,$I5/POW(10,$J5),$J5/POW(10,$I5))*MAXIFS(Token!$C:$C,Token!$A:$A,$K5)&gt;0.01),$L5/86400+DATE(1970,1,1)+$G$6,)</f>
        <v/>
      </c>
      <c r="B5" s="27" t="str">
        <f t="shared" si="1"/>
        <v/>
      </c>
      <c r="C5" s="14" t="str">
        <f>IF($A5&lt;&gt;"",MINIFS(Merchant!$A:$A,Merchant!$B:$B,$G$2),)</f>
        <v/>
      </c>
      <c r="D5" s="14" t="str">
        <f t="shared" si="2"/>
        <v/>
      </c>
      <c r="E5" s="14" t="str">
        <f t="shared" si="3"/>
        <v/>
      </c>
      <c r="F5" s="7" t="str">
        <f>IF($A5&lt;&gt;"",MAXIFS(Token!$C:$C,Token!$A:$A,$D5),)</f>
        <v/>
      </c>
      <c r="G5" s="40" t="b">
        <f>FALSE</f>
        <v>0</v>
      </c>
      <c r="H5" s="6" t="str">
        <f>IFERROR(__xludf.DUMMYFUNCTION("""COMPUTED_VALUE"""),"12")</f>
        <v>12</v>
      </c>
      <c r="I5" s="6" t="str">
        <f>IFERROR(__xludf.DUMMYFUNCTION("""COMPUTED_VALUE"""),"-5000000000")</f>
        <v>-5000000000</v>
      </c>
      <c r="J5" s="6" t="str">
        <f>IFERROR(__xludf.DUMMYFUNCTION("""COMPUTED_VALUE"""),"8")</f>
        <v>8</v>
      </c>
      <c r="K5" s="6" t="str">
        <f>IFERROR(__xludf.DUMMYFUNCTION("""COMPUTED_VALUE"""),"agEUR")</f>
        <v>agEUR</v>
      </c>
      <c r="L5" s="6" t="str">
        <f>IFERROR(__xludf.DUMMYFUNCTION("""COMPUTED_VALUE"""),"1666553727")</f>
        <v>1666553727</v>
      </c>
    </row>
    <row r="6">
      <c r="A6" s="39" t="str">
        <f>IF(AND($L6*1&gt;=$G$3,$L6*1&lt;=$G$4,$I6*$J6&gt;0,OR($I6&lt;&gt;$I7,$L6-$L7&gt;25),IF(ABS($I6)&gt;10,$I6/POW(10,$J6),$J6/POW(10,$I6))*MAXIFS(Token!$C:$C,Token!$A:$A,$K6)&gt;0.01),$L6/86400+DATE(1970,1,1)+$G$6,)</f>
        <v/>
      </c>
      <c r="B6" s="27" t="str">
        <f t="shared" si="1"/>
        <v/>
      </c>
      <c r="C6" s="14" t="str">
        <f>IF($A6&lt;&gt;"",MINIFS(Merchant!$A:$A,Merchant!$B:$B,$G$2),)</f>
        <v/>
      </c>
      <c r="D6" s="14" t="str">
        <f t="shared" si="2"/>
        <v/>
      </c>
      <c r="E6" s="14" t="str">
        <f t="shared" si="3"/>
        <v/>
      </c>
      <c r="F6" s="7" t="str">
        <f>IF($A6&lt;&gt;"",MAXIFS(Token!$C:$C,Token!$A:$A,$D6),)</f>
        <v/>
      </c>
      <c r="G6" s="41">
        <f>TIME(2,0,0)</f>
        <v>0.08333333333</v>
      </c>
      <c r="H6" s="6" t="str">
        <f>IFERROR(__xludf.DUMMYFUNCTION("""COMPUTED_VALUE"""),"12")</f>
        <v>12</v>
      </c>
      <c r="I6" s="6" t="str">
        <f>IFERROR(__xludf.DUMMYFUNCTION("""COMPUTED_VALUE"""),"5000000000")</f>
        <v>5000000000</v>
      </c>
      <c r="J6" s="6" t="str">
        <f>IFERROR(__xludf.DUMMYFUNCTION("""COMPUTED_VALUE"""),"8")</f>
        <v>8</v>
      </c>
      <c r="K6" s="6" t="str">
        <f>IFERROR(__xludf.DUMMYFUNCTION("""COMPUTED_VALUE"""),"agEUR")</f>
        <v>agEUR</v>
      </c>
      <c r="L6" s="6" t="str">
        <f>IFERROR(__xludf.DUMMYFUNCTION("""COMPUTED_VALUE"""),"1666364875")</f>
        <v>1666364875</v>
      </c>
    </row>
    <row r="7">
      <c r="A7" s="39" t="str">
        <f>IF(AND($L7*1&gt;=$G$3,$L7*1&lt;=$G$4,$I7*$J7&gt;0,OR($I7&lt;&gt;$I8,$L7-$L8&gt;25),IF(ABS($I7)&gt;10,$I7/POW(10,$J7),$J7/POW(10,$I7))*MAXIFS(Token!$C:$C,Token!$A:$A,$K7)&gt;0.01),$L7/86400+DATE(1970,1,1)+$G$6,)</f>
        <v/>
      </c>
      <c r="B7" s="27" t="str">
        <f t="shared" si="1"/>
        <v/>
      </c>
      <c r="C7" s="14" t="str">
        <f>IF($A7&lt;&gt;"",MINIFS(Merchant!$A:$A,Merchant!$B:$B,$G$2),)</f>
        <v/>
      </c>
      <c r="D7" s="14" t="str">
        <f t="shared" si="2"/>
        <v/>
      </c>
      <c r="E7" s="14" t="str">
        <f t="shared" si="3"/>
        <v/>
      </c>
      <c r="F7" s="7" t="str">
        <f>IF($A7&lt;&gt;"",MAXIFS(Token!$C:$C,Token!$A:$A,$D7),)</f>
        <v/>
      </c>
      <c r="G7" s="14" t="s">
        <v>103</v>
      </c>
      <c r="H7" s="6" t="str">
        <f>IFERROR(__xludf.DUMMYFUNCTION("""COMPUTED_VALUE"""),"12")</f>
        <v>12</v>
      </c>
      <c r="I7" s="6" t="str">
        <f>IFERROR(__xludf.DUMMYFUNCTION("""COMPUTED_VALUE"""),"-3400000000")</f>
        <v>-3400000000</v>
      </c>
      <c r="J7" s="6" t="str">
        <f>IFERROR(__xludf.DUMMYFUNCTION("""COMPUTED_VALUE"""),"8")</f>
        <v>8</v>
      </c>
      <c r="K7" s="6" t="str">
        <f>IFERROR(__xludf.DUMMYFUNCTION("""COMPUTED_VALUE"""),"agEUR")</f>
        <v>agEUR</v>
      </c>
      <c r="L7" s="6" t="str">
        <f>IFERROR(__xludf.DUMMYFUNCTION("""COMPUTED_VALUE"""),"1664741383")</f>
        <v>1664741383</v>
      </c>
    </row>
    <row r="8">
      <c r="A8" s="39" t="str">
        <f>IF(AND($L8*1&gt;=$G$3,$L8*1&lt;=$G$4,$I8*$J8&gt;0,OR($I8&lt;&gt;$I9,$L8-$L9&gt;25),IF(ABS($I8)&gt;10,$I8/POW(10,$J8),$J8/POW(10,$I8))*MAXIFS(Token!$C:$C,Token!$A:$A,$K8)&gt;0.01),$L8/86400+DATE(1970,1,1)+$G$6,)</f>
        <v/>
      </c>
      <c r="B8" s="27" t="str">
        <f t="shared" si="1"/>
        <v/>
      </c>
      <c r="C8" s="14" t="str">
        <f>IF($A8&lt;&gt;"",MINIFS(Merchant!$A:$A,Merchant!$B:$B,$G$2),)</f>
        <v/>
      </c>
      <c r="D8" s="14" t="str">
        <f t="shared" si="2"/>
        <v/>
      </c>
      <c r="E8" s="14" t="str">
        <f t="shared" si="3"/>
        <v/>
      </c>
      <c r="F8" s="7" t="str">
        <f>IF($A8&lt;&gt;"",MAXIFS(Token!$C:$C,Token!$A:$A,$D8),)</f>
        <v/>
      </c>
      <c r="G8" s="6" t="b">
        <f>COUNTIF(OFFSET($A:$A,1,0),"&lt;&gt;")&lt;&gt;COUNTIF(Transactions!$C:$C,$G$1)</f>
        <v>1</v>
      </c>
      <c r="H8" s="6" t="str">
        <f>IFERROR(__xludf.DUMMYFUNCTION("""COMPUTED_VALUE"""),"12")</f>
        <v>12</v>
      </c>
      <c r="I8" s="6" t="str">
        <f>IFERROR(__xludf.DUMMYFUNCTION("""COMPUTED_VALUE"""),"3400000000")</f>
        <v>3400000000</v>
      </c>
      <c r="J8" s="6" t="str">
        <f>IFERROR(__xludf.DUMMYFUNCTION("""COMPUTED_VALUE"""),"8")</f>
        <v>8</v>
      </c>
      <c r="K8" s="6" t="str">
        <f>IFERROR(__xludf.DUMMYFUNCTION("""COMPUTED_VALUE"""),"agEUR")</f>
        <v>agEUR</v>
      </c>
      <c r="L8" s="6" t="str">
        <f>IFERROR(__xludf.DUMMYFUNCTION("""COMPUTED_VALUE"""),"1664294984")</f>
        <v>1664294984</v>
      </c>
    </row>
    <row r="9">
      <c r="A9" s="39" t="str">
        <f>IF(AND($L9*1&gt;=$G$3,$L9*1&lt;=$G$4,$I9*$J9&gt;0,OR($I9&lt;&gt;$I10,$L9-$L10&gt;25),IF(ABS($I9)&gt;10,$I9/POW(10,$J9),$J9/POW(10,$I9))*MAXIFS(Token!$C:$C,Token!$A:$A,$K9)&gt;0.01),$L9/86400+DATE(1970,1,1)+$G$6,)</f>
        <v/>
      </c>
      <c r="B9" s="27" t="str">
        <f t="shared" si="1"/>
        <v/>
      </c>
      <c r="C9" s="14" t="str">
        <f>IF($A9&lt;&gt;"",MINIFS(Merchant!$A:$A,Merchant!$B:$B,$G$2),)</f>
        <v/>
      </c>
      <c r="D9" s="14" t="str">
        <f t="shared" si="2"/>
        <v/>
      </c>
      <c r="E9" s="14" t="str">
        <f t="shared" si="3"/>
        <v/>
      </c>
      <c r="F9" s="7" t="str">
        <f>IF($A9&lt;&gt;"",MAXIFS(Token!$C:$C,Token!$A:$A,$D9),)</f>
        <v/>
      </c>
      <c r="G9" s="42">
        <f>TODAY()+TIME(7,0,0)</f>
        <v>44933.29167</v>
      </c>
      <c r="H9" s="6" t="str">
        <f>IFERROR(__xludf.DUMMYFUNCTION("""COMPUTED_VALUE"""),"12")</f>
        <v>12</v>
      </c>
      <c r="I9" s="6" t="str">
        <f>IFERROR(__xludf.DUMMYFUNCTION("""COMPUTED_VALUE"""),"-2900000000")</f>
        <v>-2900000000</v>
      </c>
      <c r="J9" s="6" t="str">
        <f>IFERROR(__xludf.DUMMYFUNCTION("""COMPUTED_VALUE"""),"8")</f>
        <v>8</v>
      </c>
      <c r="K9" s="6" t="str">
        <f>IFERROR(__xludf.DUMMYFUNCTION("""COMPUTED_VALUE"""),"agEUR")</f>
        <v>agEUR</v>
      </c>
      <c r="L9" s="6" t="str">
        <f>IFERROR(__xludf.DUMMYFUNCTION("""COMPUTED_VALUE"""),"1663003700")</f>
        <v>1663003700</v>
      </c>
    </row>
    <row r="10">
      <c r="A10" s="39" t="str">
        <f>IF(AND($L10*1&gt;=$G$3,$L10*1&lt;=$G$4,$I10*$J10&gt;0,OR($I10&lt;&gt;$I11,$L10-$L11&gt;25),IF(ABS($I10)&gt;10,$I10/POW(10,$J10),$J10/POW(10,$I10))*MAXIFS(Token!$C:$C,Token!$A:$A,$K10)&gt;0.01),$L10/86400+DATE(1970,1,1)+$G$6,)</f>
        <v/>
      </c>
      <c r="B10" s="27" t="str">
        <f t="shared" si="1"/>
        <v/>
      </c>
      <c r="C10" s="14" t="str">
        <f>IF($A10&lt;&gt;"",MINIFS(Merchant!$A:$A,Merchant!$B:$B,$G$2),)</f>
        <v/>
      </c>
      <c r="D10" s="14" t="str">
        <f t="shared" si="2"/>
        <v/>
      </c>
      <c r="E10" s="14" t="str">
        <f t="shared" si="3"/>
        <v/>
      </c>
      <c r="F10" s="7" t="str">
        <f>IF($A10&lt;&gt;"",MAXIFS(Token!$C:$C,Token!$A:$A,$D10),)</f>
        <v/>
      </c>
      <c r="G10" s="42">
        <f>TODAY()+TIME(22,0,0)</f>
        <v>44933.91667</v>
      </c>
      <c r="H10" s="6" t="str">
        <f>IFERROR(__xludf.DUMMYFUNCTION("""COMPUTED_VALUE"""),"12")</f>
        <v>12</v>
      </c>
      <c r="I10" s="6" t="str">
        <f>IFERROR(__xludf.DUMMYFUNCTION("""COMPUTED_VALUE"""),"2900000000")</f>
        <v>2900000000</v>
      </c>
      <c r="J10" s="6" t="str">
        <f>IFERROR(__xludf.DUMMYFUNCTION("""COMPUTED_VALUE"""),"8")</f>
        <v>8</v>
      </c>
      <c r="K10" s="6" t="str">
        <f>IFERROR(__xludf.DUMMYFUNCTION("""COMPUTED_VALUE"""),"agEUR")</f>
        <v>agEUR</v>
      </c>
      <c r="L10" s="6" t="str">
        <f>IFERROR(__xludf.DUMMYFUNCTION("""COMPUTED_VALUE"""),"1662746951")</f>
        <v>1662746951</v>
      </c>
    </row>
    <row r="11">
      <c r="A11" s="39" t="str">
        <f>IF(AND($L11*1&gt;=$G$3,$L11*1&lt;=$G$4,$I11*$J11&gt;0,OR($I11&lt;&gt;$I12,$L11-$L12&gt;25),IF(ABS($I11)&gt;10,$I11/POW(10,$J11),$J11/POW(10,$I11))*MAXIFS(Token!$C:$C,Token!$A:$A,$K11)&gt;0.01),$L11/86400+DATE(1970,1,1)+$G$6,)</f>
        <v/>
      </c>
      <c r="B11" s="27" t="str">
        <f t="shared" si="1"/>
        <v/>
      </c>
      <c r="C11" s="14" t="str">
        <f>IF($A11&lt;&gt;"",MINIFS(Merchant!$A:$A,Merchant!$B:$B,$G$2),)</f>
        <v/>
      </c>
      <c r="D11" s="14" t="str">
        <f t="shared" si="2"/>
        <v/>
      </c>
      <c r="E11" s="14" t="str">
        <f t="shared" si="3"/>
        <v/>
      </c>
      <c r="F11" s="7" t="str">
        <f>IF($A11&lt;&gt;"",MAXIFS(Token!$C:$C,Token!$A:$A,$D11),)</f>
        <v/>
      </c>
      <c r="G11" s="6" t="b">
        <f>OR(TRUE,AND(NOW()&gt;$G$9,NOW()&lt;=$G$10))</f>
        <v>1</v>
      </c>
      <c r="H11" s="6" t="str">
        <f>IFERROR(__xludf.DUMMYFUNCTION("""COMPUTED_VALUE"""),"12")</f>
        <v>12</v>
      </c>
      <c r="I11" s="6" t="str">
        <f>IFERROR(__xludf.DUMMYFUNCTION("""COMPUTED_VALUE"""),"-5000000000")</f>
        <v>-5000000000</v>
      </c>
      <c r="J11" s="6" t="str">
        <f>IFERROR(__xludf.DUMMYFUNCTION("""COMPUTED_VALUE"""),"8")</f>
        <v>8</v>
      </c>
      <c r="K11" s="6" t="str">
        <f>IFERROR(__xludf.DUMMYFUNCTION("""COMPUTED_VALUE"""),"agEUR")</f>
        <v>agEUR</v>
      </c>
      <c r="L11" s="6" t="str">
        <f>IFERROR(__xludf.DUMMYFUNCTION("""COMPUTED_VALUE"""),"1656239091")</f>
        <v>1656239091</v>
      </c>
    </row>
    <row r="12">
      <c r="A12" s="39" t="str">
        <f>IF(AND($L12*1&gt;=$G$3,$L12*1&lt;=$G$4,$I12*$J12&gt;0,OR($I12&lt;&gt;$I13,$L12-$L13&gt;25),IF(ABS($I12)&gt;10,$I12/POW(10,$J12),$J12/POW(10,$I12))*MAXIFS(Token!$C:$C,Token!$A:$A,$K12)&gt;0.01),$L12/86400+DATE(1970,1,1)+$G$6,)</f>
        <v/>
      </c>
      <c r="B12" s="27" t="str">
        <f t="shared" si="1"/>
        <v/>
      </c>
      <c r="C12" s="14" t="str">
        <f>IF($A12&lt;&gt;"",MINIFS(Merchant!$A:$A,Merchant!$B:$B,$G$2),)</f>
        <v/>
      </c>
      <c r="D12" s="14" t="str">
        <f t="shared" si="2"/>
        <v/>
      </c>
      <c r="E12" s="14" t="str">
        <f t="shared" si="3"/>
        <v/>
      </c>
      <c r="F12" s="7" t="str">
        <f>IF($A12&lt;&gt;"",MAXIFS(Token!$C:$C,Token!$A:$A,$D12),)</f>
        <v/>
      </c>
      <c r="H12" s="6" t="str">
        <f>IFERROR(__xludf.DUMMYFUNCTION("""COMPUTED_VALUE"""),"12")</f>
        <v>12</v>
      </c>
      <c r="I12" s="6" t="str">
        <f>IFERROR(__xludf.DUMMYFUNCTION("""COMPUTED_VALUE"""),"5000000000")</f>
        <v>5000000000</v>
      </c>
      <c r="J12" s="6" t="str">
        <f>IFERROR(__xludf.DUMMYFUNCTION("""COMPUTED_VALUE"""),"8")</f>
        <v>8</v>
      </c>
      <c r="K12" s="6" t="str">
        <f>IFERROR(__xludf.DUMMYFUNCTION("""COMPUTED_VALUE"""),"agEUR")</f>
        <v>agEUR</v>
      </c>
      <c r="L12" s="6" t="str">
        <f>IFERROR(__xludf.DUMMYFUNCTION("""COMPUTED_VALUE"""),"1656094934")</f>
        <v>1656094934</v>
      </c>
    </row>
    <row r="13">
      <c r="A13" s="39" t="str">
        <f>IF(AND($L13*1&gt;=$G$3,$L13*1&lt;=$G$4,$I13*$J13&gt;0,OR($I13&lt;&gt;$I14,$L13-$L14&gt;25),IF(ABS($I13)&gt;10,$I13/POW(10,$J13),$J13/POW(10,$I13))*MAXIFS(Token!$C:$C,Token!$A:$A,$K13)&gt;0.01),$L13/86400+DATE(1970,1,1)+$G$6,)</f>
        <v/>
      </c>
      <c r="B13" s="27" t="str">
        <f t="shared" si="1"/>
        <v/>
      </c>
      <c r="C13" s="14" t="str">
        <f>IF($A13&lt;&gt;"",MINIFS(Merchant!$A:$A,Merchant!$B:$B,$G$2),)</f>
        <v/>
      </c>
      <c r="D13" s="14" t="str">
        <f t="shared" si="2"/>
        <v/>
      </c>
      <c r="E13" s="14" t="str">
        <f t="shared" si="3"/>
        <v/>
      </c>
      <c r="F13" s="7" t="str">
        <f>IF($A13&lt;&gt;"",MAXIFS(Token!$C:$C,Token!$A:$A,$D13),)</f>
        <v/>
      </c>
      <c r="H13" s="6" t="str">
        <f>IFERROR(__xludf.DUMMYFUNCTION("""COMPUTED_VALUE"""),"12")</f>
        <v>12</v>
      </c>
      <c r="I13" s="6" t="str">
        <f>IFERROR(__xludf.DUMMYFUNCTION("""COMPUTED_VALUE"""),"0")</f>
        <v>0</v>
      </c>
      <c r="J13" s="6" t="str">
        <f>IFERROR(__xludf.DUMMYFUNCTION("""COMPUTED_VALUE"""),"8")</f>
        <v>8</v>
      </c>
      <c r="K13" s="6" t="str">
        <f>IFERROR(__xludf.DUMMYFUNCTION("""COMPUTED_VALUE"""),"agEUR")</f>
        <v>agEUR</v>
      </c>
      <c r="L13" s="6" t="str">
        <f>IFERROR(__xludf.DUMMYFUNCTION("""COMPUTED_VALUE"""),"1654189127")</f>
        <v>1654189127</v>
      </c>
    </row>
    <row r="14">
      <c r="A14" s="39" t="str">
        <f>IF(AND($L14*1&gt;=$G$3,$L14*1&lt;=$G$4,$I14*$J14&gt;0,OR($I14&lt;&gt;$I15,$L14-$L15&gt;25),IF(ABS($I14)&gt;10,$I14/POW(10,$J14),$J14/POW(10,$I14))*MAXIFS(Token!$C:$C,Token!$A:$A,$K14)&gt;0.01),$L14/86400+DATE(1970,1,1)+$G$6,)</f>
        <v/>
      </c>
      <c r="B14" s="27" t="str">
        <f t="shared" si="1"/>
        <v/>
      </c>
      <c r="C14" s="14" t="str">
        <f>IF($A14&lt;&gt;"",MINIFS(Merchant!$A:$A,Merchant!$B:$B,$G$2),)</f>
        <v/>
      </c>
      <c r="D14" s="14" t="str">
        <f t="shared" si="2"/>
        <v/>
      </c>
      <c r="E14" s="14" t="str">
        <f t="shared" si="3"/>
        <v/>
      </c>
      <c r="F14" s="7" t="str">
        <f>IF($A14&lt;&gt;"",MAXIFS(Token!$C:$C,Token!$A:$A,$D14),)</f>
        <v/>
      </c>
    </row>
    <row r="15">
      <c r="A15" s="39" t="str">
        <f>IF(AND($L15*1&gt;=$G$3,$L15*1&lt;=$G$4,$I15*$J15&gt;0,OR($I15&lt;&gt;$I16,$L15-$L16&gt;25),IF(ABS($I15)&gt;10,$I15/POW(10,$J15),$J15/POW(10,$I15))*MAXIFS(Token!$C:$C,Token!$A:$A,$K15)&gt;0.01),$L15/86400+DATE(1970,1,1)+$G$6,)</f>
        <v/>
      </c>
      <c r="B15" s="27" t="str">
        <f t="shared" si="1"/>
        <v/>
      </c>
      <c r="C15" s="14" t="str">
        <f>IF($A15&lt;&gt;"",MINIFS(Merchant!$A:$A,Merchant!$B:$B,$G$2),)</f>
        <v/>
      </c>
      <c r="D15" s="14" t="str">
        <f t="shared" si="2"/>
        <v/>
      </c>
      <c r="E15" s="14" t="str">
        <f t="shared" si="3"/>
        <v/>
      </c>
      <c r="F15" s="7" t="str">
        <f>IF($A15&lt;&gt;"",MAXIFS(Token!$C:$C,Token!$A:$A,$D15),)</f>
        <v/>
      </c>
      <c r="G15" s="39"/>
    </row>
    <row r="16">
      <c r="A16" s="39" t="str">
        <f>IF(AND($L16*1&gt;=$G$3,$L16*1&lt;=$G$4,$I16*$J16&gt;0,OR($I16&lt;&gt;$I17,$L16-$L17&gt;25),IF(ABS($I16)&gt;10,$I16/POW(10,$J16),$J16/POW(10,$I16))*MAXIFS(Token!$C:$C,Token!$A:$A,$K16)&gt;0.01),$L16/86400+DATE(1970,1,1)+$G$6,)</f>
        <v/>
      </c>
      <c r="B16" s="27" t="str">
        <f t="shared" si="1"/>
        <v/>
      </c>
      <c r="C16" s="14" t="str">
        <f>IF($A16&lt;&gt;"",MINIFS(Merchant!$A:$A,Merchant!$B:$B,$G$2),)</f>
        <v/>
      </c>
      <c r="D16" s="14" t="str">
        <f t="shared" si="2"/>
        <v/>
      </c>
      <c r="E16" s="14" t="str">
        <f t="shared" si="3"/>
        <v/>
      </c>
      <c r="F16" s="7" t="str">
        <f>IF($A16&lt;&gt;"",MAXIFS(Token!$C:$C,Token!$A:$A,$D16),)</f>
        <v/>
      </c>
    </row>
    <row r="17">
      <c r="A17" s="39" t="str">
        <f>IF(AND($L17*1&gt;=$G$3,$L17*1&lt;=$G$4,$I17*$J17&gt;0,OR($I17&lt;&gt;$I18,$L17-$L18&gt;25),IF(ABS($I17)&gt;10,$I17/POW(10,$J17),$J17/POW(10,$I17))*MAXIFS(Token!$C:$C,Token!$A:$A,$K17)&gt;0.01),$L17/86400+DATE(1970,1,1)+$G$6,)</f>
        <v/>
      </c>
      <c r="B17" s="27" t="str">
        <f t="shared" si="1"/>
        <v/>
      </c>
      <c r="C17" s="14" t="str">
        <f>IF($A17&lt;&gt;"",MINIFS(Merchant!$A:$A,Merchant!$B:$B,$G$2),)</f>
        <v/>
      </c>
      <c r="D17" s="14" t="str">
        <f t="shared" si="2"/>
        <v/>
      </c>
      <c r="E17" s="14" t="str">
        <f t="shared" si="3"/>
        <v/>
      </c>
      <c r="F17" s="7" t="str">
        <f>IF($A17&lt;&gt;"",MAXIFS(Token!$C:$C,Token!$A:$A,$D17),)</f>
        <v/>
      </c>
    </row>
    <row r="18">
      <c r="A18" s="39" t="str">
        <f>IF(AND($L18*1&gt;=$G$3,$L18*1&lt;=$G$4,$I18*$J18&gt;0,OR($I18&lt;&gt;$I19,$L18-$L19&gt;25),IF(ABS($I18)&gt;10,$I18/POW(10,$J18),$J18/POW(10,$I18))*MAXIFS(Token!$C:$C,Token!$A:$A,$K18)&gt;0.01),$L18/86400+DATE(1970,1,1)+$G$6,)</f>
        <v/>
      </c>
      <c r="B18" s="27" t="str">
        <f t="shared" si="1"/>
        <v/>
      </c>
      <c r="C18" s="14" t="str">
        <f>IF($A18&lt;&gt;"",MINIFS(Merchant!$A:$A,Merchant!$B:$B,$G$2),)</f>
        <v/>
      </c>
      <c r="D18" s="14" t="str">
        <f t="shared" si="2"/>
        <v/>
      </c>
      <c r="E18" s="14" t="str">
        <f t="shared" si="3"/>
        <v/>
      </c>
      <c r="F18" s="7" t="str">
        <f>IF($A18&lt;&gt;"",MAXIFS(Token!$C:$C,Token!$A:$A,$D18),)</f>
        <v/>
      </c>
    </row>
    <row r="19">
      <c r="A19" s="39" t="str">
        <f>IF(AND($L19*1&gt;=$G$3,$L19*1&lt;=$G$4,$I19*$J19&gt;0,OR($I19&lt;&gt;$I20,$L19-$L20&gt;25),IF(ABS($I19)&gt;10,$I19/POW(10,$J19),$J19/POW(10,$I19))*MAXIFS(Token!$C:$C,Token!$A:$A,$K19)&gt;0.01),$L19/86400+DATE(1970,1,1)+$G$6,)</f>
        <v/>
      </c>
      <c r="B19" s="27" t="str">
        <f t="shared" si="1"/>
        <v/>
      </c>
      <c r="C19" s="14" t="str">
        <f>IF($A19&lt;&gt;"",MINIFS(Merchant!$A:$A,Merchant!$B:$B,$G$2),)</f>
        <v/>
      </c>
      <c r="D19" s="14" t="str">
        <f t="shared" si="2"/>
        <v/>
      </c>
      <c r="E19" s="14" t="str">
        <f t="shared" si="3"/>
        <v/>
      </c>
      <c r="F19" s="7" t="str">
        <f>IF($A19&lt;&gt;"",MAXIFS(Token!$C:$C,Token!$A:$A,$D19),)</f>
        <v/>
      </c>
    </row>
    <row r="20">
      <c r="A20" s="39" t="str">
        <f>IF(AND($L20*1&gt;=$G$3,$L20*1&lt;=$G$4,$I20*$J20&gt;0,OR($I20&lt;&gt;$I21,$L20-$L21&gt;25),IF(ABS($I20)&gt;10,$I20/POW(10,$J20),$J20/POW(10,$I20))*MAXIFS(Token!$C:$C,Token!$A:$A,$K20)&gt;0.01),$L20/86400+DATE(1970,1,1)+$G$6,)</f>
        <v/>
      </c>
      <c r="B20" s="27" t="str">
        <f t="shared" si="1"/>
        <v/>
      </c>
      <c r="C20" s="14" t="str">
        <f>IF($A20&lt;&gt;"",MINIFS(Merchant!$A:$A,Merchant!$B:$B,$G$2),)</f>
        <v/>
      </c>
      <c r="D20" s="14" t="str">
        <f t="shared" si="2"/>
        <v/>
      </c>
      <c r="E20" s="14" t="str">
        <f t="shared" si="3"/>
        <v/>
      </c>
      <c r="F20" s="7" t="str">
        <f>IF($A20&lt;&gt;"",MAXIFS(Token!$C:$C,Token!$A:$A,$D20),)</f>
        <v/>
      </c>
    </row>
    <row r="21">
      <c r="A21" s="39" t="str">
        <f>IF(AND($L21*1&gt;=$G$3,$L21*1&lt;=$G$4,$I21*$J21&gt;0,OR($I21&lt;&gt;$I22,$L21-$L22&gt;25),IF(ABS($I21)&gt;10,$I21/POW(10,$J21),$J21/POW(10,$I21))*MAXIFS(Token!$C:$C,Token!$A:$A,$K21)&gt;0.01),$L21/86400+DATE(1970,1,1)+$G$6,)</f>
        <v/>
      </c>
      <c r="B21" s="27" t="str">
        <f t="shared" si="1"/>
        <v/>
      </c>
      <c r="C21" s="14" t="str">
        <f>IF($A21&lt;&gt;"",MINIFS(Merchant!$A:$A,Merchant!$B:$B,$G$2),)</f>
        <v/>
      </c>
      <c r="D21" s="14" t="str">
        <f t="shared" si="2"/>
        <v/>
      </c>
      <c r="E21" s="14" t="str">
        <f t="shared" si="3"/>
        <v/>
      </c>
      <c r="F21" s="7" t="str">
        <f>IF($A21&lt;&gt;"",MAXIFS(Token!$C:$C,Token!$A:$A,$D21),)</f>
        <v/>
      </c>
    </row>
    <row r="22">
      <c r="A22" s="39" t="str">
        <f>IF(AND($L22*1&gt;=$G$3,$L22*1&lt;=$G$4,$I22*$J22&gt;0,OR($I22&lt;&gt;$I23,$L22-$L23&gt;25),IF(ABS($I22)&gt;10,$I22/POW(10,$J22),$J22/POW(10,$I22))*MAXIFS(Token!$C:$C,Token!$A:$A,$K22)&gt;0.01),$L22/86400+DATE(1970,1,1)+$G$6,)</f>
        <v/>
      </c>
      <c r="B22" s="27" t="str">
        <f t="shared" si="1"/>
        <v/>
      </c>
      <c r="C22" s="14" t="str">
        <f>IF($A22&lt;&gt;"",MINIFS(Merchant!$A:$A,Merchant!$B:$B,$G$2),)</f>
        <v/>
      </c>
      <c r="D22" s="14" t="str">
        <f t="shared" si="2"/>
        <v/>
      </c>
      <c r="E22" s="14" t="str">
        <f t="shared" si="3"/>
        <v/>
      </c>
      <c r="F22" s="7" t="str">
        <f>IF($A22&lt;&gt;"",MAXIFS(Token!$C:$C,Token!$A:$A,$D22),)</f>
        <v/>
      </c>
    </row>
    <row r="23">
      <c r="A23" s="39" t="str">
        <f>IF(AND($L23*1&gt;=$G$3,$L23*1&lt;=$G$4,$I23*$J23&gt;0,OR($I23&lt;&gt;$I24,$L23-$L24&gt;25),IF(ABS($I23)&gt;10,$I23/POW(10,$J23),$J23/POW(10,$I23))*MAXIFS(Token!$C:$C,Token!$A:$A,$K23)&gt;0.01),$L23/86400+DATE(1970,1,1)+$G$6,)</f>
        <v/>
      </c>
      <c r="B23" s="27" t="str">
        <f t="shared" si="1"/>
        <v/>
      </c>
      <c r="C23" s="14" t="str">
        <f>IF($A23&lt;&gt;"",MINIFS(Merchant!$A:$A,Merchant!$B:$B,$G$2),)</f>
        <v/>
      </c>
      <c r="D23" s="14" t="str">
        <f t="shared" si="2"/>
        <v/>
      </c>
      <c r="E23" s="14" t="str">
        <f t="shared" si="3"/>
        <v/>
      </c>
      <c r="F23" s="7" t="str">
        <f>IF($A23&lt;&gt;"",MAXIFS(Token!$C:$C,Token!$A:$A,$D23),)</f>
        <v/>
      </c>
    </row>
    <row r="24">
      <c r="A24" s="39" t="str">
        <f>IF(AND($L24*1&gt;=$G$3,$L24*1&lt;=$G$4,$I24*$J24&gt;0,OR($I24&lt;&gt;$I25,$L24-$L25&gt;25),IF(ABS($I24)&gt;10,$I24/POW(10,$J24),$J24/POW(10,$I24))*MAXIFS(Token!$C:$C,Token!$A:$A,$K24)&gt;0.01),$L24/86400+DATE(1970,1,1)+$G$6,)</f>
        <v/>
      </c>
      <c r="B24" s="27" t="str">
        <f t="shared" si="1"/>
        <v/>
      </c>
      <c r="C24" s="14" t="str">
        <f>IF($A24&lt;&gt;"",MINIFS(Merchant!$A:$A,Merchant!$B:$B,$G$2),)</f>
        <v/>
      </c>
      <c r="D24" s="14" t="str">
        <f t="shared" si="2"/>
        <v/>
      </c>
      <c r="E24" s="14" t="str">
        <f t="shared" si="3"/>
        <v/>
      </c>
      <c r="F24" s="7" t="str">
        <f>IF($A24&lt;&gt;"",MAXIFS(Token!$C:$C,Token!$A:$A,$D24),)</f>
        <v/>
      </c>
    </row>
    <row r="25">
      <c r="A25" s="39" t="str">
        <f>IF(AND($L25*1&gt;=$G$3,$L25*1&lt;=$G$4,$I25*$J25&gt;0,OR($I25&lt;&gt;$I26,$L25-$L26&gt;25),IF(ABS($I25)&gt;10,$I25/POW(10,$J25),$J25/POW(10,$I25))*MAXIFS(Token!$C:$C,Token!$A:$A,$K25)&gt;0.01),$L25/86400+DATE(1970,1,1)+$G$6,)</f>
        <v/>
      </c>
      <c r="B25" s="27" t="str">
        <f t="shared" si="1"/>
        <v/>
      </c>
      <c r="C25" s="14" t="str">
        <f>IF($A25&lt;&gt;"",MINIFS(Merchant!$A:$A,Merchant!$B:$B,$G$2),)</f>
        <v/>
      </c>
      <c r="D25" s="14" t="str">
        <f t="shared" si="2"/>
        <v/>
      </c>
      <c r="E25" s="14" t="str">
        <f t="shared" si="3"/>
        <v/>
      </c>
      <c r="F25" s="7" t="str">
        <f>IF($A25&lt;&gt;"",MAXIFS(Token!$C:$C,Token!$A:$A,$D25),)</f>
        <v/>
      </c>
    </row>
    <row r="26">
      <c r="A26" s="39" t="str">
        <f>IF(AND($L26*1&gt;=$G$3,$L26*1&lt;=$G$4,$I26*$J26&gt;0,OR($I26&lt;&gt;$I27,$L26-$L27&gt;25),IF(ABS($I26)&gt;10,$I26/POW(10,$J26),$J26/POW(10,$I26))*MAXIFS(Token!$C:$C,Token!$A:$A,$K26)&gt;0.01),$L26/86400+DATE(1970,1,1)+$G$6,)</f>
        <v/>
      </c>
      <c r="B26" s="27" t="str">
        <f t="shared" si="1"/>
        <v/>
      </c>
      <c r="C26" s="14" t="str">
        <f>IF($A26&lt;&gt;"",MINIFS(Merchant!$A:$A,Merchant!$B:$B,$G$2),)</f>
        <v/>
      </c>
      <c r="D26" s="14" t="str">
        <f t="shared" si="2"/>
        <v/>
      </c>
      <c r="E26" s="14" t="str">
        <f t="shared" si="3"/>
        <v/>
      </c>
      <c r="F26" s="7" t="str">
        <f>IF($A26&lt;&gt;"",MAXIFS(Token!$C:$C,Token!$A:$A,$D26),)</f>
        <v/>
      </c>
    </row>
    <row r="27">
      <c r="A27" s="39" t="str">
        <f>IF(AND($L27*1&gt;=$G$3,$L27*1&lt;=$G$4,$I27*$J27&gt;0,OR($I27&lt;&gt;$I28,$L27-$L28&gt;25),IF(ABS($I27)&gt;10,$I27/POW(10,$J27),$J27/POW(10,$I27))*MAXIFS(Token!$C:$C,Token!$A:$A,$K27)&gt;0.01),$L27/86400+DATE(1970,1,1)+$G$6,)</f>
        <v/>
      </c>
      <c r="B27" s="27" t="str">
        <f t="shared" si="1"/>
        <v/>
      </c>
      <c r="C27" s="14" t="str">
        <f>IF($A27&lt;&gt;"",MINIFS(Merchant!$A:$A,Merchant!$B:$B,$G$2),)</f>
        <v/>
      </c>
      <c r="D27" s="14" t="str">
        <f t="shared" si="2"/>
        <v/>
      </c>
      <c r="E27" s="14" t="str">
        <f t="shared" si="3"/>
        <v/>
      </c>
      <c r="F27" s="7" t="str">
        <f>IF($A27&lt;&gt;"",MAXIFS(Token!$C:$C,Token!$A:$A,$D27),)</f>
        <v/>
      </c>
    </row>
    <row r="28">
      <c r="A28" s="39" t="str">
        <f>IF(AND($L28*1&gt;=$G$3,$L28*1&lt;=$G$4,$I28*$J28&gt;0,OR($I28&lt;&gt;$I29,$L28-$L29&gt;25),IF(ABS($I28)&gt;10,$I28/POW(10,$J28),$J28/POW(10,$I28))*MAXIFS(Token!$C:$C,Token!$A:$A,$K28)&gt;0.01),$L28/86400+DATE(1970,1,1)+$G$6,)</f>
        <v/>
      </c>
      <c r="B28" s="27" t="str">
        <f t="shared" si="1"/>
        <v/>
      </c>
      <c r="C28" s="14" t="str">
        <f>IF($A28&lt;&gt;"",MINIFS(Merchant!$A:$A,Merchant!$B:$B,$G$2),)</f>
        <v/>
      </c>
      <c r="D28" s="14" t="str">
        <f t="shared" si="2"/>
        <v/>
      </c>
      <c r="E28" s="14" t="str">
        <f t="shared" si="3"/>
        <v/>
      </c>
      <c r="F28" s="7" t="str">
        <f>IF($A28&lt;&gt;"",MAXIFS(Token!$C:$C,Token!$A:$A,$D28),)</f>
        <v/>
      </c>
    </row>
    <row r="29">
      <c r="A29" s="39" t="str">
        <f>IF(AND($L29*1&gt;=$G$3,$L29*1&lt;=$G$4,$I29*$J29&gt;0,OR($I29&lt;&gt;$I30,$L29-$L30&gt;25),IF(ABS($I29)&gt;10,$I29/POW(10,$J29),$J29/POW(10,$I29))*MAXIFS(Token!$C:$C,Token!$A:$A,$K29)&gt;0.01),$L29/86400+DATE(1970,1,1)+$G$6,)</f>
        <v/>
      </c>
      <c r="B29" s="27" t="str">
        <f t="shared" si="1"/>
        <v/>
      </c>
      <c r="C29" s="14" t="str">
        <f>IF($A29&lt;&gt;"",MINIFS(Merchant!$A:$A,Merchant!$B:$B,$G$2),)</f>
        <v/>
      </c>
      <c r="D29" s="14" t="str">
        <f t="shared" si="2"/>
        <v/>
      </c>
      <c r="E29" s="14" t="str">
        <f t="shared" si="3"/>
        <v/>
      </c>
      <c r="F29" s="7" t="str">
        <f>IF($A29&lt;&gt;"",MAXIFS(Token!$C:$C,Token!$A:$A,$D29),)</f>
        <v/>
      </c>
    </row>
    <row r="30">
      <c r="A30" s="39" t="str">
        <f>IF(AND($L30*1&gt;=$G$3,$L30*1&lt;=$G$4,$I30*$J30&gt;0,OR($I30&lt;&gt;$I31,$L30-$L31&gt;25),IF(ABS($I30)&gt;10,$I30/POW(10,$J30),$J30/POW(10,$I30))*MAXIFS(Token!$C:$C,Token!$A:$A,$K30)&gt;0.01),$L30/86400+DATE(1970,1,1)+$G$6,)</f>
        <v/>
      </c>
      <c r="B30" s="27" t="str">
        <f t="shared" si="1"/>
        <v/>
      </c>
      <c r="C30" s="14" t="str">
        <f>IF($A30&lt;&gt;"",MINIFS(Merchant!$A:$A,Merchant!$B:$B,$G$2),)</f>
        <v/>
      </c>
      <c r="D30" s="14" t="str">
        <f t="shared" si="2"/>
        <v/>
      </c>
      <c r="E30" s="14" t="str">
        <f t="shared" si="3"/>
        <v/>
      </c>
      <c r="F30" s="7" t="str">
        <f>IF($A30&lt;&gt;"",MAXIFS(Token!$C:$C,Token!$A:$A,$D30),)</f>
        <v/>
      </c>
    </row>
    <row r="31">
      <c r="A31" s="39" t="str">
        <f>IF(AND($L31*1&gt;=$G$3,$L31*1&lt;=$G$4,$I31*$J31&gt;0,OR($I31&lt;&gt;$I32,$L31-$L32&gt;25),IF(ABS($I31)&gt;10,$I31/POW(10,$J31),$J31/POW(10,$I31))*MAXIFS(Token!$C:$C,Token!$A:$A,$K31)&gt;0.01),$L31/86400+DATE(1970,1,1)+$G$6,)</f>
        <v/>
      </c>
      <c r="B31" s="27" t="str">
        <f t="shared" si="1"/>
        <v/>
      </c>
      <c r="C31" s="14" t="str">
        <f>IF($A31&lt;&gt;"",MINIFS(Merchant!$A:$A,Merchant!$B:$B,$G$2),)</f>
        <v/>
      </c>
      <c r="D31" s="14" t="str">
        <f t="shared" si="2"/>
        <v/>
      </c>
      <c r="E31" s="14" t="str">
        <f t="shared" si="3"/>
        <v/>
      </c>
      <c r="F31" s="7" t="str">
        <f>IF($A31&lt;&gt;"",MAXIFS(Token!$C:$C,Token!$A:$A,$D31),)</f>
        <v/>
      </c>
    </row>
    <row r="32">
      <c r="A32" s="39" t="str">
        <f>IF(AND($L32*1&gt;=$G$3,$L32*1&lt;=$G$4,$I32*$J32&gt;0,OR($I32&lt;&gt;$I33,$L32-$L33&gt;25),IF(ABS($I32)&gt;10,$I32/POW(10,$J32),$J32/POW(10,$I32))*MAXIFS(Token!$C:$C,Token!$A:$A,$K32)&gt;0.01),$L32/86400+DATE(1970,1,1)+$G$6,)</f>
        <v/>
      </c>
      <c r="B32" s="27" t="str">
        <f t="shared" si="1"/>
        <v/>
      </c>
      <c r="C32" s="14" t="str">
        <f>IF($A32&lt;&gt;"",MINIFS(Merchant!$A:$A,Merchant!$B:$B,$G$2),)</f>
        <v/>
      </c>
      <c r="D32" s="14" t="str">
        <f t="shared" si="2"/>
        <v/>
      </c>
      <c r="E32" s="14" t="str">
        <f t="shared" si="3"/>
        <v/>
      </c>
      <c r="F32" s="7" t="str">
        <f>IF($A32&lt;&gt;"",MAXIFS(Token!$C:$C,Token!$A:$A,$D32),)</f>
        <v/>
      </c>
    </row>
    <row r="33">
      <c r="A33" s="39" t="str">
        <f>IF(AND($L33*1&gt;=$G$3,$L33*1&lt;=$G$4,$I33*$J33&gt;0,OR($I33&lt;&gt;$I34,$L33-$L34&gt;25),IF(ABS($I33)&gt;10,$I33/POW(10,$J33),$J33/POW(10,$I33))*MAXIFS(Token!$C:$C,Token!$A:$A,$K33)&gt;0.01),$L33/86400+DATE(1970,1,1)+$G$6,)</f>
        <v/>
      </c>
      <c r="B33" s="27" t="str">
        <f t="shared" si="1"/>
        <v/>
      </c>
      <c r="C33" s="14" t="str">
        <f>IF($A33&lt;&gt;"",MINIFS(Merchant!$A:$A,Merchant!$B:$B,$G$2),)</f>
        <v/>
      </c>
      <c r="D33" s="14" t="str">
        <f t="shared" si="2"/>
        <v/>
      </c>
      <c r="E33" s="14" t="str">
        <f t="shared" si="3"/>
        <v/>
      </c>
      <c r="F33" s="7" t="str">
        <f>IF($A33&lt;&gt;"",MAXIFS(Token!$C:$C,Token!$A:$A,$D33),)</f>
        <v/>
      </c>
    </row>
    <row r="34">
      <c r="A34" s="39" t="str">
        <f>IF(AND($L34*1&gt;=$G$3,$L34*1&lt;=$G$4,$I34*$J34&gt;0,OR($I34&lt;&gt;$I35,$L34-$L35&gt;25),IF(ABS($I34)&gt;10,$I34/POW(10,$J34),$J34/POW(10,$I34))*MAXIFS(Token!$C:$C,Token!$A:$A,$K34)&gt;0.01),$L34/86400+DATE(1970,1,1)+$G$6,)</f>
        <v/>
      </c>
      <c r="B34" s="27" t="str">
        <f t="shared" si="1"/>
        <v/>
      </c>
      <c r="C34" s="14" t="str">
        <f>IF($A34&lt;&gt;"",MINIFS(Merchant!$A:$A,Merchant!$B:$B,$G$2),)</f>
        <v/>
      </c>
      <c r="D34" s="14" t="str">
        <f t="shared" si="2"/>
        <v/>
      </c>
      <c r="E34" s="14" t="str">
        <f t="shared" si="3"/>
        <v/>
      </c>
      <c r="F34" s="7" t="str">
        <f>IF($A34&lt;&gt;"",MAXIFS(Token!$C:$C,Token!$A:$A,$D34),)</f>
        <v/>
      </c>
    </row>
    <row r="35">
      <c r="A35" s="39" t="str">
        <f>IF(AND($L35*1&gt;=$G$3,$L35*1&lt;=$G$4,$I35*$J35&gt;0,OR($I35&lt;&gt;$I36,$L35-$L36&gt;25),IF(ABS($I35)&gt;10,$I35/POW(10,$J35),$J35/POW(10,$I35))*MAXIFS(Token!$C:$C,Token!$A:$A,$K35)&gt;0.01),$L35/86400+DATE(1970,1,1)+$G$6,)</f>
        <v/>
      </c>
      <c r="B35" s="27" t="str">
        <f t="shared" si="1"/>
        <v/>
      </c>
      <c r="C35" s="14" t="str">
        <f>IF($A35&lt;&gt;"",MINIFS(Merchant!$A:$A,Merchant!$B:$B,$G$2),)</f>
        <v/>
      </c>
      <c r="D35" s="14" t="str">
        <f t="shared" si="2"/>
        <v/>
      </c>
      <c r="E35" s="14" t="str">
        <f t="shared" si="3"/>
        <v/>
      </c>
      <c r="F35" s="7" t="str">
        <f>IF($A35&lt;&gt;"",MAXIFS(Token!$C:$C,Token!$A:$A,$D35),)</f>
        <v/>
      </c>
    </row>
    <row r="36">
      <c r="A36" s="39" t="str">
        <f>IF(AND($L36*1&gt;=$G$3,$L36*1&lt;=$G$4,$I36*$J36&gt;0,OR($I36&lt;&gt;$I37,$L36-$L37&gt;25),IF(ABS($I36)&gt;10,$I36/POW(10,$J36),$J36/POW(10,$I36))*MAXIFS(Token!$C:$C,Token!$A:$A,$K36)&gt;0.01),$L36/86400+DATE(1970,1,1)+$G$6,)</f>
        <v/>
      </c>
      <c r="B36" s="27" t="str">
        <f t="shared" si="1"/>
        <v/>
      </c>
      <c r="C36" s="14" t="str">
        <f>IF($A36&lt;&gt;"",MINIFS(Merchant!$A:$A,Merchant!$B:$B,$G$2),)</f>
        <v/>
      </c>
      <c r="D36" s="14" t="str">
        <f t="shared" si="2"/>
        <v/>
      </c>
      <c r="E36" s="14" t="str">
        <f t="shared" si="3"/>
        <v/>
      </c>
      <c r="F36" s="7" t="str">
        <f>IF($A36&lt;&gt;"",MAXIFS(Token!$C:$C,Token!$A:$A,$D36),)</f>
        <v/>
      </c>
    </row>
    <row r="37">
      <c r="A37" s="39" t="str">
        <f>IF(AND($L37*1&gt;=$G$3,$L37*1&lt;=$G$4,$I37*$J37&gt;0,OR($I37&lt;&gt;$I38,$L37-$L38&gt;25),IF(ABS($I37)&gt;10,$I37/POW(10,$J37),$J37/POW(10,$I37))*MAXIFS(Token!$C:$C,Token!$A:$A,$K37)&gt;0.01),$L37/86400+DATE(1970,1,1)+$G$6,)</f>
        <v/>
      </c>
      <c r="B37" s="27" t="str">
        <f t="shared" si="1"/>
        <v/>
      </c>
      <c r="C37" s="14" t="str">
        <f>IF($A37&lt;&gt;"",MINIFS(Merchant!$A:$A,Merchant!$B:$B,$G$2),)</f>
        <v/>
      </c>
      <c r="D37" s="14" t="str">
        <f t="shared" si="2"/>
        <v/>
      </c>
      <c r="E37" s="14" t="str">
        <f t="shared" si="3"/>
        <v/>
      </c>
      <c r="F37" s="7" t="str">
        <f>IF($A37&lt;&gt;"",MAXIFS(Token!$C:$C,Token!$A:$A,$D37),)</f>
        <v/>
      </c>
    </row>
    <row r="38">
      <c r="A38" s="39" t="str">
        <f>IF(AND($L38*1&gt;=$G$3,$L38*1&lt;=$G$4,$I38*$J38&gt;0,OR($I38&lt;&gt;$I39,$L38-$L39&gt;25),IF(ABS($I38)&gt;10,$I38/POW(10,$J38),$J38/POW(10,$I38))*MAXIFS(Token!$C:$C,Token!$A:$A,$K38)&gt;0.01),$L38/86400+DATE(1970,1,1)+$G$6,)</f>
        <v/>
      </c>
      <c r="B38" s="27" t="str">
        <f t="shared" si="1"/>
        <v/>
      </c>
      <c r="C38" s="14" t="str">
        <f>IF($A38&lt;&gt;"",MINIFS(Merchant!$A:$A,Merchant!$B:$B,$G$2),)</f>
        <v/>
      </c>
      <c r="D38" s="14" t="str">
        <f t="shared" si="2"/>
        <v/>
      </c>
      <c r="E38" s="14" t="str">
        <f t="shared" si="3"/>
        <v/>
      </c>
      <c r="F38" s="7" t="str">
        <f>IF($A38&lt;&gt;"",MAXIFS(Token!$C:$C,Token!$A:$A,$D38),)</f>
        <v/>
      </c>
    </row>
    <row r="39">
      <c r="A39" s="39" t="str">
        <f>IF(AND($L39*1&gt;=$G$3,$L39*1&lt;=$G$4,$I39*$J39&gt;0,OR($I39&lt;&gt;$I40,$L39-$L40&gt;25),IF(ABS($I39)&gt;10,$I39/POW(10,$J39),$J39/POW(10,$I39))*MAXIFS(Token!$C:$C,Token!$A:$A,$K39)&gt;0.01),$L39/86400+DATE(1970,1,1)+$G$6,)</f>
        <v/>
      </c>
      <c r="B39" s="27" t="str">
        <f t="shared" si="1"/>
        <v/>
      </c>
      <c r="C39" s="14" t="str">
        <f>IF($A39&lt;&gt;"",MINIFS(Merchant!$A:$A,Merchant!$B:$B,$G$2),)</f>
        <v/>
      </c>
      <c r="D39" s="14" t="str">
        <f t="shared" si="2"/>
        <v/>
      </c>
      <c r="E39" s="14" t="str">
        <f t="shared" si="3"/>
        <v/>
      </c>
      <c r="F39" s="7" t="str">
        <f>IF($A39&lt;&gt;"",MAXIFS(Token!$C:$C,Token!$A:$A,$D39),)</f>
        <v/>
      </c>
    </row>
    <row r="40">
      <c r="A40" s="39" t="str">
        <f>IF(AND($L40*1&gt;=$G$3,$L40*1&lt;=$G$4,$I40*$J40&gt;0,OR($I40&lt;&gt;$I41,$L40-$L41&gt;25),IF(ABS($I40)&gt;10,$I40/POW(10,$J40),$J40/POW(10,$I40))*MAXIFS(Token!$C:$C,Token!$A:$A,$K40)&gt;0.01),$L40/86400+DATE(1970,1,1)+$G$6,)</f>
        <v/>
      </c>
      <c r="B40" s="27" t="str">
        <f t="shared" si="1"/>
        <v/>
      </c>
      <c r="C40" s="14" t="str">
        <f>IF($A40&lt;&gt;"",MINIFS(Merchant!$A:$A,Merchant!$B:$B,$G$2),)</f>
        <v/>
      </c>
      <c r="D40" s="14" t="str">
        <f t="shared" si="2"/>
        <v/>
      </c>
      <c r="E40" s="14" t="str">
        <f t="shared" si="3"/>
        <v/>
      </c>
      <c r="F40" s="7" t="str">
        <f>IF($A40&lt;&gt;"",MAXIFS(Token!$C:$C,Token!$A:$A,$D40),)</f>
        <v/>
      </c>
    </row>
    <row r="41">
      <c r="A41" s="39" t="str">
        <f>IF(AND($L41*1&gt;=$G$3,$L41*1&lt;=$G$4,$I41*$J41&gt;0,OR($I41&lt;&gt;$I42,$L41-$L42&gt;25),IF(ABS($I41)&gt;10,$I41/POW(10,$J41),$J41/POW(10,$I41))*MAXIFS(Token!$C:$C,Token!$A:$A,$K41)&gt;0.01),$L41/86400+DATE(1970,1,1)+$G$6,)</f>
        <v/>
      </c>
      <c r="B41" s="27" t="str">
        <f t="shared" si="1"/>
        <v/>
      </c>
      <c r="C41" s="14" t="str">
        <f>IF($A41&lt;&gt;"",MINIFS(Merchant!$A:$A,Merchant!$B:$B,$G$2),)</f>
        <v/>
      </c>
      <c r="D41" s="14" t="str">
        <f t="shared" si="2"/>
        <v/>
      </c>
      <c r="E41" s="14" t="str">
        <f t="shared" si="3"/>
        <v/>
      </c>
      <c r="F41" s="7" t="str">
        <f>IF($A41&lt;&gt;"",MAXIFS(Token!$C:$C,Token!$A:$A,$D41),)</f>
        <v/>
      </c>
    </row>
    <row r="42">
      <c r="A42" s="39" t="str">
        <f>IF(AND($L42*1&gt;=$G$3,$L42*1&lt;=$G$4,$I42*$J42&gt;0,OR($I42&lt;&gt;$I43,$L42-$L43&gt;25),IF(ABS($I42)&gt;10,$I42/POW(10,$J42),$J42/POW(10,$I42))*MAXIFS(Token!$C:$C,Token!$A:$A,$K42)&gt;0.01),$L42/86400+DATE(1970,1,1)+$G$6,)</f>
        <v/>
      </c>
      <c r="B42" s="27" t="str">
        <f t="shared" si="1"/>
        <v/>
      </c>
      <c r="C42" s="14" t="str">
        <f>IF($A42&lt;&gt;"",MINIFS(Merchant!$A:$A,Merchant!$B:$B,$G$2),)</f>
        <v/>
      </c>
      <c r="D42" s="14" t="str">
        <f t="shared" si="2"/>
        <v/>
      </c>
      <c r="E42" s="14" t="str">
        <f t="shared" si="3"/>
        <v/>
      </c>
      <c r="F42" s="7" t="str">
        <f>IF($A42&lt;&gt;"",MAXIFS(Token!$C:$C,Token!$A:$A,$D42),)</f>
        <v/>
      </c>
    </row>
    <row r="43">
      <c r="A43" s="39" t="str">
        <f>IF(AND($L43*1&gt;=$G$3,$L43*1&lt;=$G$4,$I43*$J43&gt;0,OR($I43&lt;&gt;$I44,$L43-$L44&gt;25),IF(ABS($I43)&gt;10,$I43/POW(10,$J43),$J43/POW(10,$I43))*MAXIFS(Token!$C:$C,Token!$A:$A,$K43)&gt;0.01),$L43/86400+DATE(1970,1,1)+$G$6,)</f>
        <v/>
      </c>
      <c r="B43" s="27" t="str">
        <f t="shared" si="1"/>
        <v/>
      </c>
      <c r="C43" s="14" t="str">
        <f>IF($A43&lt;&gt;"",MINIFS(Merchant!$A:$A,Merchant!$B:$B,$G$2),)</f>
        <v/>
      </c>
      <c r="D43" s="14" t="str">
        <f t="shared" si="2"/>
        <v/>
      </c>
      <c r="E43" s="14" t="str">
        <f t="shared" si="3"/>
        <v/>
      </c>
      <c r="F43" s="7" t="str">
        <f>IF($A43&lt;&gt;"",MAXIFS(Token!$C:$C,Token!$A:$A,$D43),)</f>
        <v/>
      </c>
    </row>
    <row r="44">
      <c r="A44" s="39" t="str">
        <f>IF(AND($L44*1&gt;=$G$3,$L44*1&lt;=$G$4,$I44*$J44&gt;0,OR($I44&lt;&gt;$I45,$L44-$L45&gt;25),IF(ABS($I44)&gt;10,$I44/POW(10,$J44),$J44/POW(10,$I44))*MAXIFS(Token!$C:$C,Token!$A:$A,$K44)&gt;0.01),$L44/86400+DATE(1970,1,1)+$G$6,)</f>
        <v/>
      </c>
      <c r="B44" s="27" t="str">
        <f t="shared" si="1"/>
        <v/>
      </c>
      <c r="C44" s="14" t="str">
        <f>IF($A44&lt;&gt;"",MINIFS(Merchant!$A:$A,Merchant!$B:$B,$G$2),)</f>
        <v/>
      </c>
      <c r="D44" s="14" t="str">
        <f t="shared" si="2"/>
        <v/>
      </c>
      <c r="E44" s="14" t="str">
        <f t="shared" si="3"/>
        <v/>
      </c>
      <c r="F44" s="7" t="str">
        <f>IF($A44&lt;&gt;"",MAXIFS(Token!$C:$C,Token!$A:$A,$D44),)</f>
        <v/>
      </c>
    </row>
    <row r="45">
      <c r="A45" s="39" t="str">
        <f>IF(AND($L45*1&gt;=$G$3,$L45*1&lt;=$G$4,$I45*$J45&gt;0,OR($I45&lt;&gt;$I46,$L45-$L46&gt;25),IF(ABS($I45)&gt;10,$I45/POW(10,$J45),$J45/POW(10,$I45))*MAXIFS(Token!$C:$C,Token!$A:$A,$K45)&gt;0.01),$L45/86400+DATE(1970,1,1)+$G$6,)</f>
        <v/>
      </c>
      <c r="B45" s="27" t="str">
        <f t="shared" si="1"/>
        <v/>
      </c>
      <c r="C45" s="14" t="str">
        <f>IF($A45&lt;&gt;"",MINIFS(Merchant!$A:$A,Merchant!$B:$B,$G$2),)</f>
        <v/>
      </c>
      <c r="D45" s="14" t="str">
        <f t="shared" si="2"/>
        <v/>
      </c>
      <c r="E45" s="14" t="str">
        <f t="shared" si="3"/>
        <v/>
      </c>
      <c r="F45" s="7" t="str">
        <f>IF($A45&lt;&gt;"",MAXIFS(Token!$C:$C,Token!$A:$A,$D45),)</f>
        <v/>
      </c>
    </row>
    <row r="46">
      <c r="A46" s="39" t="str">
        <f>IF(AND($L46*1&gt;=$G$3,$L46*1&lt;=$G$4,$I46*$J46&gt;0,OR($I46&lt;&gt;$I47,$L46-$L47&gt;25),IF(ABS($I46)&gt;10,$I46/POW(10,$J46),$J46/POW(10,$I46))*MAXIFS(Token!$C:$C,Token!$A:$A,$K46)&gt;0.01),$L46/86400+DATE(1970,1,1)+$G$6,)</f>
        <v/>
      </c>
      <c r="B46" s="27" t="str">
        <f t="shared" si="1"/>
        <v/>
      </c>
      <c r="C46" s="14" t="str">
        <f>IF($A46&lt;&gt;"",MINIFS(Merchant!$A:$A,Merchant!$B:$B,$G$2),)</f>
        <v/>
      </c>
      <c r="D46" s="14" t="str">
        <f t="shared" si="2"/>
        <v/>
      </c>
      <c r="E46" s="14" t="str">
        <f t="shared" si="3"/>
        <v/>
      </c>
      <c r="F46" s="7" t="str">
        <f>IF($A46&lt;&gt;"",MAXIFS(Token!$C:$C,Token!$A:$A,$D46),)</f>
        <v/>
      </c>
    </row>
    <row r="47">
      <c r="A47" s="39" t="str">
        <f>IF(AND($L47*1&gt;=$G$3,$L47*1&lt;=$G$4,$I47*$J47&gt;0,OR($I47&lt;&gt;$I48,$L47-$L48&gt;25),IF(ABS($I47)&gt;10,$I47/POW(10,$J47),$J47/POW(10,$I47))*MAXIFS(Token!$C:$C,Token!$A:$A,$K47)&gt;0.01),$L47/86400+DATE(1970,1,1)+$G$6,)</f>
        <v/>
      </c>
      <c r="B47" s="27" t="str">
        <f t="shared" si="1"/>
        <v/>
      </c>
      <c r="C47" s="14" t="str">
        <f>IF($A47&lt;&gt;"",MINIFS(Merchant!$A:$A,Merchant!$B:$B,$G$2),)</f>
        <v/>
      </c>
      <c r="D47" s="14" t="str">
        <f t="shared" si="2"/>
        <v/>
      </c>
      <c r="E47" s="14" t="str">
        <f t="shared" si="3"/>
        <v/>
      </c>
      <c r="F47" s="7" t="str">
        <f>IF($A47&lt;&gt;"",MAXIFS(Token!$C:$C,Token!$A:$A,$D47),)</f>
        <v/>
      </c>
    </row>
    <row r="48">
      <c r="A48" s="39" t="str">
        <f>IF(AND($L48*1&gt;=$G$3,$L48*1&lt;=$G$4,$I48*$J48&gt;0,OR($I48&lt;&gt;$I49,$L48-$L49&gt;25),IF(ABS($I48)&gt;10,$I48/POW(10,$J48),$J48/POW(10,$I48))*MAXIFS(Token!$C:$C,Token!$A:$A,$K48)&gt;0.01),$L48/86400+DATE(1970,1,1)+$G$6,)</f>
        <v/>
      </c>
      <c r="B48" s="27" t="str">
        <f t="shared" si="1"/>
        <v/>
      </c>
      <c r="C48" s="14" t="str">
        <f>IF($A48&lt;&gt;"",MINIFS(Merchant!$A:$A,Merchant!$B:$B,$G$2),)</f>
        <v/>
      </c>
      <c r="D48" s="14" t="str">
        <f t="shared" si="2"/>
        <v/>
      </c>
      <c r="E48" s="14" t="str">
        <f t="shared" si="3"/>
        <v/>
      </c>
      <c r="F48" s="7" t="str">
        <f>IF($A48&lt;&gt;"",MAXIFS(Token!$C:$C,Token!$A:$A,$D48),)</f>
        <v/>
      </c>
    </row>
    <row r="49">
      <c r="A49" s="39" t="str">
        <f>IF(AND($L49*1&gt;=$G$3,$L49*1&lt;=$G$4,$I49*$J49&gt;0,OR($I49&lt;&gt;$I50,$L49-$L50&gt;25),IF(ABS($I49)&gt;10,$I49/POW(10,$J49),$J49/POW(10,$I49))*MAXIFS(Token!$C:$C,Token!$A:$A,$K49)&gt;0.01),$L49/86400+DATE(1970,1,1)+$G$6,)</f>
        <v/>
      </c>
      <c r="B49" s="27" t="str">
        <f t="shared" si="1"/>
        <v/>
      </c>
      <c r="C49" s="14" t="str">
        <f>IF($A49&lt;&gt;"",MINIFS(Merchant!$A:$A,Merchant!$B:$B,$G$2),)</f>
        <v/>
      </c>
      <c r="D49" s="14" t="str">
        <f t="shared" si="2"/>
        <v/>
      </c>
      <c r="E49" s="14" t="str">
        <f t="shared" si="3"/>
        <v/>
      </c>
      <c r="F49" s="7" t="str">
        <f>IF($A49&lt;&gt;"",MAXIFS(Token!$C:$C,Token!$A:$A,$D49),)</f>
        <v/>
      </c>
    </row>
    <row r="50">
      <c r="A50" s="39" t="str">
        <f>IF(AND($L50*1&gt;=$G$3,$L50*1&lt;=$G$4,$I50*$J50&gt;0,OR($I50&lt;&gt;$I51,$L50-$L51&gt;25),IF(ABS($I50)&gt;10,$I50/POW(10,$J50),$J50/POW(10,$I50))*MAXIFS(Token!$C:$C,Token!$A:$A,$K50)&gt;0.01),$L50/86400+DATE(1970,1,1)+$G$6,)</f>
        <v/>
      </c>
      <c r="B50" s="27" t="str">
        <f t="shared" si="1"/>
        <v/>
      </c>
      <c r="C50" s="14" t="str">
        <f>IF($A50&lt;&gt;"",MINIFS(Merchant!$A:$A,Merchant!$B:$B,$G$2),)</f>
        <v/>
      </c>
      <c r="D50" s="14" t="str">
        <f t="shared" si="2"/>
        <v/>
      </c>
      <c r="E50" s="14" t="str">
        <f t="shared" si="3"/>
        <v/>
      </c>
      <c r="F50" s="7" t="str">
        <f>IF($A50&lt;&gt;"",MAXIFS(Token!$C:$C,Token!$A:$A,$D50),)</f>
        <v/>
      </c>
    </row>
    <row r="51">
      <c r="A51" s="39" t="str">
        <f>IF(AND($L51*1&gt;=$G$3,$L51*1&lt;=$G$4,$I51*$J51&gt;0,OR($I51&lt;&gt;$I52,$L51-$L52&gt;25),IF(ABS($I51)&gt;10,$I51/POW(10,$J51),$J51/POW(10,$I51))*MAXIFS(Token!$C:$C,Token!$A:$A,$K51)&gt;0.01),$L51/86400+DATE(1970,1,1)+$G$6,)</f>
        <v/>
      </c>
      <c r="B51" s="27" t="str">
        <f t="shared" si="1"/>
        <v/>
      </c>
      <c r="C51" s="14" t="str">
        <f>IF($A51&lt;&gt;"",MINIFS(Merchant!$A:$A,Merchant!$B:$B,$G$2),)</f>
        <v/>
      </c>
      <c r="D51" s="14" t="str">
        <f t="shared" si="2"/>
        <v/>
      </c>
      <c r="E51" s="14" t="str">
        <f t="shared" si="3"/>
        <v/>
      </c>
      <c r="F51" s="7" t="str">
        <f>IF($A51&lt;&gt;"",MAXIFS(Token!$C:$C,Token!$A:$A,$D51),)</f>
        <v/>
      </c>
    </row>
    <row r="52">
      <c r="A52" s="39" t="str">
        <f>IF(AND($L52*1&gt;=$G$3,$L52*1&lt;=$G$4,$I52*$J52&gt;0,OR($I52&lt;&gt;$I53,$L52-$L53&gt;25),IF(ABS($I52)&gt;10,$I52/POW(10,$J52),$J52/POW(10,$I52))*MAXIFS(Token!$C:$C,Token!$A:$A,$K52)&gt;0.01),$L52/86400+DATE(1970,1,1)+$G$6,)</f>
        <v/>
      </c>
      <c r="B52" s="27" t="str">
        <f t="shared" si="1"/>
        <v/>
      </c>
      <c r="C52" s="14" t="str">
        <f>IF($A52&lt;&gt;"",MINIFS(Merchant!$A:$A,Merchant!$B:$B,$G$2),)</f>
        <v/>
      </c>
      <c r="D52" s="14" t="str">
        <f t="shared" si="2"/>
        <v/>
      </c>
      <c r="E52" s="14" t="str">
        <f t="shared" si="3"/>
        <v/>
      </c>
      <c r="F52" s="7" t="str">
        <f>IF($A52&lt;&gt;"",MAXIFS(Token!$C:$C,Token!$A:$A,$D52),)</f>
        <v/>
      </c>
      <c r="H52" s="6" t="str">
        <f>IFERROR(__xludf.DUMMYFUNCTION("IF(AND($G$11,INDEX(L:L,ROW()-1)*1&gt;$G$3),ImportJSON(""https://public-api.solscan.io/account/splTransfers?account=""&amp;$G$2&amp;IF($G$5,""&amp;fromTime=""&amp;TO_TEXT($G$3)&amp;""&amp;toTime=""&amp;TO_TEXT($G$4),)&amp;""&amp;offset=""&amp;ROW()-2&amp;""&amp;limit=50""&amp;$G$7,TEXTJOIN("","",1,$H$1:$L$1),"&amp;"""noHeaders""),)"),"12")</f>
        <v>12</v>
      </c>
    </row>
    <row r="53">
      <c r="A53" s="39" t="str">
        <f>IF(AND($L53*1&gt;=$G$3,$L53*1&lt;=$G$4,$I53*$J53&gt;0,OR($I53&lt;&gt;$I54,$L53-$L54&gt;25),IF(ABS($I53)&gt;10,$I53/POW(10,$J53),$J53/POW(10,$I53))*MAXIFS(Token!$C:$C,Token!$A:$A,$K53)&gt;0.01),$L53/86400+DATE(1970,1,1)+$G$6,)</f>
        <v/>
      </c>
      <c r="B53" s="27" t="str">
        <f t="shared" si="1"/>
        <v/>
      </c>
      <c r="C53" s="14" t="str">
        <f>IF($A53&lt;&gt;"",MINIFS(Merchant!$A:$A,Merchant!$B:$B,$G$2),)</f>
        <v/>
      </c>
      <c r="D53" s="14" t="str">
        <f t="shared" si="2"/>
        <v/>
      </c>
      <c r="E53" s="14" t="str">
        <f t="shared" si="3"/>
        <v/>
      </c>
      <c r="F53" s="7" t="str">
        <f>IF($A53&lt;&gt;"",MAXIFS(Token!$C:$C,Token!$A:$A,$D53),)</f>
        <v/>
      </c>
    </row>
    <row r="54">
      <c r="A54" s="39" t="str">
        <f>IF(AND($L54*1&gt;=$G$3,$L54*1&lt;=$G$4,$I54*$J54&gt;0,OR($I54&lt;&gt;$I55,$L54-$L55&gt;25),IF(ABS($I54)&gt;10,$I54/POW(10,$J54),$J54/POW(10,$I54))*MAXIFS(Token!$C:$C,Token!$A:$A,$K54)&gt;0.01),$L54/86400+DATE(1970,1,1)+$G$6,)</f>
        <v/>
      </c>
      <c r="B54" s="27" t="str">
        <f t="shared" si="1"/>
        <v/>
      </c>
      <c r="C54" s="14" t="str">
        <f>IF($A54&lt;&gt;"",MINIFS(Merchant!$A:$A,Merchant!$B:$B,$G$2),)</f>
        <v/>
      </c>
      <c r="D54" s="14" t="str">
        <f t="shared" si="2"/>
        <v/>
      </c>
      <c r="E54" s="14" t="str">
        <f t="shared" si="3"/>
        <v/>
      </c>
      <c r="F54" s="7" t="str">
        <f>IF($A54&lt;&gt;"",MAXIFS(Token!$C:$C,Token!$A:$A,$D54),)</f>
        <v/>
      </c>
    </row>
    <row r="55">
      <c r="A55" s="39" t="str">
        <f>IF(AND($L55*1&gt;=$G$3,$L55*1&lt;=$G$4,$I55*$J55&gt;0,OR($I55&lt;&gt;$I56,$L55-$L56&gt;25),IF(ABS($I55)&gt;10,$I55/POW(10,$J55),$J55/POW(10,$I55))*MAXIFS(Token!$C:$C,Token!$A:$A,$K55)&gt;0.01),$L55/86400+DATE(1970,1,1)+$G$6,)</f>
        <v/>
      </c>
      <c r="B55" s="27" t="str">
        <f t="shared" si="1"/>
        <v/>
      </c>
      <c r="C55" s="14" t="str">
        <f>IF($A55&lt;&gt;"",MINIFS(Merchant!$A:$A,Merchant!$B:$B,$G$2),)</f>
        <v/>
      </c>
      <c r="D55" s="14" t="str">
        <f t="shared" si="2"/>
        <v/>
      </c>
      <c r="E55" s="14" t="str">
        <f t="shared" si="3"/>
        <v/>
      </c>
      <c r="F55" s="7" t="str">
        <f>IF($A55&lt;&gt;"",MAXIFS(Token!$C:$C,Token!$A:$A,$D55),)</f>
        <v/>
      </c>
    </row>
    <row r="56">
      <c r="A56" s="39" t="str">
        <f>IF(AND($L56*1&gt;=$G$3,$L56*1&lt;=$G$4,$I56*$J56&gt;0,OR($I56&lt;&gt;$I57,$L56-$L57&gt;25),IF(ABS($I56)&gt;10,$I56/POW(10,$J56),$J56/POW(10,$I56))*MAXIFS(Token!$C:$C,Token!$A:$A,$K56)&gt;0.01),$L56/86400+DATE(1970,1,1)+$G$6,)</f>
        <v/>
      </c>
      <c r="B56" s="27" t="str">
        <f t="shared" si="1"/>
        <v/>
      </c>
      <c r="C56" s="14" t="str">
        <f>IF($A56&lt;&gt;"",MINIFS(Merchant!$A:$A,Merchant!$B:$B,$G$2),)</f>
        <v/>
      </c>
      <c r="D56" s="14" t="str">
        <f t="shared" si="2"/>
        <v/>
      </c>
      <c r="E56" s="14" t="str">
        <f t="shared" si="3"/>
        <v/>
      </c>
      <c r="F56" s="7" t="str">
        <f>IF($A56&lt;&gt;"",MAXIFS(Token!$C:$C,Token!$A:$A,$D56),)</f>
        <v/>
      </c>
    </row>
    <row r="57">
      <c r="A57" s="39" t="str">
        <f>IF(AND($L57*1&gt;=$G$3,$L57*1&lt;=$G$4,$I57*$J57&gt;0,OR($I57&lt;&gt;$I58,$L57-$L58&gt;25),IF(ABS($I57)&gt;10,$I57/POW(10,$J57),$J57/POW(10,$I57))*MAXIFS(Token!$C:$C,Token!$A:$A,$K57)&gt;0.01),$L57/86400+DATE(1970,1,1)+$G$6,)</f>
        <v/>
      </c>
      <c r="B57" s="27" t="str">
        <f t="shared" si="1"/>
        <v/>
      </c>
      <c r="C57" s="14" t="str">
        <f>IF($A57&lt;&gt;"",MINIFS(Merchant!$A:$A,Merchant!$B:$B,$G$2),)</f>
        <v/>
      </c>
      <c r="D57" s="14" t="str">
        <f t="shared" si="2"/>
        <v/>
      </c>
      <c r="E57" s="14" t="str">
        <f t="shared" si="3"/>
        <v/>
      </c>
      <c r="F57" s="7" t="str">
        <f>IF($A57&lt;&gt;"",MAXIFS(Token!$C:$C,Token!$A:$A,$D57),)</f>
        <v/>
      </c>
    </row>
    <row r="58">
      <c r="A58" s="39" t="str">
        <f>IF(AND($L58*1&gt;=$G$3,$L58*1&lt;=$G$4,$I58*$J58&gt;0,OR($I58&lt;&gt;$I59,$L58-$L59&gt;25),IF(ABS($I58)&gt;10,$I58/POW(10,$J58),$J58/POW(10,$I58))*MAXIFS(Token!$C:$C,Token!$A:$A,$K58)&gt;0.01),$L58/86400+DATE(1970,1,1)+$G$6,)</f>
        <v/>
      </c>
      <c r="B58" s="27" t="str">
        <f t="shared" si="1"/>
        <v/>
      </c>
      <c r="C58" s="14" t="str">
        <f>IF($A58&lt;&gt;"",MINIFS(Merchant!$A:$A,Merchant!$B:$B,$G$2),)</f>
        <v/>
      </c>
      <c r="D58" s="14" t="str">
        <f t="shared" si="2"/>
        <v/>
      </c>
      <c r="E58" s="14" t="str">
        <f t="shared" si="3"/>
        <v/>
      </c>
      <c r="F58" s="7" t="str">
        <f>IF($A58&lt;&gt;"",MAXIFS(Token!$C:$C,Token!$A:$A,$D58),)</f>
        <v/>
      </c>
    </row>
    <row r="59">
      <c r="A59" s="39" t="str">
        <f>IF(AND($L59*1&gt;=$G$3,$L59*1&lt;=$G$4,$I59*$J59&gt;0,OR($I59&lt;&gt;$I60,$L59-$L60&gt;25),IF(ABS($I59)&gt;10,$I59/POW(10,$J59),$J59/POW(10,$I59))*MAXIFS(Token!$C:$C,Token!$A:$A,$K59)&gt;0.01),$L59/86400+DATE(1970,1,1)+$G$6,)</f>
        <v/>
      </c>
      <c r="B59" s="27" t="str">
        <f t="shared" si="1"/>
        <v/>
      </c>
      <c r="C59" s="14" t="str">
        <f>IF($A59&lt;&gt;"",MINIFS(Merchant!$A:$A,Merchant!$B:$B,$G$2),)</f>
        <v/>
      </c>
      <c r="D59" s="14" t="str">
        <f t="shared" si="2"/>
        <v/>
      </c>
      <c r="E59" s="14" t="str">
        <f t="shared" si="3"/>
        <v/>
      </c>
      <c r="F59" s="7" t="str">
        <f>IF($A59&lt;&gt;"",MAXIFS(Token!$C:$C,Token!$A:$A,$D59),)</f>
        <v/>
      </c>
    </row>
    <row r="60">
      <c r="A60" s="39" t="str">
        <f>IF(AND($L60*1&gt;=$G$3,$L60*1&lt;=$G$4,$I60*$J60&gt;0,OR($I60&lt;&gt;$I61,$L60-$L61&gt;25),IF(ABS($I60)&gt;10,$I60/POW(10,$J60),$J60/POW(10,$I60))*MAXIFS(Token!$C:$C,Token!$A:$A,$K60)&gt;0.01),$L60/86400+DATE(1970,1,1)+$G$6,)</f>
        <v/>
      </c>
      <c r="B60" s="27" t="str">
        <f t="shared" si="1"/>
        <v/>
      </c>
      <c r="C60" s="14" t="str">
        <f>IF($A60&lt;&gt;"",MINIFS(Merchant!$A:$A,Merchant!$B:$B,$G$2),)</f>
        <v/>
      </c>
      <c r="D60" s="14" t="str">
        <f t="shared" si="2"/>
        <v/>
      </c>
      <c r="E60" s="14" t="str">
        <f t="shared" si="3"/>
        <v/>
      </c>
      <c r="F60" s="7" t="str">
        <f>IF($A60&lt;&gt;"",MAXIFS(Token!$C:$C,Token!$A:$A,$D60),)</f>
        <v/>
      </c>
    </row>
    <row r="61">
      <c r="A61" s="39" t="str">
        <f>IF(AND($L61*1&gt;=$G$3,$L61*1&lt;=$G$4,$I61*$J61&gt;0,OR($I61&lt;&gt;$I62,$L61-$L62&gt;25),IF(ABS($I61)&gt;10,$I61/POW(10,$J61),$J61/POW(10,$I61))*MAXIFS(Token!$C:$C,Token!$A:$A,$K61)&gt;0.01),$L61/86400+DATE(1970,1,1)+$G$6,)</f>
        <v/>
      </c>
      <c r="B61" s="27" t="str">
        <f t="shared" si="1"/>
        <v/>
      </c>
      <c r="C61" s="14" t="str">
        <f>IF($A61&lt;&gt;"",MINIFS(Merchant!$A:$A,Merchant!$B:$B,$G$2),)</f>
        <v/>
      </c>
      <c r="D61" s="14" t="str">
        <f t="shared" si="2"/>
        <v/>
      </c>
      <c r="E61" s="14" t="str">
        <f t="shared" si="3"/>
        <v/>
      </c>
      <c r="F61" s="7" t="str">
        <f>IF($A61&lt;&gt;"",MAXIFS(Token!$C:$C,Token!$A:$A,$D61),)</f>
        <v/>
      </c>
    </row>
    <row r="62">
      <c r="A62" s="39" t="str">
        <f>IF(AND($L62*1&gt;=$G$3,$L62*1&lt;=$G$4,$I62*$J62&gt;0,OR($I62&lt;&gt;$I63,$L62-$L63&gt;25),IF(ABS($I62)&gt;10,$I62/POW(10,$J62),$J62/POW(10,$I62))*MAXIFS(Token!$C:$C,Token!$A:$A,$K62)&gt;0.01),$L62/86400+DATE(1970,1,1)+$G$6,)</f>
        <v/>
      </c>
      <c r="B62" s="27" t="str">
        <f t="shared" si="1"/>
        <v/>
      </c>
      <c r="C62" s="14" t="str">
        <f>IF($A62&lt;&gt;"",MINIFS(Merchant!$A:$A,Merchant!$B:$B,$G$2),)</f>
        <v/>
      </c>
      <c r="D62" s="14" t="str">
        <f t="shared" si="2"/>
        <v/>
      </c>
      <c r="E62" s="14" t="str">
        <f t="shared" si="3"/>
        <v/>
      </c>
      <c r="F62" s="7" t="str">
        <f>IF($A62&lt;&gt;"",MAXIFS(Token!$C:$C,Token!$A:$A,$D62),)</f>
        <v/>
      </c>
    </row>
    <row r="63">
      <c r="A63" s="39" t="str">
        <f>IF(AND($L63*1&gt;=$G$3,$L63*1&lt;=$G$4,$I63*$J63&gt;0,OR($I63&lt;&gt;$I64,$L63-$L64&gt;25),IF(ABS($I63)&gt;10,$I63/POW(10,$J63),$J63/POW(10,$I63))*MAXIFS(Token!$C:$C,Token!$A:$A,$K63)&gt;0.01),$L63/86400+DATE(1970,1,1)+$G$6,)</f>
        <v/>
      </c>
      <c r="B63" s="27" t="str">
        <f t="shared" si="1"/>
        <v/>
      </c>
      <c r="C63" s="14" t="str">
        <f>IF($A63&lt;&gt;"",MINIFS(Merchant!$A:$A,Merchant!$B:$B,$G$2),)</f>
        <v/>
      </c>
      <c r="D63" s="14" t="str">
        <f t="shared" si="2"/>
        <v/>
      </c>
      <c r="E63" s="14" t="str">
        <f t="shared" si="3"/>
        <v/>
      </c>
      <c r="F63" s="7" t="str">
        <f>IF($A63&lt;&gt;"",MAXIFS(Token!$C:$C,Token!$A:$A,$D63),)</f>
        <v/>
      </c>
    </row>
    <row r="64">
      <c r="A64" s="39" t="str">
        <f>IF(AND($L64*1&gt;=$G$3,$L64*1&lt;=$G$4,$I64*$J64&gt;0,OR($I64&lt;&gt;$I65,$L64-$L65&gt;25),IF(ABS($I64)&gt;10,$I64/POW(10,$J64),$J64/POW(10,$I64))*MAXIFS(Token!$C:$C,Token!$A:$A,$K64)&gt;0.01),$L64/86400+DATE(1970,1,1)+$G$6,)</f>
        <v/>
      </c>
      <c r="B64" s="27" t="str">
        <f t="shared" si="1"/>
        <v/>
      </c>
      <c r="C64" s="14" t="str">
        <f>IF($A64&lt;&gt;"",MINIFS(Merchant!$A:$A,Merchant!$B:$B,$G$2),)</f>
        <v/>
      </c>
      <c r="D64" s="14" t="str">
        <f t="shared" si="2"/>
        <v/>
      </c>
      <c r="E64" s="14" t="str">
        <f t="shared" si="3"/>
        <v/>
      </c>
      <c r="F64" s="7" t="str">
        <f>IF($A64&lt;&gt;"",MAXIFS(Token!$C:$C,Token!$A:$A,$D64),)</f>
        <v/>
      </c>
    </row>
    <row r="65">
      <c r="A65" s="39" t="str">
        <f>IF(AND($L65*1&gt;=$G$3,$L65*1&lt;=$G$4,$I65*$J65&gt;0,OR($I65&lt;&gt;$I66,$L65-$L66&gt;25),IF(ABS($I65)&gt;10,$I65/POW(10,$J65),$J65/POW(10,$I65))*MAXIFS(Token!$C:$C,Token!$A:$A,$K65)&gt;0.01),$L65/86400+DATE(1970,1,1)+$G$6,)</f>
        <v/>
      </c>
      <c r="B65" s="27" t="str">
        <f t="shared" si="1"/>
        <v/>
      </c>
      <c r="C65" s="14" t="str">
        <f>IF($A65&lt;&gt;"",MINIFS(Merchant!$A:$A,Merchant!$B:$B,$G$2),)</f>
        <v/>
      </c>
      <c r="D65" s="14" t="str">
        <f t="shared" si="2"/>
        <v/>
      </c>
      <c r="E65" s="14" t="str">
        <f t="shared" si="3"/>
        <v/>
      </c>
      <c r="F65" s="7" t="str">
        <f>IF($A65&lt;&gt;"",MAXIFS(Token!$C:$C,Token!$A:$A,$D65),)</f>
        <v/>
      </c>
    </row>
    <row r="66">
      <c r="A66" s="39" t="str">
        <f>IF(AND($L66*1&gt;=$G$3,$L66*1&lt;=$G$4,$I66*$J66&gt;0,OR($I66&lt;&gt;$I67,$L66-$L67&gt;25),IF(ABS($I66)&gt;10,$I66/POW(10,$J66),$J66/POW(10,$I66))*MAXIFS(Token!$C:$C,Token!$A:$A,$K66)&gt;0.01),$L66/86400+DATE(1970,1,1)+$G$6,)</f>
        <v/>
      </c>
      <c r="B66" s="27" t="str">
        <f t="shared" si="1"/>
        <v/>
      </c>
      <c r="C66" s="14" t="str">
        <f>IF($A66&lt;&gt;"",MINIFS(Merchant!$A:$A,Merchant!$B:$B,$G$2),)</f>
        <v/>
      </c>
      <c r="D66" s="14" t="str">
        <f t="shared" si="2"/>
        <v/>
      </c>
      <c r="E66" s="14" t="str">
        <f t="shared" si="3"/>
        <v/>
      </c>
      <c r="F66" s="7" t="str">
        <f>IF($A66&lt;&gt;"",MAXIFS(Token!$C:$C,Token!$A:$A,$D66),)</f>
        <v/>
      </c>
    </row>
    <row r="67">
      <c r="A67" s="39" t="str">
        <f>IF(AND($L67*1&gt;=$G$3,$L67*1&lt;=$G$4,$I67*$J67&gt;0,OR($I67&lt;&gt;$I68,$L67-$L68&gt;25),IF(ABS($I67)&gt;10,$I67/POW(10,$J67),$J67/POW(10,$I67))*MAXIFS(Token!$C:$C,Token!$A:$A,$K67)&gt;0.01),$L67/86400+DATE(1970,1,1)+$G$6,)</f>
        <v/>
      </c>
      <c r="B67" s="27" t="str">
        <f t="shared" si="1"/>
        <v/>
      </c>
      <c r="C67" s="14" t="str">
        <f>IF($A67&lt;&gt;"",MINIFS(Merchant!$A:$A,Merchant!$B:$B,$G$2),)</f>
        <v/>
      </c>
      <c r="D67" s="14" t="str">
        <f t="shared" si="2"/>
        <v/>
      </c>
      <c r="E67" s="14" t="str">
        <f t="shared" si="3"/>
        <v/>
      </c>
      <c r="F67" s="7" t="str">
        <f>IF($A67&lt;&gt;"",MAXIFS(Token!$C:$C,Token!$A:$A,$D67),)</f>
        <v/>
      </c>
    </row>
    <row r="68">
      <c r="A68" s="39" t="str">
        <f>IF(AND($L68*1&gt;=$G$3,$L68*1&lt;=$G$4,$I68*$J68&gt;0,OR($I68&lt;&gt;$I69,$L68-$L69&gt;25),IF(ABS($I68)&gt;10,$I68/POW(10,$J68),$J68/POW(10,$I68))*MAXIFS(Token!$C:$C,Token!$A:$A,$K68)&gt;0.01),$L68/86400+DATE(1970,1,1)+$G$6,)</f>
        <v/>
      </c>
      <c r="B68" s="27" t="str">
        <f t="shared" si="1"/>
        <v/>
      </c>
      <c r="C68" s="14" t="str">
        <f>IF($A68&lt;&gt;"",MINIFS(Merchant!$A:$A,Merchant!$B:$B,$G$2),)</f>
        <v/>
      </c>
      <c r="D68" s="14" t="str">
        <f t="shared" si="2"/>
        <v/>
      </c>
      <c r="E68" s="14" t="str">
        <f t="shared" si="3"/>
        <v/>
      </c>
      <c r="F68" s="7" t="str">
        <f>IF($A68&lt;&gt;"",MAXIFS(Token!$C:$C,Token!$A:$A,$D68),)</f>
        <v/>
      </c>
    </row>
    <row r="69">
      <c r="A69" s="39" t="str">
        <f>IF(AND($L69*1&gt;=$G$3,$L69*1&lt;=$G$4,$I69*$J69&gt;0,OR($I69&lt;&gt;$I70,$L69-$L70&gt;25),IF(ABS($I69)&gt;10,$I69/POW(10,$J69),$J69/POW(10,$I69))*MAXIFS(Token!$C:$C,Token!$A:$A,$K69)&gt;0.01),$L69/86400+DATE(1970,1,1)+$G$6,)</f>
        <v/>
      </c>
      <c r="B69" s="27" t="str">
        <f t="shared" si="1"/>
        <v/>
      </c>
      <c r="C69" s="14" t="str">
        <f>IF($A69&lt;&gt;"",MINIFS(Merchant!$A:$A,Merchant!$B:$B,$G$2),)</f>
        <v/>
      </c>
      <c r="D69" s="14" t="str">
        <f t="shared" si="2"/>
        <v/>
      </c>
      <c r="E69" s="14" t="str">
        <f t="shared" si="3"/>
        <v/>
      </c>
      <c r="F69" s="7" t="str">
        <f>IF($A69&lt;&gt;"",MAXIFS(Token!$C:$C,Token!$A:$A,$D69),)</f>
        <v/>
      </c>
    </row>
    <row r="70">
      <c r="A70" s="39" t="str">
        <f>IF(AND($L70*1&gt;=$G$3,$L70*1&lt;=$G$4,$I70*$J70&gt;0,OR($I70&lt;&gt;$I71,$L70-$L71&gt;25),IF(ABS($I70)&gt;10,$I70/POW(10,$J70),$J70/POW(10,$I70))*MAXIFS(Token!$C:$C,Token!$A:$A,$K70)&gt;0.01),$L70/86400+DATE(1970,1,1)+$G$6,)</f>
        <v/>
      </c>
      <c r="B70" s="27" t="str">
        <f t="shared" si="1"/>
        <v/>
      </c>
      <c r="C70" s="14" t="str">
        <f>IF($A70&lt;&gt;"",MINIFS(Merchant!$A:$A,Merchant!$B:$B,$G$2),)</f>
        <v/>
      </c>
      <c r="D70" s="14" t="str">
        <f t="shared" si="2"/>
        <v/>
      </c>
      <c r="E70" s="14" t="str">
        <f t="shared" si="3"/>
        <v/>
      </c>
      <c r="F70" s="7" t="str">
        <f>IF($A70&lt;&gt;"",MAXIFS(Token!$C:$C,Token!$A:$A,$D70),)</f>
        <v/>
      </c>
    </row>
    <row r="71">
      <c r="A71" s="39" t="str">
        <f>IF(AND($L71*1&gt;=$G$3,$L71*1&lt;=$G$4,$I71*$J71&gt;0,OR($I71&lt;&gt;$I72,$L71-$L72&gt;25),IF(ABS($I71)&gt;10,$I71/POW(10,$J71),$J71/POW(10,$I71))*MAXIFS(Token!$C:$C,Token!$A:$A,$K71)&gt;0.01),$L71/86400+DATE(1970,1,1)+$G$6,)</f>
        <v/>
      </c>
      <c r="B71" s="27" t="str">
        <f t="shared" si="1"/>
        <v/>
      </c>
      <c r="C71" s="14" t="str">
        <f>IF($A71&lt;&gt;"",MINIFS(Merchant!$A:$A,Merchant!$B:$B,$G$2),)</f>
        <v/>
      </c>
      <c r="D71" s="14" t="str">
        <f t="shared" si="2"/>
        <v/>
      </c>
      <c r="E71" s="14" t="str">
        <f t="shared" si="3"/>
        <v/>
      </c>
      <c r="F71" s="7" t="str">
        <f>IF($A71&lt;&gt;"",MAXIFS(Token!$C:$C,Token!$A:$A,$D71),)</f>
        <v/>
      </c>
    </row>
    <row r="72">
      <c r="A72" s="39" t="str">
        <f>IF(AND($L72*1&gt;=$G$3,$L72*1&lt;=$G$4,$I72*$J72&gt;0,OR($I72&lt;&gt;$I73,$L72-$L73&gt;25),IF(ABS($I72)&gt;10,$I72/POW(10,$J72),$J72/POW(10,$I72))*MAXIFS(Token!$C:$C,Token!$A:$A,$K72)&gt;0.01),$L72/86400+DATE(1970,1,1)+$G$6,)</f>
        <v/>
      </c>
      <c r="B72" s="27" t="str">
        <f t="shared" si="1"/>
        <v/>
      </c>
      <c r="C72" s="14" t="str">
        <f>IF($A72&lt;&gt;"",MINIFS(Merchant!$A:$A,Merchant!$B:$B,$G$2),)</f>
        <v/>
      </c>
      <c r="D72" s="14" t="str">
        <f t="shared" si="2"/>
        <v/>
      </c>
      <c r="E72" s="14" t="str">
        <f t="shared" si="3"/>
        <v/>
      </c>
      <c r="F72" s="7" t="str">
        <f>IF($A72&lt;&gt;"",MAXIFS(Token!$C:$C,Token!$A:$A,$D72),)</f>
        <v/>
      </c>
    </row>
    <row r="73">
      <c r="A73" s="39" t="str">
        <f>IF(AND($L73*1&gt;=$G$3,$L73*1&lt;=$G$4,$I73*$J73&gt;0,OR($I73&lt;&gt;$I74,$L73-$L74&gt;25),IF(ABS($I73)&gt;10,$I73/POW(10,$J73),$J73/POW(10,$I73))*MAXIFS(Token!$C:$C,Token!$A:$A,$K73)&gt;0.01),$L73/86400+DATE(1970,1,1)+$G$6,)</f>
        <v/>
      </c>
      <c r="B73" s="27" t="str">
        <f t="shared" si="1"/>
        <v/>
      </c>
      <c r="C73" s="14" t="str">
        <f>IF($A73&lt;&gt;"",MINIFS(Merchant!$A:$A,Merchant!$B:$B,$G$2),)</f>
        <v/>
      </c>
      <c r="D73" s="14" t="str">
        <f t="shared" si="2"/>
        <v/>
      </c>
      <c r="E73" s="14" t="str">
        <f t="shared" si="3"/>
        <v/>
      </c>
      <c r="F73" s="7" t="str">
        <f>IF($A73&lt;&gt;"",MAXIFS(Token!$C:$C,Token!$A:$A,$D73),)</f>
        <v/>
      </c>
    </row>
    <row r="74">
      <c r="A74" s="39" t="str">
        <f>IF(AND($L74*1&gt;=$G$3,$L74*1&lt;=$G$4,$I74*$J74&gt;0,OR($I74&lt;&gt;$I75,$L74-$L75&gt;25),IF(ABS($I74)&gt;10,$I74/POW(10,$J74),$J74/POW(10,$I74))*MAXIFS(Token!$C:$C,Token!$A:$A,$K74)&gt;0.01),$L74/86400+DATE(1970,1,1)+$G$6,)</f>
        <v/>
      </c>
      <c r="B74" s="27" t="str">
        <f t="shared" si="1"/>
        <v/>
      </c>
      <c r="C74" s="14" t="str">
        <f>IF($A74&lt;&gt;"",MINIFS(Merchant!$A:$A,Merchant!$B:$B,$G$2),)</f>
        <v/>
      </c>
      <c r="D74" s="14" t="str">
        <f t="shared" si="2"/>
        <v/>
      </c>
      <c r="E74" s="14" t="str">
        <f t="shared" si="3"/>
        <v/>
      </c>
      <c r="F74" s="7" t="str">
        <f>IF($A74&lt;&gt;"",MAXIFS(Token!$C:$C,Token!$A:$A,$D74),)</f>
        <v/>
      </c>
    </row>
    <row r="75">
      <c r="A75" s="39" t="str">
        <f>IF(AND($L75*1&gt;=$G$3,$L75*1&lt;=$G$4,$I75*$J75&gt;0,OR($I75&lt;&gt;$I76,$L75-$L76&gt;25),IF(ABS($I75)&gt;10,$I75/POW(10,$J75),$J75/POW(10,$I75))*MAXIFS(Token!$C:$C,Token!$A:$A,$K75)&gt;0.01),$L75/86400+DATE(1970,1,1)+$G$6,)</f>
        <v/>
      </c>
      <c r="B75" s="27" t="str">
        <f t="shared" si="1"/>
        <v/>
      </c>
      <c r="C75" s="14" t="str">
        <f>IF($A75&lt;&gt;"",MINIFS(Merchant!$A:$A,Merchant!$B:$B,$G$2),)</f>
        <v/>
      </c>
      <c r="D75" s="14" t="str">
        <f t="shared" si="2"/>
        <v/>
      </c>
      <c r="E75" s="14" t="str">
        <f t="shared" si="3"/>
        <v/>
      </c>
      <c r="F75" s="7" t="str">
        <f>IF($A75&lt;&gt;"",MAXIFS(Token!$C:$C,Token!$A:$A,$D75),)</f>
        <v/>
      </c>
    </row>
    <row r="76">
      <c r="A76" s="39" t="str">
        <f>IF(AND($L76*1&gt;=$G$3,$L76*1&lt;=$G$4,$I76*$J76&gt;0,OR($I76&lt;&gt;$I77,$L76-$L77&gt;25),IF(ABS($I76)&gt;10,$I76/POW(10,$J76),$J76/POW(10,$I76))*MAXIFS(Token!$C:$C,Token!$A:$A,$K76)&gt;0.01),$L76/86400+DATE(1970,1,1)+$G$6,)</f>
        <v/>
      </c>
      <c r="B76" s="27" t="str">
        <f t="shared" si="1"/>
        <v/>
      </c>
      <c r="C76" s="14" t="str">
        <f>IF($A76&lt;&gt;"",MINIFS(Merchant!$A:$A,Merchant!$B:$B,$G$2),)</f>
        <v/>
      </c>
      <c r="D76" s="14" t="str">
        <f t="shared" si="2"/>
        <v/>
      </c>
      <c r="E76" s="14" t="str">
        <f t="shared" si="3"/>
        <v/>
      </c>
      <c r="F76" s="7" t="str">
        <f>IF($A76&lt;&gt;"",MAXIFS(Token!$C:$C,Token!$A:$A,$D76),)</f>
        <v/>
      </c>
    </row>
    <row r="77">
      <c r="A77" s="39" t="str">
        <f>IF(AND($L77*1&gt;=$G$3,$L77*1&lt;=$G$4,$I77*$J77&gt;0,OR($I77&lt;&gt;$I78,$L77-$L78&gt;25),IF(ABS($I77)&gt;10,$I77/POW(10,$J77),$J77/POW(10,$I77))*MAXIFS(Token!$C:$C,Token!$A:$A,$K77)&gt;0.01),$L77/86400+DATE(1970,1,1)+$G$6,)</f>
        <v/>
      </c>
      <c r="B77" s="27" t="str">
        <f t="shared" si="1"/>
        <v/>
      </c>
      <c r="C77" s="14" t="str">
        <f>IF($A77&lt;&gt;"",MINIFS(Merchant!$A:$A,Merchant!$B:$B,$G$2),)</f>
        <v/>
      </c>
      <c r="D77" s="14" t="str">
        <f t="shared" si="2"/>
        <v/>
      </c>
      <c r="E77" s="14" t="str">
        <f t="shared" si="3"/>
        <v/>
      </c>
      <c r="F77" s="7" t="str">
        <f>IF($A77&lt;&gt;"",MAXIFS(Token!$C:$C,Token!$A:$A,$D77),)</f>
        <v/>
      </c>
    </row>
    <row r="78">
      <c r="A78" s="39" t="str">
        <f>IF(AND($L78*1&gt;=$G$3,$L78*1&lt;=$G$4,$I78*$J78&gt;0,OR($I78&lt;&gt;$I79,$L78-$L79&gt;25),IF(ABS($I78)&gt;10,$I78/POW(10,$J78),$J78/POW(10,$I78))*MAXIFS(Token!$C:$C,Token!$A:$A,$K78)&gt;0.01),$L78/86400+DATE(1970,1,1)+$G$6,)</f>
        <v/>
      </c>
      <c r="B78" s="27" t="str">
        <f t="shared" si="1"/>
        <v/>
      </c>
      <c r="C78" s="14" t="str">
        <f>IF($A78&lt;&gt;"",MINIFS(Merchant!$A:$A,Merchant!$B:$B,$G$2),)</f>
        <v/>
      </c>
      <c r="D78" s="14" t="str">
        <f t="shared" si="2"/>
        <v/>
      </c>
      <c r="E78" s="14" t="str">
        <f t="shared" si="3"/>
        <v/>
      </c>
      <c r="F78" s="7" t="str">
        <f>IF($A78&lt;&gt;"",MAXIFS(Token!$C:$C,Token!$A:$A,$D78),)</f>
        <v/>
      </c>
    </row>
    <row r="79">
      <c r="A79" s="39" t="str">
        <f>IF(AND($L79*1&gt;=$G$3,$L79*1&lt;=$G$4,$I79*$J79&gt;0,OR($I79&lt;&gt;$I80,$L79-$L80&gt;25),IF(ABS($I79)&gt;10,$I79/POW(10,$J79),$J79/POW(10,$I79))*MAXIFS(Token!$C:$C,Token!$A:$A,$K79)&gt;0.01),$L79/86400+DATE(1970,1,1)+$G$6,)</f>
        <v/>
      </c>
      <c r="B79" s="27" t="str">
        <f t="shared" si="1"/>
        <v/>
      </c>
      <c r="C79" s="14" t="str">
        <f>IF($A79&lt;&gt;"",MINIFS(Merchant!$A:$A,Merchant!$B:$B,$G$2),)</f>
        <v/>
      </c>
      <c r="D79" s="14" t="str">
        <f t="shared" si="2"/>
        <v/>
      </c>
      <c r="E79" s="14" t="str">
        <f t="shared" si="3"/>
        <v/>
      </c>
      <c r="F79" s="7" t="str">
        <f>IF($A79&lt;&gt;"",MAXIFS(Token!$C:$C,Token!$A:$A,$D79),)</f>
        <v/>
      </c>
    </row>
    <row r="80">
      <c r="A80" s="39" t="str">
        <f>IF(AND($L80*1&gt;=$G$3,$L80*1&lt;=$G$4,$I80*$J80&gt;0,OR($I80&lt;&gt;$I81,$L80-$L81&gt;25),IF(ABS($I80)&gt;10,$I80/POW(10,$J80),$J80/POW(10,$I80))*MAXIFS(Token!$C:$C,Token!$A:$A,$K80)&gt;0.01),$L80/86400+DATE(1970,1,1)+$G$6,)</f>
        <v/>
      </c>
      <c r="B80" s="27" t="str">
        <f t="shared" si="1"/>
        <v/>
      </c>
      <c r="C80" s="14" t="str">
        <f>IF($A80&lt;&gt;"",MINIFS(Merchant!$A:$A,Merchant!$B:$B,$G$2),)</f>
        <v/>
      </c>
      <c r="D80" s="14" t="str">
        <f t="shared" si="2"/>
        <v/>
      </c>
      <c r="E80" s="14" t="str">
        <f t="shared" si="3"/>
        <v/>
      </c>
      <c r="F80" s="7" t="str">
        <f>IF($A80&lt;&gt;"",MAXIFS(Token!$C:$C,Token!$A:$A,$D80),)</f>
        <v/>
      </c>
    </row>
    <row r="81">
      <c r="A81" s="39" t="str">
        <f>IF(AND($L81*1&gt;=$G$3,$L81*1&lt;=$G$4,$I81*$J81&gt;0,OR($I81&lt;&gt;$I82,$L81-$L82&gt;25),IF(ABS($I81)&gt;10,$I81/POW(10,$J81),$J81/POW(10,$I81))*MAXIFS(Token!$C:$C,Token!$A:$A,$K81)&gt;0.01),$L81/86400+DATE(1970,1,1)+$G$6,)</f>
        <v/>
      </c>
      <c r="B81" s="27" t="str">
        <f t="shared" si="1"/>
        <v/>
      </c>
      <c r="C81" s="14" t="str">
        <f>IF($A81&lt;&gt;"",MINIFS(Merchant!$A:$A,Merchant!$B:$B,$G$2),)</f>
        <v/>
      </c>
      <c r="D81" s="14" t="str">
        <f t="shared" si="2"/>
        <v/>
      </c>
      <c r="E81" s="14" t="str">
        <f t="shared" si="3"/>
        <v/>
      </c>
      <c r="F81" s="7" t="str">
        <f>IF($A81&lt;&gt;"",MAXIFS(Token!$C:$C,Token!$A:$A,$D81),)</f>
        <v/>
      </c>
    </row>
    <row r="82">
      <c r="A82" s="39" t="str">
        <f>IF(AND($L82*1&gt;=$G$3,$L82*1&lt;=$G$4,$I82*$J82&gt;0,OR($I82&lt;&gt;$I83,$L82-$L83&gt;25),IF(ABS($I82)&gt;10,$I82/POW(10,$J82),$J82/POW(10,$I82))*MAXIFS(Token!$C:$C,Token!$A:$A,$K82)&gt;0.01),$L82/86400+DATE(1970,1,1)+$G$6,)</f>
        <v/>
      </c>
      <c r="B82" s="27" t="str">
        <f t="shared" si="1"/>
        <v/>
      </c>
      <c r="C82" s="14" t="str">
        <f>IF($A82&lt;&gt;"",MINIFS(Merchant!$A:$A,Merchant!$B:$B,$G$2),)</f>
        <v/>
      </c>
      <c r="D82" s="14" t="str">
        <f t="shared" si="2"/>
        <v/>
      </c>
      <c r="E82" s="14" t="str">
        <f t="shared" si="3"/>
        <v/>
      </c>
      <c r="F82" s="7" t="str">
        <f>IF($A82&lt;&gt;"",MAXIFS(Token!$C:$C,Token!$A:$A,$D82),)</f>
        <v/>
      </c>
    </row>
    <row r="83">
      <c r="A83" s="39" t="str">
        <f>IF(AND($L83*1&gt;=$G$3,$L83*1&lt;=$G$4,$I83*$J83&gt;0,OR($I83&lt;&gt;$I84,$L83-$L84&gt;25),IF(ABS($I83)&gt;10,$I83/POW(10,$J83),$J83/POW(10,$I83))*MAXIFS(Token!$C:$C,Token!$A:$A,$K83)&gt;0.01),$L83/86400+DATE(1970,1,1)+$G$6,)</f>
        <v/>
      </c>
      <c r="B83" s="27" t="str">
        <f t="shared" si="1"/>
        <v/>
      </c>
      <c r="C83" s="14" t="str">
        <f>IF($A83&lt;&gt;"",MINIFS(Merchant!$A:$A,Merchant!$B:$B,$G$2),)</f>
        <v/>
      </c>
      <c r="D83" s="14" t="str">
        <f t="shared" si="2"/>
        <v/>
      </c>
      <c r="E83" s="14" t="str">
        <f t="shared" si="3"/>
        <v/>
      </c>
      <c r="F83" s="7" t="str">
        <f>IF($A83&lt;&gt;"",MAXIFS(Token!$C:$C,Token!$A:$A,$D83),)</f>
        <v/>
      </c>
    </row>
    <row r="84">
      <c r="A84" s="39" t="str">
        <f>IF(AND($L84*1&gt;=$G$3,$L84*1&lt;=$G$4,$I84*$J84&gt;0,OR($I84&lt;&gt;$I85,$L84-$L85&gt;25),IF(ABS($I84)&gt;10,$I84/POW(10,$J84),$J84/POW(10,$I84))*MAXIFS(Token!$C:$C,Token!$A:$A,$K84)&gt;0.01),$L84/86400+DATE(1970,1,1)+$G$6,)</f>
        <v/>
      </c>
      <c r="B84" s="27" t="str">
        <f t="shared" si="1"/>
        <v/>
      </c>
      <c r="C84" s="14" t="str">
        <f>IF($A84&lt;&gt;"",MINIFS(Merchant!$A:$A,Merchant!$B:$B,$G$2),)</f>
        <v/>
      </c>
      <c r="D84" s="14" t="str">
        <f t="shared" si="2"/>
        <v/>
      </c>
      <c r="E84" s="14" t="str">
        <f t="shared" si="3"/>
        <v/>
      </c>
      <c r="F84" s="7" t="str">
        <f>IF($A84&lt;&gt;"",MAXIFS(Token!$C:$C,Token!$A:$A,$D84),)</f>
        <v/>
      </c>
    </row>
    <row r="85">
      <c r="A85" s="39" t="str">
        <f>IF(AND($L85*1&gt;=$G$3,$L85*1&lt;=$G$4,$I85*$J85&gt;0,OR($I85&lt;&gt;$I86,$L85-$L86&gt;25),IF(ABS($I85)&gt;10,$I85/POW(10,$J85),$J85/POW(10,$I85))*MAXIFS(Token!$C:$C,Token!$A:$A,$K85)&gt;0.01),$L85/86400+DATE(1970,1,1)+$G$6,)</f>
        <v/>
      </c>
      <c r="B85" s="27" t="str">
        <f t="shared" si="1"/>
        <v/>
      </c>
      <c r="C85" s="14" t="str">
        <f>IF($A85&lt;&gt;"",MINIFS(Merchant!$A:$A,Merchant!$B:$B,$G$2),)</f>
        <v/>
      </c>
      <c r="D85" s="14" t="str">
        <f t="shared" si="2"/>
        <v/>
      </c>
      <c r="E85" s="14" t="str">
        <f t="shared" si="3"/>
        <v/>
      </c>
      <c r="F85" s="7" t="str">
        <f>IF($A85&lt;&gt;"",MAXIFS(Token!$C:$C,Token!$A:$A,$D85),)</f>
        <v/>
      </c>
    </row>
    <row r="86">
      <c r="A86" s="39" t="str">
        <f>IF(AND($L86*1&gt;=$G$3,$L86*1&lt;=$G$4,$I86*$J86&gt;0,OR($I86&lt;&gt;$I87,$L86-$L87&gt;25),IF(ABS($I86)&gt;10,$I86/POW(10,$J86),$J86/POW(10,$I86))*MAXIFS(Token!$C:$C,Token!$A:$A,$K86)&gt;0.01),$L86/86400+DATE(1970,1,1)+$G$6,)</f>
        <v/>
      </c>
      <c r="B86" s="27" t="str">
        <f t="shared" si="1"/>
        <v/>
      </c>
      <c r="C86" s="14" t="str">
        <f>IF($A86&lt;&gt;"",MINIFS(Merchant!$A:$A,Merchant!$B:$B,$G$2),)</f>
        <v/>
      </c>
      <c r="D86" s="14" t="str">
        <f t="shared" si="2"/>
        <v/>
      </c>
      <c r="E86" s="14" t="str">
        <f t="shared" si="3"/>
        <v/>
      </c>
      <c r="F86" s="7" t="str">
        <f>IF($A86&lt;&gt;"",MAXIFS(Token!$C:$C,Token!$A:$A,$D86),)</f>
        <v/>
      </c>
    </row>
    <row r="87">
      <c r="A87" s="39" t="str">
        <f>IF(AND($L87*1&gt;=$G$3,$L87*1&lt;=$G$4,$I87*$J87&gt;0,OR($I87&lt;&gt;$I88,$L87-$L88&gt;25),IF(ABS($I87)&gt;10,$I87/POW(10,$J87),$J87/POW(10,$I87))*MAXIFS(Token!$C:$C,Token!$A:$A,$K87)&gt;0.01),$L87/86400+DATE(1970,1,1)+$G$6,)</f>
        <v/>
      </c>
      <c r="B87" s="27" t="str">
        <f t="shared" si="1"/>
        <v/>
      </c>
      <c r="C87" s="14" t="str">
        <f>IF($A87&lt;&gt;"",MINIFS(Merchant!$A:$A,Merchant!$B:$B,$G$2),)</f>
        <v/>
      </c>
      <c r="D87" s="14" t="str">
        <f t="shared" si="2"/>
        <v/>
      </c>
      <c r="E87" s="14" t="str">
        <f t="shared" si="3"/>
        <v/>
      </c>
      <c r="F87" s="7" t="str">
        <f>IF($A87&lt;&gt;"",MAXIFS(Token!$C:$C,Token!$A:$A,$D87),)</f>
        <v/>
      </c>
    </row>
    <row r="88">
      <c r="A88" s="39" t="str">
        <f>IF(AND($L88*1&gt;=$G$3,$L88*1&lt;=$G$4,$I88*$J88&gt;0,OR($I88&lt;&gt;$I89,$L88-$L89&gt;25),IF(ABS($I88)&gt;10,$I88/POW(10,$J88),$J88/POW(10,$I88))*MAXIFS(Token!$C:$C,Token!$A:$A,$K88)&gt;0.01),$L88/86400+DATE(1970,1,1)+$G$6,)</f>
        <v/>
      </c>
      <c r="B88" s="27" t="str">
        <f t="shared" si="1"/>
        <v/>
      </c>
      <c r="C88" s="14" t="str">
        <f>IF($A88&lt;&gt;"",MINIFS(Merchant!$A:$A,Merchant!$B:$B,$G$2),)</f>
        <v/>
      </c>
      <c r="D88" s="14" t="str">
        <f t="shared" si="2"/>
        <v/>
      </c>
      <c r="E88" s="14" t="str">
        <f t="shared" si="3"/>
        <v/>
      </c>
      <c r="F88" s="7" t="str">
        <f>IF($A88&lt;&gt;"",MAXIFS(Token!$C:$C,Token!$A:$A,$D88),)</f>
        <v/>
      </c>
    </row>
    <row r="89">
      <c r="A89" s="39" t="str">
        <f>IF(AND($L89*1&gt;=$G$3,$L89*1&lt;=$G$4,$I89*$J89&gt;0,OR($I89&lt;&gt;$I90,$L89-$L90&gt;25),IF(ABS($I89)&gt;10,$I89/POW(10,$J89),$J89/POW(10,$I89))*MAXIFS(Token!$C:$C,Token!$A:$A,$K89)&gt;0.01),$L89/86400+DATE(1970,1,1)+$G$6,)</f>
        <v/>
      </c>
      <c r="B89" s="27" t="str">
        <f t="shared" si="1"/>
        <v/>
      </c>
      <c r="C89" s="14" t="str">
        <f>IF($A89&lt;&gt;"",MINIFS(Merchant!$A:$A,Merchant!$B:$B,$G$2),)</f>
        <v/>
      </c>
      <c r="D89" s="14" t="str">
        <f t="shared" si="2"/>
        <v/>
      </c>
      <c r="E89" s="14" t="str">
        <f t="shared" si="3"/>
        <v/>
      </c>
      <c r="F89" s="7" t="str">
        <f>IF($A89&lt;&gt;"",MAXIFS(Token!$C:$C,Token!$A:$A,$D89),)</f>
        <v/>
      </c>
    </row>
    <row r="90">
      <c r="A90" s="39" t="str">
        <f>IF(AND($L90*1&gt;=$G$3,$L90*1&lt;=$G$4,$I90*$J90&gt;0,OR($I90&lt;&gt;$I91,$L90-$L91&gt;25),IF(ABS($I90)&gt;10,$I90/POW(10,$J90),$J90/POW(10,$I90))*MAXIFS(Token!$C:$C,Token!$A:$A,$K90)&gt;0.01),$L90/86400+DATE(1970,1,1)+$G$6,)</f>
        <v/>
      </c>
      <c r="B90" s="27" t="str">
        <f t="shared" si="1"/>
        <v/>
      </c>
      <c r="C90" s="14" t="str">
        <f>IF($A90&lt;&gt;"",MINIFS(Merchant!$A:$A,Merchant!$B:$B,$G$2),)</f>
        <v/>
      </c>
      <c r="D90" s="14" t="str">
        <f t="shared" si="2"/>
        <v/>
      </c>
      <c r="E90" s="14" t="str">
        <f t="shared" si="3"/>
        <v/>
      </c>
      <c r="F90" s="7" t="str">
        <f>IF($A90&lt;&gt;"",MAXIFS(Token!$C:$C,Token!$A:$A,$D90),)</f>
        <v/>
      </c>
    </row>
    <row r="91">
      <c r="A91" s="39" t="str">
        <f>IF(AND($L91*1&gt;=$G$3,$L91*1&lt;=$G$4,$I91*$J91&gt;0,OR($I91&lt;&gt;$I92,$L91-$L92&gt;25),IF(ABS($I91)&gt;10,$I91/POW(10,$J91),$J91/POW(10,$I91))*MAXIFS(Token!$C:$C,Token!$A:$A,$K91)&gt;0.01),$L91/86400+DATE(1970,1,1)+$G$6,)</f>
        <v/>
      </c>
      <c r="B91" s="27" t="str">
        <f t="shared" si="1"/>
        <v/>
      </c>
      <c r="C91" s="14" t="str">
        <f>IF($A91&lt;&gt;"",MINIFS(Merchant!$A:$A,Merchant!$B:$B,$G$2),)</f>
        <v/>
      </c>
      <c r="D91" s="14" t="str">
        <f t="shared" si="2"/>
        <v/>
      </c>
      <c r="E91" s="14" t="str">
        <f t="shared" si="3"/>
        <v/>
      </c>
      <c r="F91" s="7" t="str">
        <f>IF($A91&lt;&gt;"",MAXIFS(Token!$C:$C,Token!$A:$A,$D91),)</f>
        <v/>
      </c>
    </row>
    <row r="92">
      <c r="A92" s="39" t="str">
        <f>IF(AND($L92*1&gt;=$G$3,$L92*1&lt;=$G$4,$I92*$J92&gt;0,OR($I92&lt;&gt;$I93,$L92-$L93&gt;25),IF(ABS($I92)&gt;10,$I92/POW(10,$J92),$J92/POW(10,$I92))*MAXIFS(Token!$C:$C,Token!$A:$A,$K92)&gt;0.01),$L92/86400+DATE(1970,1,1)+$G$6,)</f>
        <v/>
      </c>
      <c r="B92" s="27" t="str">
        <f t="shared" si="1"/>
        <v/>
      </c>
      <c r="C92" s="14" t="str">
        <f>IF($A92&lt;&gt;"",MINIFS(Merchant!$A:$A,Merchant!$B:$B,$G$2),)</f>
        <v/>
      </c>
      <c r="D92" s="14" t="str">
        <f t="shared" si="2"/>
        <v/>
      </c>
      <c r="E92" s="14" t="str">
        <f t="shared" si="3"/>
        <v/>
      </c>
      <c r="F92" s="7" t="str">
        <f>IF($A92&lt;&gt;"",MAXIFS(Token!$C:$C,Token!$A:$A,$D92),)</f>
        <v/>
      </c>
    </row>
    <row r="93">
      <c r="A93" s="39" t="str">
        <f>IF(AND($L93*1&gt;=$G$3,$L93*1&lt;=$G$4,$I93*$J93&gt;0,OR($I93&lt;&gt;$I94,$L93-$L94&gt;25),IF(ABS($I93)&gt;10,$I93/POW(10,$J93),$J93/POW(10,$I93))*MAXIFS(Token!$C:$C,Token!$A:$A,$K93)&gt;0.01),$L93/86400+DATE(1970,1,1)+$G$6,)</f>
        <v/>
      </c>
      <c r="B93" s="27" t="str">
        <f t="shared" si="1"/>
        <v/>
      </c>
      <c r="C93" s="14" t="str">
        <f>IF($A93&lt;&gt;"",MINIFS(Merchant!$A:$A,Merchant!$B:$B,$G$2),)</f>
        <v/>
      </c>
      <c r="D93" s="14" t="str">
        <f t="shared" si="2"/>
        <v/>
      </c>
      <c r="E93" s="14" t="str">
        <f t="shared" si="3"/>
        <v/>
      </c>
      <c r="F93" s="7" t="str">
        <f>IF($A93&lt;&gt;"",MAXIFS(Token!$C:$C,Token!$A:$A,$D93),)</f>
        <v/>
      </c>
    </row>
    <row r="94">
      <c r="A94" s="39" t="str">
        <f>IF(AND($L94*1&gt;=$G$3,$L94*1&lt;=$G$4,$I94*$J94&gt;0,OR($I94&lt;&gt;$I95,$L94-$L95&gt;25),IF(ABS($I94)&gt;10,$I94/POW(10,$J94),$J94/POW(10,$I94))*MAXIFS(Token!$C:$C,Token!$A:$A,$K94)&gt;0.01),$L94/86400+DATE(1970,1,1)+$G$6,)</f>
        <v/>
      </c>
      <c r="B94" s="27" t="str">
        <f t="shared" si="1"/>
        <v/>
      </c>
      <c r="C94" s="14" t="str">
        <f>IF($A94&lt;&gt;"",MINIFS(Merchant!$A:$A,Merchant!$B:$B,$G$2),)</f>
        <v/>
      </c>
      <c r="D94" s="14" t="str">
        <f t="shared" si="2"/>
        <v/>
      </c>
      <c r="E94" s="14" t="str">
        <f t="shared" si="3"/>
        <v/>
      </c>
      <c r="F94" s="7" t="str">
        <f>IF($A94&lt;&gt;"",MAXIFS(Token!$C:$C,Token!$A:$A,$D94),)</f>
        <v/>
      </c>
    </row>
    <row r="95">
      <c r="A95" s="39" t="str">
        <f>IF(AND($L95*1&gt;=$G$3,$L95*1&lt;=$G$4,$I95*$J95&gt;0,OR($I95&lt;&gt;$I96,$L95-$L96&gt;25),IF(ABS($I95)&gt;10,$I95/POW(10,$J95),$J95/POW(10,$I95))*MAXIFS(Token!$C:$C,Token!$A:$A,$K95)&gt;0.01),$L95/86400+DATE(1970,1,1)+$G$6,)</f>
        <v/>
      </c>
      <c r="B95" s="27" t="str">
        <f t="shared" si="1"/>
        <v/>
      </c>
      <c r="C95" s="14" t="str">
        <f>IF($A95&lt;&gt;"",MINIFS(Merchant!$A:$A,Merchant!$B:$B,$G$2),)</f>
        <v/>
      </c>
      <c r="D95" s="14" t="str">
        <f t="shared" si="2"/>
        <v/>
      </c>
      <c r="E95" s="14" t="str">
        <f t="shared" si="3"/>
        <v/>
      </c>
      <c r="F95" s="7" t="str">
        <f>IF($A95&lt;&gt;"",MAXIFS(Token!$C:$C,Token!$A:$A,$D95),)</f>
        <v/>
      </c>
    </row>
    <row r="96">
      <c r="A96" s="39" t="str">
        <f>IF(AND($L96*1&gt;=$G$3,$L96*1&lt;=$G$4,$I96*$J96&gt;0,OR($I96&lt;&gt;$I97,$L96-$L97&gt;25),IF(ABS($I96)&gt;10,$I96/POW(10,$J96),$J96/POW(10,$I96))*MAXIFS(Token!$C:$C,Token!$A:$A,$K96)&gt;0.01),$L96/86400+DATE(1970,1,1)+$G$6,)</f>
        <v/>
      </c>
      <c r="B96" s="27" t="str">
        <f t="shared" si="1"/>
        <v/>
      </c>
      <c r="C96" s="14" t="str">
        <f>IF($A96&lt;&gt;"",MINIFS(Merchant!$A:$A,Merchant!$B:$B,$G$2),)</f>
        <v/>
      </c>
      <c r="D96" s="14" t="str">
        <f t="shared" si="2"/>
        <v/>
      </c>
      <c r="E96" s="14" t="str">
        <f t="shared" si="3"/>
        <v/>
      </c>
      <c r="F96" s="7" t="str">
        <f>IF($A96&lt;&gt;"",MAXIFS(Token!$C:$C,Token!$A:$A,$D96),)</f>
        <v/>
      </c>
    </row>
    <row r="97">
      <c r="A97" s="39" t="str">
        <f>IF(AND($L97*1&gt;=$G$3,$L97*1&lt;=$G$4,$I97*$J97&gt;0,OR($I97&lt;&gt;$I98,$L97-$L98&gt;25),IF(ABS($I97)&gt;10,$I97/POW(10,$J97),$J97/POW(10,$I97))*MAXIFS(Token!$C:$C,Token!$A:$A,$K97)&gt;0.01),$L97/86400+DATE(1970,1,1)+$G$6,)</f>
        <v/>
      </c>
      <c r="B97" s="27" t="str">
        <f t="shared" si="1"/>
        <v/>
      </c>
      <c r="C97" s="14" t="str">
        <f>IF($A97&lt;&gt;"",MINIFS(Merchant!$A:$A,Merchant!$B:$B,$G$2),)</f>
        <v/>
      </c>
      <c r="D97" s="14" t="str">
        <f t="shared" si="2"/>
        <v/>
      </c>
      <c r="E97" s="14" t="str">
        <f t="shared" si="3"/>
        <v/>
      </c>
      <c r="F97" s="7" t="str">
        <f>IF($A97&lt;&gt;"",MAXIFS(Token!$C:$C,Token!$A:$A,$D97),)</f>
        <v/>
      </c>
    </row>
    <row r="98">
      <c r="A98" s="39" t="str">
        <f>IF(AND($L98*1&gt;=$G$3,$L98*1&lt;=$G$4,$I98*$J98&gt;0,OR($I98&lt;&gt;$I99,$L98-$L99&gt;25),IF(ABS($I98)&gt;10,$I98/POW(10,$J98),$J98/POW(10,$I98))*MAXIFS(Token!$C:$C,Token!$A:$A,$K98)&gt;0.01),$L98/86400+DATE(1970,1,1)+$G$6,)</f>
        <v/>
      </c>
      <c r="B98" s="27" t="str">
        <f t="shared" si="1"/>
        <v/>
      </c>
      <c r="C98" s="14" t="str">
        <f>IF($A98&lt;&gt;"",MINIFS(Merchant!$A:$A,Merchant!$B:$B,$G$2),)</f>
        <v/>
      </c>
      <c r="D98" s="14" t="str">
        <f t="shared" si="2"/>
        <v/>
      </c>
      <c r="E98" s="14" t="str">
        <f t="shared" si="3"/>
        <v/>
      </c>
      <c r="F98" s="7" t="str">
        <f>IF($A98&lt;&gt;"",MAXIFS(Token!$C:$C,Token!$A:$A,$D98),)</f>
        <v/>
      </c>
    </row>
    <row r="99">
      <c r="A99" s="39" t="str">
        <f>IF(AND($L99*1&gt;=$G$3,$L99*1&lt;=$G$4,$I99*$J99&gt;0,OR($I99&lt;&gt;$I100,$L99-$L100&gt;25),IF(ABS($I99)&gt;10,$I99/POW(10,$J99),$J99/POW(10,$I99))*MAXIFS(Token!$C:$C,Token!$A:$A,$K99)&gt;0.01),$L99/86400+DATE(1970,1,1)+$G$6,)</f>
        <v/>
      </c>
      <c r="B99" s="27" t="str">
        <f t="shared" si="1"/>
        <v/>
      </c>
      <c r="C99" s="14" t="str">
        <f>IF($A99&lt;&gt;"",MINIFS(Merchant!$A:$A,Merchant!$B:$B,$G$2),)</f>
        <v/>
      </c>
      <c r="D99" s="14" t="str">
        <f t="shared" si="2"/>
        <v/>
      </c>
      <c r="E99" s="14" t="str">
        <f t="shared" si="3"/>
        <v/>
      </c>
      <c r="F99" s="7" t="str">
        <f>IF($A99&lt;&gt;"",MAXIFS(Token!$C:$C,Token!$A:$A,$D99),)</f>
        <v/>
      </c>
    </row>
    <row r="100">
      <c r="A100" s="39" t="str">
        <f>IF(AND($L100*1&gt;=$G$3,$L100*1&lt;=$G$4,$I100*$J100&gt;0,OR($I100&lt;&gt;$I101,$L100-$L101&gt;25),IF(ABS($I100)&gt;10,$I100/POW(10,$J100),$J100/POW(10,$I100))*MAXIFS(Token!$C:$C,Token!$A:$A,$K100)&gt;0.01),$L100/86400+DATE(1970,1,1)+$G$6,)</f>
        <v/>
      </c>
      <c r="B100" s="27" t="str">
        <f t="shared" si="1"/>
        <v/>
      </c>
      <c r="C100" s="14" t="str">
        <f>IF($A100&lt;&gt;"",MINIFS(Merchant!$A:$A,Merchant!$B:$B,$G$2),)</f>
        <v/>
      </c>
      <c r="D100" s="14" t="str">
        <f t="shared" si="2"/>
        <v/>
      </c>
      <c r="E100" s="14" t="str">
        <f t="shared" si="3"/>
        <v/>
      </c>
      <c r="F100" s="7" t="str">
        <f>IF($A100&lt;&gt;"",MAXIFS(Token!$C:$C,Token!$A:$A,$D100),)</f>
        <v/>
      </c>
    </row>
    <row r="101">
      <c r="A101" s="39" t="str">
        <f>IF(AND($L101*1&gt;=$G$3,$L101*1&lt;=$G$4,$I101*$J101&gt;0,OR($I101&lt;&gt;$I102,$L101-$L102&gt;25),IF(ABS($I101)&gt;10,$I101/POW(10,$J101),$J101/POW(10,$I101))*MAXIFS(Token!$C:$C,Token!$A:$A,$K101)&gt;0.01),$L101/86400+DATE(1970,1,1)+$G$6,)</f>
        <v/>
      </c>
      <c r="B101" s="27" t="str">
        <f t="shared" si="1"/>
        <v/>
      </c>
      <c r="C101" s="14" t="str">
        <f>IF($A101&lt;&gt;"",MINIFS(Merchant!$A:$A,Merchant!$B:$B,$G$2),)</f>
        <v/>
      </c>
      <c r="D101" s="14" t="str">
        <f t="shared" si="2"/>
        <v/>
      </c>
      <c r="E101" s="14" t="str">
        <f t="shared" si="3"/>
        <v/>
      </c>
      <c r="F101" s="7" t="str">
        <f>IF($A101&lt;&gt;"",MAXIFS(Token!$C:$C,Token!$A:$A,$D101),)</f>
        <v/>
      </c>
    </row>
    <row r="102">
      <c r="A102" s="39" t="str">
        <f>IF(AND($L102*1&gt;=$G$3,$L102*1&lt;=$G$4,$I102*$J102&gt;0,OR($I102&lt;&gt;$I103,$L102-$L103&gt;25),IF(ABS($I102)&gt;10,$I102/POW(10,$J102),$J102/POW(10,$I102))*MAXIFS(Token!$C:$C,Token!$A:$A,$K102)&gt;0.01),$L102/86400+DATE(1970,1,1)+$G$6,)</f>
        <v/>
      </c>
      <c r="B102" s="27" t="str">
        <f t="shared" si="1"/>
        <v/>
      </c>
      <c r="C102" s="14" t="str">
        <f>IF($A102&lt;&gt;"",MINIFS(Merchant!$A:$A,Merchant!$B:$B,$G$2),)</f>
        <v/>
      </c>
      <c r="D102" s="14" t="str">
        <f t="shared" si="2"/>
        <v/>
      </c>
      <c r="E102" s="14" t="str">
        <f t="shared" si="3"/>
        <v/>
      </c>
      <c r="F102" s="7" t="str">
        <f>IF($A102&lt;&gt;"",MAXIFS(Token!$C:$C,Token!$A:$A,$D102),)</f>
        <v/>
      </c>
    </row>
    <row r="103">
      <c r="A103" s="39" t="str">
        <f>IF(AND($L103*1&gt;=$G$3,$L103*1&lt;=$G$4,$I103*$J103&gt;0,OR($I103&lt;&gt;$I104,$L103-$L104&gt;25),IF(ABS($I103)&gt;10,$I103/POW(10,$J103),$J103/POW(10,$I103))*MAXIFS(Token!$C:$C,Token!$A:$A,$K103)&gt;0.01),$L103/86400+DATE(1970,1,1)+$G$6,)</f>
        <v/>
      </c>
      <c r="B103" s="27" t="str">
        <f t="shared" si="1"/>
        <v/>
      </c>
      <c r="C103" s="14" t="str">
        <f>IF($A103&lt;&gt;"",MINIFS(Merchant!$A:$A,Merchant!$B:$B,$G$2),)</f>
        <v/>
      </c>
      <c r="D103" s="14" t="str">
        <f t="shared" si="2"/>
        <v/>
      </c>
      <c r="E103" s="14" t="str">
        <f t="shared" si="3"/>
        <v/>
      </c>
      <c r="F103" s="7" t="str">
        <f>IF($A103&lt;&gt;"",MAXIFS(Token!$C:$C,Token!$A:$A,$D103),)</f>
        <v/>
      </c>
    </row>
    <row r="104">
      <c r="A104" s="39" t="str">
        <f>IF(AND($L104*1&gt;=$G$3,$L104*1&lt;=$G$4,$I104*$J104&gt;0,OR($I104&lt;&gt;$I105,$L104-$L105&gt;25),IF(ABS($I104)&gt;10,$I104/POW(10,$J104),$J104/POW(10,$I104))*MAXIFS(Token!$C:$C,Token!$A:$A,$K104)&gt;0.01),$L104/86400+DATE(1970,1,1)+$G$6,)</f>
        <v/>
      </c>
      <c r="B104" s="27" t="str">
        <f t="shared" si="1"/>
        <v/>
      </c>
      <c r="C104" s="14" t="str">
        <f>IF($A104&lt;&gt;"",MINIFS(Merchant!$A:$A,Merchant!$B:$B,$G$2),)</f>
        <v/>
      </c>
      <c r="D104" s="14" t="str">
        <f t="shared" si="2"/>
        <v/>
      </c>
      <c r="E104" s="14" t="str">
        <f t="shared" si="3"/>
        <v/>
      </c>
      <c r="F104" s="7" t="str">
        <f>IF($A104&lt;&gt;"",MAXIFS(Token!$C:$C,Token!$A:$A,$D104),)</f>
        <v/>
      </c>
    </row>
    <row r="105">
      <c r="A105" s="39" t="str">
        <f>IF(AND($L105*1&gt;=$G$3,$L105*1&lt;=$G$4,$I105*$J105&gt;0,OR($I105&lt;&gt;$I106,$L105-$L106&gt;25),IF(ABS($I105)&gt;10,$I105/POW(10,$J105),$J105/POW(10,$I105))*MAXIFS(Token!$C:$C,Token!$A:$A,$K105)&gt;0.01),$L105/86400+DATE(1970,1,1)+$G$6,)</f>
        <v/>
      </c>
      <c r="B105" s="27" t="str">
        <f t="shared" si="1"/>
        <v/>
      </c>
      <c r="C105" s="14" t="str">
        <f>IF($A105&lt;&gt;"",MINIFS(Merchant!$A:$A,Merchant!$B:$B,$G$2),)</f>
        <v/>
      </c>
      <c r="D105" s="14" t="str">
        <f t="shared" si="2"/>
        <v/>
      </c>
      <c r="E105" s="14" t="str">
        <f t="shared" si="3"/>
        <v/>
      </c>
      <c r="F105" s="7" t="str">
        <f>IF($A105&lt;&gt;"",MAXIFS(Token!$C:$C,Token!$A:$A,$D105),)</f>
        <v/>
      </c>
    </row>
    <row r="106">
      <c r="A106" s="39" t="str">
        <f>IF(AND($L106*1&gt;=$G$3,$L106*1&lt;=$G$4,$I106*$J106&gt;0,OR($I106&lt;&gt;$I107,$L106-$L107&gt;25),IF(ABS($I106)&gt;10,$I106/POW(10,$J106),$J106/POW(10,$I106))*MAXIFS(Token!$C:$C,Token!$A:$A,$K106)&gt;0.01),$L106/86400+DATE(1970,1,1)+$G$6,)</f>
        <v/>
      </c>
      <c r="B106" s="27" t="str">
        <f t="shared" si="1"/>
        <v/>
      </c>
      <c r="C106" s="14" t="str">
        <f>IF($A106&lt;&gt;"",MINIFS(Merchant!$A:$A,Merchant!$B:$B,$G$2),)</f>
        <v/>
      </c>
      <c r="D106" s="14" t="str">
        <f t="shared" si="2"/>
        <v/>
      </c>
      <c r="E106" s="14" t="str">
        <f t="shared" si="3"/>
        <v/>
      </c>
      <c r="F106" s="7" t="str">
        <f>IF($A106&lt;&gt;"",MAXIFS(Token!$C:$C,Token!$A:$A,$D106),)</f>
        <v/>
      </c>
    </row>
    <row r="107">
      <c r="A107" s="39" t="str">
        <f>IF(AND($L107*1&gt;=$G$3,$L107*1&lt;=$G$4,$I107*$J107&gt;0,OR($I107&lt;&gt;$I108,$L107-$L108&gt;25),IF(ABS($I107)&gt;10,$I107/POW(10,$J107),$J107/POW(10,$I107))*MAXIFS(Token!$C:$C,Token!$A:$A,$K107)&gt;0.01),$L107/86400+DATE(1970,1,1)+$G$6,)</f>
        <v/>
      </c>
      <c r="B107" s="27" t="str">
        <f t="shared" si="1"/>
        <v/>
      </c>
      <c r="C107" s="14" t="str">
        <f>IF($A107&lt;&gt;"",MINIFS(Merchant!$A:$A,Merchant!$B:$B,$G$2),)</f>
        <v/>
      </c>
      <c r="D107" s="14" t="str">
        <f t="shared" si="2"/>
        <v/>
      </c>
      <c r="E107" s="14" t="str">
        <f t="shared" si="3"/>
        <v/>
      </c>
      <c r="F107" s="7" t="str">
        <f>IF($A107&lt;&gt;"",MAXIFS(Token!$C:$C,Token!$A:$A,$D107),)</f>
        <v/>
      </c>
    </row>
    <row r="108">
      <c r="A108" s="39" t="str">
        <f>IF(AND($L108*1&gt;=$G$3,$L108*1&lt;=$G$4,$I108*$J108&gt;0,OR($I108&lt;&gt;$I109,$L108-$L109&gt;25),IF(ABS($I108)&gt;10,$I108/POW(10,$J108),$J108/POW(10,$I108))*MAXIFS(Token!$C:$C,Token!$A:$A,$K108)&gt;0.01),$L108/86400+DATE(1970,1,1)+$G$6,)</f>
        <v/>
      </c>
      <c r="B108" s="27" t="str">
        <f t="shared" si="1"/>
        <v/>
      </c>
      <c r="C108" s="14" t="str">
        <f>IF($A108&lt;&gt;"",MINIFS(Merchant!$A:$A,Merchant!$B:$B,$G$2),)</f>
        <v/>
      </c>
      <c r="D108" s="14" t="str">
        <f t="shared" si="2"/>
        <v/>
      </c>
      <c r="E108" s="14" t="str">
        <f t="shared" si="3"/>
        <v/>
      </c>
      <c r="F108" s="7" t="str">
        <f>IF($A108&lt;&gt;"",MAXIFS(Token!$C:$C,Token!$A:$A,$D108),)</f>
        <v/>
      </c>
    </row>
    <row r="109">
      <c r="A109" s="39" t="str">
        <f>IF(AND($L109*1&gt;=$G$3,$L109*1&lt;=$G$4,$I109*$J109&gt;0,OR($I109&lt;&gt;$I110,$L109-$L110&gt;25),IF(ABS($I109)&gt;10,$I109/POW(10,$J109),$J109/POW(10,$I109))*MAXIFS(Token!$C:$C,Token!$A:$A,$K109)&gt;0.01),$L109/86400+DATE(1970,1,1)+$G$6,)</f>
        <v/>
      </c>
      <c r="B109" s="27" t="str">
        <f t="shared" si="1"/>
        <v/>
      </c>
      <c r="C109" s="14" t="str">
        <f>IF($A109&lt;&gt;"",MINIFS(Merchant!$A:$A,Merchant!$B:$B,$G$2),)</f>
        <v/>
      </c>
      <c r="D109" s="14" t="str">
        <f t="shared" si="2"/>
        <v/>
      </c>
      <c r="E109" s="14" t="str">
        <f t="shared" si="3"/>
        <v/>
      </c>
      <c r="F109" s="7" t="str">
        <f>IF($A109&lt;&gt;"",MAXIFS(Token!$C:$C,Token!$A:$A,$D109),)</f>
        <v/>
      </c>
    </row>
    <row r="110">
      <c r="A110" s="39" t="str">
        <f>IF(AND($L110*1&gt;=$G$3,$L110*1&lt;=$G$4,$I110*$J110&gt;0,OR($I110&lt;&gt;$I111,$L110-$L111&gt;25),IF(ABS($I110)&gt;10,$I110/POW(10,$J110),$J110/POW(10,$I110))*MAXIFS(Token!$C:$C,Token!$A:$A,$K110)&gt;0.01),$L110/86400+DATE(1970,1,1)+$G$6,)</f>
        <v/>
      </c>
      <c r="B110" s="27" t="str">
        <f t="shared" si="1"/>
        <v/>
      </c>
      <c r="C110" s="14" t="str">
        <f>IF($A110&lt;&gt;"",MINIFS(Merchant!$A:$A,Merchant!$B:$B,$G$2),)</f>
        <v/>
      </c>
      <c r="D110" s="14" t="str">
        <f t="shared" si="2"/>
        <v/>
      </c>
      <c r="E110" s="14" t="str">
        <f t="shared" si="3"/>
        <v/>
      </c>
      <c r="F110" s="7" t="str">
        <f>IF($A110&lt;&gt;"",MAXIFS(Token!$C:$C,Token!$A:$A,$D110),)</f>
        <v/>
      </c>
    </row>
    <row r="111">
      <c r="A111" s="39" t="str">
        <f>IF(AND($L111*1&gt;=$G$3,$L111*1&lt;=$G$4,$I111*$J111&gt;0,OR($I111&lt;&gt;$I112,$L111-$L112&gt;25),IF(ABS($I111)&gt;10,$I111/POW(10,$J111),$J111/POW(10,$I111))*MAXIFS(Token!$C:$C,Token!$A:$A,$K111)&gt;0.01),$L111/86400+DATE(1970,1,1)+$G$6,)</f>
        <v/>
      </c>
      <c r="B111" s="27" t="str">
        <f t="shared" si="1"/>
        <v/>
      </c>
      <c r="C111" s="14" t="str">
        <f>IF($A111&lt;&gt;"",MINIFS(Merchant!$A:$A,Merchant!$B:$B,$G$2),)</f>
        <v/>
      </c>
      <c r="D111" s="14" t="str">
        <f t="shared" si="2"/>
        <v/>
      </c>
      <c r="E111" s="14" t="str">
        <f t="shared" si="3"/>
        <v/>
      </c>
      <c r="F111" s="7" t="str">
        <f>IF($A111&lt;&gt;"",MAXIFS(Token!$C:$C,Token!$A:$A,$D111),)</f>
        <v/>
      </c>
    </row>
    <row r="112">
      <c r="A112" s="39" t="str">
        <f>IF(AND($L112*1&gt;=$G$3,$L112*1&lt;=$G$4,$I112*$J112&gt;0,OR($I112&lt;&gt;$I113,$L112-$L113&gt;25),IF(ABS($I112)&gt;10,$I112/POW(10,$J112),$J112/POW(10,$I112))*MAXIFS(Token!$C:$C,Token!$A:$A,$K112)&gt;0.01),$L112/86400+DATE(1970,1,1)+$G$6,)</f>
        <v/>
      </c>
      <c r="B112" s="27" t="str">
        <f t="shared" si="1"/>
        <v/>
      </c>
      <c r="C112" s="14" t="str">
        <f>IF($A112&lt;&gt;"",MINIFS(Merchant!$A:$A,Merchant!$B:$B,$G$2),)</f>
        <v/>
      </c>
      <c r="D112" s="14" t="str">
        <f t="shared" si="2"/>
        <v/>
      </c>
      <c r="E112" s="14" t="str">
        <f t="shared" si="3"/>
        <v/>
      </c>
      <c r="F112" s="7" t="str">
        <f>IF($A112&lt;&gt;"",MAXIFS(Token!$C:$C,Token!$A:$A,$D112),)</f>
        <v/>
      </c>
    </row>
    <row r="113">
      <c r="A113" s="39" t="str">
        <f>IF(AND($L113*1&gt;=$G$3,$L113*1&lt;=$G$4,$I113*$J113&gt;0,OR($I113&lt;&gt;$I114,$L113-$L114&gt;25),IF(ABS($I113)&gt;10,$I113/POW(10,$J113),$J113/POW(10,$I113))*MAXIFS(Token!$C:$C,Token!$A:$A,$K113)&gt;0.01),$L113/86400+DATE(1970,1,1)+$G$6,)</f>
        <v/>
      </c>
      <c r="B113" s="27" t="str">
        <f t="shared" si="1"/>
        <v/>
      </c>
      <c r="C113" s="14" t="str">
        <f>IF($A113&lt;&gt;"",MINIFS(Merchant!$A:$A,Merchant!$B:$B,$G$2),)</f>
        <v/>
      </c>
      <c r="D113" s="14" t="str">
        <f t="shared" si="2"/>
        <v/>
      </c>
      <c r="E113" s="14" t="str">
        <f t="shared" si="3"/>
        <v/>
      </c>
      <c r="F113" s="7" t="str">
        <f>IF($A113&lt;&gt;"",MAXIFS(Token!$C:$C,Token!$A:$A,$D113),)</f>
        <v/>
      </c>
    </row>
    <row r="114">
      <c r="A114" s="39" t="str">
        <f>IF(AND($L114*1&gt;=$G$3,$L114*1&lt;=$G$4,$I114*$J114&gt;0,OR($I114&lt;&gt;$I115,$L114-$L115&gt;25),IF(ABS($I114)&gt;10,$I114/POW(10,$J114),$J114/POW(10,$I114))*MAXIFS(Token!$C:$C,Token!$A:$A,$K114)&gt;0.01),$L114/86400+DATE(1970,1,1)+$G$6,)</f>
        <v/>
      </c>
      <c r="B114" s="27" t="str">
        <f t="shared" si="1"/>
        <v/>
      </c>
      <c r="C114" s="14" t="str">
        <f>IF($A114&lt;&gt;"",MINIFS(Merchant!$A:$A,Merchant!$B:$B,$G$2),)</f>
        <v/>
      </c>
      <c r="D114" s="14" t="str">
        <f t="shared" si="2"/>
        <v/>
      </c>
      <c r="E114" s="14" t="str">
        <f t="shared" si="3"/>
        <v/>
      </c>
      <c r="F114" s="7" t="str">
        <f>IF($A114&lt;&gt;"",MAXIFS(Token!$C:$C,Token!$A:$A,$D114),)</f>
        <v/>
      </c>
    </row>
    <row r="115">
      <c r="A115" s="39" t="str">
        <f>IF(AND($L115*1&gt;=$G$3,$L115*1&lt;=$G$4,$I115*$J115&gt;0,OR($I115&lt;&gt;$I116,$L115-$L116&gt;25),IF(ABS($I115)&gt;10,$I115/POW(10,$J115),$J115/POW(10,$I115))*MAXIFS(Token!$C:$C,Token!$A:$A,$K115)&gt;0.01),$L115/86400+DATE(1970,1,1)+$G$6,)</f>
        <v/>
      </c>
      <c r="B115" s="27" t="str">
        <f t="shared" si="1"/>
        <v/>
      </c>
      <c r="C115" s="14" t="str">
        <f>IF($A115&lt;&gt;"",MINIFS(Merchant!$A:$A,Merchant!$B:$B,$G$2),)</f>
        <v/>
      </c>
      <c r="D115" s="14" t="str">
        <f t="shared" si="2"/>
        <v/>
      </c>
      <c r="E115" s="14" t="str">
        <f t="shared" si="3"/>
        <v/>
      </c>
      <c r="F115" s="7" t="str">
        <f>IF($A115&lt;&gt;"",MAXIFS(Token!$C:$C,Token!$A:$A,$D115),)</f>
        <v/>
      </c>
    </row>
    <row r="116">
      <c r="A116" s="39" t="str">
        <f>IF(AND($L116*1&gt;=$G$3,$L116*1&lt;=$G$4,$I116*$J116&gt;0,OR($I116&lt;&gt;$I117,$L116-$L117&gt;25),IF(ABS($I116)&gt;10,$I116/POW(10,$J116),$J116/POW(10,$I116))*MAXIFS(Token!$C:$C,Token!$A:$A,$K116)&gt;0.01),$L116/86400+DATE(1970,1,1)+$G$6,)</f>
        <v/>
      </c>
      <c r="B116" s="27" t="str">
        <f t="shared" si="1"/>
        <v/>
      </c>
      <c r="C116" s="14" t="str">
        <f>IF($A116&lt;&gt;"",MINIFS(Merchant!$A:$A,Merchant!$B:$B,$G$2),)</f>
        <v/>
      </c>
      <c r="D116" s="14" t="str">
        <f t="shared" si="2"/>
        <v/>
      </c>
      <c r="E116" s="14" t="str">
        <f t="shared" si="3"/>
        <v/>
      </c>
      <c r="F116" s="7" t="str">
        <f>IF($A116&lt;&gt;"",MAXIFS(Token!$C:$C,Token!$A:$A,$D116),)</f>
        <v/>
      </c>
    </row>
    <row r="117">
      <c r="A117" s="39" t="str">
        <f>IF(AND($L117*1&gt;=$G$3,$L117*1&lt;=$G$4,$I117*$J117&gt;0,OR($I117&lt;&gt;$I118,$L117-$L118&gt;25),IF(ABS($I117)&gt;10,$I117/POW(10,$J117),$J117/POW(10,$I117))*MAXIFS(Token!$C:$C,Token!$A:$A,$K117)&gt;0.01),$L117/86400+DATE(1970,1,1)+$G$6,)</f>
        <v/>
      </c>
      <c r="B117" s="27" t="str">
        <f t="shared" si="1"/>
        <v/>
      </c>
      <c r="C117" s="14" t="str">
        <f>IF($A117&lt;&gt;"",MINIFS(Merchant!$A:$A,Merchant!$B:$B,$G$2),)</f>
        <v/>
      </c>
      <c r="D117" s="14" t="str">
        <f t="shared" si="2"/>
        <v/>
      </c>
      <c r="E117" s="14" t="str">
        <f t="shared" si="3"/>
        <v/>
      </c>
      <c r="F117" s="7" t="str">
        <f>IF($A117&lt;&gt;"",MAXIFS(Token!$C:$C,Token!$A:$A,$D117),)</f>
        <v/>
      </c>
    </row>
    <row r="118">
      <c r="A118" s="39" t="str">
        <f>IF(AND($L118*1&gt;=$G$3,$L118*1&lt;=$G$4,$I118*$J118&gt;0,OR($I118&lt;&gt;$I119,$L118-$L119&gt;25),IF(ABS($I118)&gt;10,$I118/POW(10,$J118),$J118/POW(10,$I118))*MAXIFS(Token!$C:$C,Token!$A:$A,$K118)&gt;0.01),$L118/86400+DATE(1970,1,1)+$G$6,)</f>
        <v/>
      </c>
      <c r="B118" s="27" t="str">
        <f t="shared" si="1"/>
        <v/>
      </c>
      <c r="C118" s="14" t="str">
        <f>IF($A118&lt;&gt;"",MINIFS(Merchant!$A:$A,Merchant!$B:$B,$G$2),)</f>
        <v/>
      </c>
      <c r="D118" s="14" t="str">
        <f t="shared" si="2"/>
        <v/>
      </c>
      <c r="E118" s="14" t="str">
        <f t="shared" si="3"/>
        <v/>
      </c>
      <c r="F118" s="7" t="str">
        <f>IF($A118&lt;&gt;"",MAXIFS(Token!$C:$C,Token!$A:$A,$D118),)</f>
        <v/>
      </c>
    </row>
    <row r="119">
      <c r="A119" s="39" t="str">
        <f>IF(AND($L119*1&gt;=$G$3,$L119*1&lt;=$G$4,$I119*$J119&gt;0,OR($I119&lt;&gt;$I120,$L119-$L120&gt;25),IF(ABS($I119)&gt;10,$I119/POW(10,$J119),$J119/POW(10,$I119))*MAXIFS(Token!$C:$C,Token!$A:$A,$K119)&gt;0.01),$L119/86400+DATE(1970,1,1)+$G$6,)</f>
        <v/>
      </c>
      <c r="B119" s="27" t="str">
        <f t="shared" si="1"/>
        <v/>
      </c>
      <c r="C119" s="14" t="str">
        <f>IF($A119&lt;&gt;"",MINIFS(Merchant!$A:$A,Merchant!$B:$B,$G$2),)</f>
        <v/>
      </c>
      <c r="D119" s="14" t="str">
        <f t="shared" si="2"/>
        <v/>
      </c>
      <c r="E119" s="14" t="str">
        <f t="shared" si="3"/>
        <v/>
      </c>
      <c r="F119" s="7" t="str">
        <f>IF($A119&lt;&gt;"",MAXIFS(Token!$C:$C,Token!$A:$A,$D119),)</f>
        <v/>
      </c>
    </row>
    <row r="120">
      <c r="A120" s="39" t="str">
        <f>IF(AND($L120*1&gt;=$G$3,$L120*1&lt;=$G$4,$I120*$J120&gt;0,OR($I120&lt;&gt;$I121,$L120-$L121&gt;25),IF(ABS($I120)&gt;10,$I120/POW(10,$J120),$J120/POW(10,$I120))*MAXIFS(Token!$C:$C,Token!$A:$A,$K120)&gt;0.01),$L120/86400+DATE(1970,1,1)+$G$6,)</f>
        <v/>
      </c>
      <c r="B120" s="27" t="str">
        <f t="shared" si="1"/>
        <v/>
      </c>
      <c r="C120" s="14" t="str">
        <f>IF($A120&lt;&gt;"",MINIFS(Merchant!$A:$A,Merchant!$B:$B,$G$2),)</f>
        <v/>
      </c>
      <c r="D120" s="14" t="str">
        <f t="shared" si="2"/>
        <v/>
      </c>
      <c r="E120" s="14" t="str">
        <f t="shared" si="3"/>
        <v/>
      </c>
      <c r="F120" s="7" t="str">
        <f>IF($A120&lt;&gt;"",MAXIFS(Token!$C:$C,Token!$A:$A,$D120),)</f>
        <v/>
      </c>
    </row>
    <row r="121">
      <c r="A121" s="39" t="str">
        <f>IF(AND($L121*1&gt;=$G$3,$L121*1&lt;=$G$4,$I121*$J121&gt;0,OR($I121&lt;&gt;$I122,$L121-$L122&gt;25),IF(ABS($I121)&gt;10,$I121/POW(10,$J121),$J121/POW(10,$I121))*MAXIFS(Token!$C:$C,Token!$A:$A,$K121)&gt;0.01),$L121/86400+DATE(1970,1,1)+$G$6,)</f>
        <v/>
      </c>
      <c r="B121" s="27" t="str">
        <f t="shared" si="1"/>
        <v/>
      </c>
      <c r="C121" s="14" t="str">
        <f>IF($A121&lt;&gt;"",MINIFS(Merchant!$A:$A,Merchant!$B:$B,$G$2),)</f>
        <v/>
      </c>
      <c r="D121" s="14" t="str">
        <f t="shared" si="2"/>
        <v/>
      </c>
      <c r="E121" s="14" t="str">
        <f t="shared" si="3"/>
        <v/>
      </c>
      <c r="F121" s="7" t="str">
        <f>IF($A121&lt;&gt;"",MAXIFS(Token!$C:$C,Token!$A:$A,$D121),)</f>
        <v/>
      </c>
    </row>
    <row r="122">
      <c r="A122" s="39" t="str">
        <f>IF(AND($L122*1&gt;=$G$3,$L122*1&lt;=$G$4,$I122*$J122&gt;0,OR($I122&lt;&gt;$I123,$L122-$L123&gt;25),IF(ABS($I122)&gt;10,$I122/POW(10,$J122),$J122/POW(10,$I122))*MAXIFS(Token!$C:$C,Token!$A:$A,$K122)&gt;0.01),$L122/86400+DATE(1970,1,1)+$G$6,)</f>
        <v/>
      </c>
      <c r="B122" s="27" t="str">
        <f t="shared" si="1"/>
        <v/>
      </c>
      <c r="C122" s="14" t="str">
        <f>IF($A122&lt;&gt;"",MINIFS(Merchant!$A:$A,Merchant!$B:$B,$G$2),)</f>
        <v/>
      </c>
      <c r="D122" s="14" t="str">
        <f t="shared" si="2"/>
        <v/>
      </c>
      <c r="E122" s="14" t="str">
        <f t="shared" si="3"/>
        <v/>
      </c>
      <c r="F122" s="7" t="str">
        <f>IF($A122&lt;&gt;"",MAXIFS(Token!$C:$C,Token!$A:$A,$D122),)</f>
        <v/>
      </c>
    </row>
    <row r="123">
      <c r="A123" s="39" t="str">
        <f>IF(AND($L123*1&gt;=$G$3,$L123*1&lt;=$G$4,$I123*$J123&gt;0,OR($I123&lt;&gt;$I124,$L123-$L124&gt;25),IF(ABS($I123)&gt;10,$I123/POW(10,$J123),$J123/POW(10,$I123))*MAXIFS(Token!$C:$C,Token!$A:$A,$K123)&gt;0.01),$L123/86400+DATE(1970,1,1)+$G$6,)</f>
        <v/>
      </c>
      <c r="B123" s="27" t="str">
        <f t="shared" si="1"/>
        <v/>
      </c>
      <c r="C123" s="14" t="str">
        <f>IF($A123&lt;&gt;"",MINIFS(Merchant!$A:$A,Merchant!$B:$B,$G$2),)</f>
        <v/>
      </c>
      <c r="D123" s="14" t="str">
        <f t="shared" si="2"/>
        <v/>
      </c>
      <c r="E123" s="14" t="str">
        <f t="shared" si="3"/>
        <v/>
      </c>
      <c r="F123" s="7" t="str">
        <f>IF($A123&lt;&gt;"",MAXIFS(Token!$C:$C,Token!$A:$A,$D123),)</f>
        <v/>
      </c>
    </row>
    <row r="124">
      <c r="A124" s="39" t="str">
        <f>IF(AND($L124*1&gt;=$G$3,$L124*1&lt;=$G$4,$I124*$J124&gt;0,OR($I124&lt;&gt;$I125,$L124-$L125&gt;25),IF(ABS($I124)&gt;10,$I124/POW(10,$J124),$J124/POW(10,$I124))*MAXIFS(Token!$C:$C,Token!$A:$A,$K124)&gt;0.01),$L124/86400+DATE(1970,1,1)+$G$6,)</f>
        <v/>
      </c>
      <c r="B124" s="27" t="str">
        <f t="shared" si="1"/>
        <v/>
      </c>
      <c r="C124" s="14" t="str">
        <f>IF($A124&lt;&gt;"",MINIFS(Merchant!$A:$A,Merchant!$B:$B,$G$2),)</f>
        <v/>
      </c>
      <c r="D124" s="14" t="str">
        <f t="shared" si="2"/>
        <v/>
      </c>
      <c r="E124" s="14" t="str">
        <f t="shared" si="3"/>
        <v/>
      </c>
      <c r="F124" s="7" t="str">
        <f>IF($A124&lt;&gt;"",MAXIFS(Token!$C:$C,Token!$A:$A,$D124),)</f>
        <v/>
      </c>
    </row>
    <row r="125">
      <c r="A125" s="39" t="str">
        <f>IF(AND($L125*1&gt;=$G$3,$L125*1&lt;=$G$4,$I125*$J125&gt;0,OR($I125&lt;&gt;$I126,$L125-$L126&gt;25),IF(ABS($I125)&gt;10,$I125/POW(10,$J125),$J125/POW(10,$I125))*MAXIFS(Token!$C:$C,Token!$A:$A,$K125)&gt;0.01),$L125/86400+DATE(1970,1,1)+$G$6,)</f>
        <v/>
      </c>
      <c r="B125" s="27" t="str">
        <f t="shared" si="1"/>
        <v/>
      </c>
      <c r="C125" s="14" t="str">
        <f>IF($A125&lt;&gt;"",MINIFS(Merchant!$A:$A,Merchant!$B:$B,$G$2),)</f>
        <v/>
      </c>
      <c r="D125" s="14" t="str">
        <f t="shared" si="2"/>
        <v/>
      </c>
      <c r="E125" s="14" t="str">
        <f t="shared" si="3"/>
        <v/>
      </c>
      <c r="F125" s="7" t="str">
        <f>IF($A125&lt;&gt;"",MAXIFS(Token!$C:$C,Token!$A:$A,$D125),)</f>
        <v/>
      </c>
    </row>
    <row r="126">
      <c r="A126" s="39" t="str">
        <f>IF(AND($L126*1&gt;=$G$3,$L126*1&lt;=$G$4,$I126*$J126&gt;0,OR($I126&lt;&gt;$I127,$L126-$L127&gt;25),IF(ABS($I126)&gt;10,$I126/POW(10,$J126),$J126/POW(10,$I126))*MAXIFS(Token!$C:$C,Token!$A:$A,$K126)&gt;0.01),$L126/86400+DATE(1970,1,1)+$G$6,)</f>
        <v/>
      </c>
      <c r="B126" s="27" t="str">
        <f t="shared" si="1"/>
        <v/>
      </c>
      <c r="C126" s="14" t="str">
        <f>IF($A126&lt;&gt;"",MINIFS(Merchant!$A:$A,Merchant!$B:$B,$G$2),)</f>
        <v/>
      </c>
      <c r="D126" s="14" t="str">
        <f t="shared" si="2"/>
        <v/>
      </c>
      <c r="E126" s="14" t="str">
        <f t="shared" si="3"/>
        <v/>
      </c>
      <c r="F126" s="7" t="str">
        <f>IF($A126&lt;&gt;"",MAXIFS(Token!$C:$C,Token!$A:$A,$D126),)</f>
        <v/>
      </c>
    </row>
    <row r="127">
      <c r="A127" s="39" t="str">
        <f>IF(AND($L127*1&gt;=$G$3,$L127*1&lt;=$G$4,$I127*$J127&gt;0,OR($I127&lt;&gt;$I128,$L127-$L128&gt;25),IF(ABS($I127)&gt;10,$I127/POW(10,$J127),$J127/POW(10,$I127))*MAXIFS(Token!$C:$C,Token!$A:$A,$K127)&gt;0.01),$L127/86400+DATE(1970,1,1)+$G$6,)</f>
        <v/>
      </c>
      <c r="B127" s="27" t="str">
        <f t="shared" si="1"/>
        <v/>
      </c>
      <c r="C127" s="14" t="str">
        <f>IF($A127&lt;&gt;"",MINIFS(Merchant!$A:$A,Merchant!$B:$B,$G$2),)</f>
        <v/>
      </c>
      <c r="D127" s="14" t="str">
        <f t="shared" si="2"/>
        <v/>
      </c>
      <c r="E127" s="14" t="str">
        <f t="shared" si="3"/>
        <v/>
      </c>
      <c r="F127" s="7" t="str">
        <f>IF($A127&lt;&gt;"",MAXIFS(Token!$C:$C,Token!$A:$A,$D127),)</f>
        <v/>
      </c>
    </row>
    <row r="128">
      <c r="A128" s="39" t="str">
        <f>IF(AND($L128*1&gt;=$G$3,$L128*1&lt;=$G$4,$I128*$J128&gt;0,OR($I128&lt;&gt;$I129,$L128-$L129&gt;25),IF(ABS($I128)&gt;10,$I128/POW(10,$J128),$J128/POW(10,$I128))*MAXIFS(Token!$C:$C,Token!$A:$A,$K128)&gt;0.01),$L128/86400+DATE(1970,1,1)+$G$6,)</f>
        <v/>
      </c>
      <c r="B128" s="27" t="str">
        <f t="shared" si="1"/>
        <v/>
      </c>
      <c r="C128" s="14" t="str">
        <f>IF($A128&lt;&gt;"",MINIFS(Merchant!$A:$A,Merchant!$B:$B,$G$2),)</f>
        <v/>
      </c>
      <c r="D128" s="14" t="str">
        <f t="shared" si="2"/>
        <v/>
      </c>
      <c r="E128" s="14" t="str">
        <f t="shared" si="3"/>
        <v/>
      </c>
      <c r="F128" s="7" t="str">
        <f>IF($A128&lt;&gt;"",MAXIFS(Token!$C:$C,Token!$A:$A,$D128),)</f>
        <v/>
      </c>
    </row>
    <row r="129">
      <c r="A129" s="39" t="str">
        <f>IF(AND($L129*1&gt;=$G$3,$L129*1&lt;=$G$4,$I129*$J129&gt;0,OR($I129&lt;&gt;$I130,$L129-$L130&gt;25),IF(ABS($I129)&gt;10,$I129/POW(10,$J129),$J129/POW(10,$I129))*MAXIFS(Token!$C:$C,Token!$A:$A,$K129)&gt;0.01),$L129/86400+DATE(1970,1,1)+$G$6,)</f>
        <v/>
      </c>
      <c r="B129" s="27" t="str">
        <f t="shared" si="1"/>
        <v/>
      </c>
      <c r="C129" s="14" t="str">
        <f>IF($A129&lt;&gt;"",MINIFS(Merchant!$A:$A,Merchant!$B:$B,$G$2),)</f>
        <v/>
      </c>
      <c r="D129" s="14" t="str">
        <f t="shared" si="2"/>
        <v/>
      </c>
      <c r="E129" s="14" t="str">
        <f t="shared" si="3"/>
        <v/>
      </c>
      <c r="F129" s="7" t="str">
        <f>IF($A129&lt;&gt;"",MAXIFS(Token!$C:$C,Token!$A:$A,$D129),)</f>
        <v/>
      </c>
    </row>
    <row r="130">
      <c r="A130" s="39" t="str">
        <f>IF(AND($L130*1&gt;=$G$3,$L130*1&lt;=$G$4,$I130*$J130&gt;0,OR($I130&lt;&gt;$I131,$L130-$L131&gt;25),IF(ABS($I130)&gt;10,$I130/POW(10,$J130),$J130/POW(10,$I130))*MAXIFS(Token!$C:$C,Token!$A:$A,$K130)&gt;0.01),$L130/86400+DATE(1970,1,1)+$G$6,)</f>
        <v/>
      </c>
      <c r="B130" s="27" t="str">
        <f t="shared" si="1"/>
        <v/>
      </c>
      <c r="C130" s="14" t="str">
        <f>IF($A130&lt;&gt;"",MINIFS(Merchant!$A:$A,Merchant!$B:$B,$G$2),)</f>
        <v/>
      </c>
      <c r="D130" s="14" t="str">
        <f t="shared" si="2"/>
        <v/>
      </c>
      <c r="E130" s="14" t="str">
        <f t="shared" si="3"/>
        <v/>
      </c>
      <c r="F130" s="7" t="str">
        <f>IF($A130&lt;&gt;"",MAXIFS(Token!$C:$C,Token!$A:$A,$D130),)</f>
        <v/>
      </c>
    </row>
    <row r="131">
      <c r="A131" s="39" t="str">
        <f>IF(AND($L131*1&gt;=$G$3,$L131*1&lt;=$G$4,$I131*$J131&gt;0,OR($I131&lt;&gt;$I132,$L131-$L132&gt;25),IF(ABS($I131)&gt;10,$I131/POW(10,$J131),$J131/POW(10,$I131))*MAXIFS(Token!$C:$C,Token!$A:$A,$K131)&gt;0.01),$L131/86400+DATE(1970,1,1)+$G$6,)</f>
        <v/>
      </c>
      <c r="B131" s="27" t="str">
        <f t="shared" si="1"/>
        <v/>
      </c>
      <c r="C131" s="14" t="str">
        <f>IF($A131&lt;&gt;"",MINIFS(Merchant!$A:$A,Merchant!$B:$B,$G$2),)</f>
        <v/>
      </c>
      <c r="D131" s="14" t="str">
        <f t="shared" si="2"/>
        <v/>
      </c>
      <c r="E131" s="14" t="str">
        <f t="shared" si="3"/>
        <v/>
      </c>
      <c r="F131" s="7" t="str">
        <f>IF($A131&lt;&gt;"",MAXIFS(Token!$C:$C,Token!$A:$A,$D131),)</f>
        <v/>
      </c>
    </row>
    <row r="132">
      <c r="A132" s="39" t="str">
        <f>IF(AND($L132*1&gt;=$G$3,$L132*1&lt;=$G$4,$I132*$J132&gt;0,OR($I132&lt;&gt;$I133,$L132-$L133&gt;25),IF(ABS($I132)&gt;10,$I132/POW(10,$J132),$J132/POW(10,$I132))*MAXIFS(Token!$C:$C,Token!$A:$A,$K132)&gt;0.01),$L132/86400+DATE(1970,1,1)+$G$6,)</f>
        <v/>
      </c>
      <c r="B132" s="27" t="str">
        <f t="shared" si="1"/>
        <v/>
      </c>
      <c r="C132" s="14" t="str">
        <f>IF($A132&lt;&gt;"",MINIFS(Merchant!$A:$A,Merchant!$B:$B,$G$2),)</f>
        <v/>
      </c>
      <c r="D132" s="14" t="str">
        <f t="shared" si="2"/>
        <v/>
      </c>
      <c r="E132" s="14" t="str">
        <f t="shared" si="3"/>
        <v/>
      </c>
      <c r="F132" s="7" t="str">
        <f>IF($A132&lt;&gt;"",MAXIFS(Token!$C:$C,Token!$A:$A,$D132),)</f>
        <v/>
      </c>
    </row>
    <row r="133">
      <c r="A133" s="39" t="str">
        <f>IF(AND($L133*1&gt;=$G$3,$L133*1&lt;=$G$4,$I133*$J133&gt;0,OR($I133&lt;&gt;$I134,$L133-$L134&gt;25),IF(ABS($I133)&gt;10,$I133/POW(10,$J133),$J133/POW(10,$I133))*MAXIFS(Token!$C:$C,Token!$A:$A,$K133)&gt;0.01),$L133/86400+DATE(1970,1,1)+$G$6,)</f>
        <v/>
      </c>
      <c r="B133" s="27" t="str">
        <f t="shared" si="1"/>
        <v/>
      </c>
      <c r="C133" s="14" t="str">
        <f>IF($A133&lt;&gt;"",MINIFS(Merchant!$A:$A,Merchant!$B:$B,$G$2),)</f>
        <v/>
      </c>
      <c r="D133" s="14" t="str">
        <f t="shared" si="2"/>
        <v/>
      </c>
      <c r="E133" s="14" t="str">
        <f t="shared" si="3"/>
        <v/>
      </c>
      <c r="F133" s="7" t="str">
        <f>IF($A133&lt;&gt;"",MAXIFS(Token!$C:$C,Token!$A:$A,$D133),)</f>
        <v/>
      </c>
    </row>
    <row r="134">
      <c r="A134" s="39" t="str">
        <f>IF(AND($L134*1&gt;=$G$3,$L134*1&lt;=$G$4,$I134*$J134&gt;0,OR($I134&lt;&gt;$I135,$L134-$L135&gt;25),IF(ABS($I134)&gt;10,$I134/POW(10,$J134),$J134/POW(10,$I134))*MAXIFS(Token!$C:$C,Token!$A:$A,$K134)&gt;0.01),$L134/86400+DATE(1970,1,1)+$G$6,)</f>
        <v/>
      </c>
      <c r="B134" s="27" t="str">
        <f t="shared" si="1"/>
        <v/>
      </c>
      <c r="C134" s="14" t="str">
        <f>IF($A134&lt;&gt;"",MINIFS(Merchant!$A:$A,Merchant!$B:$B,$G$2),)</f>
        <v/>
      </c>
      <c r="D134" s="14" t="str">
        <f t="shared" si="2"/>
        <v/>
      </c>
      <c r="E134" s="14" t="str">
        <f t="shared" si="3"/>
        <v/>
      </c>
      <c r="F134" s="7" t="str">
        <f>IF($A134&lt;&gt;"",MAXIFS(Token!$C:$C,Token!$A:$A,$D134),)</f>
        <v/>
      </c>
    </row>
    <row r="135">
      <c r="A135" s="39" t="str">
        <f>IF(AND($L135*1&gt;=$G$3,$L135*1&lt;=$G$4,$I135*$J135&gt;0,OR($I135&lt;&gt;$I136,$L135-$L136&gt;25),IF(ABS($I135)&gt;10,$I135/POW(10,$J135),$J135/POW(10,$I135))*MAXIFS(Token!$C:$C,Token!$A:$A,$K135)&gt;0.01),$L135/86400+DATE(1970,1,1)+$G$6,)</f>
        <v/>
      </c>
      <c r="B135" s="27" t="str">
        <f t="shared" si="1"/>
        <v/>
      </c>
      <c r="C135" s="14" t="str">
        <f>IF($A135&lt;&gt;"",MINIFS(Merchant!$A:$A,Merchant!$B:$B,$G$2),)</f>
        <v/>
      </c>
      <c r="D135" s="14" t="str">
        <f t="shared" si="2"/>
        <v/>
      </c>
      <c r="E135" s="14" t="str">
        <f t="shared" si="3"/>
        <v/>
      </c>
      <c r="F135" s="7" t="str">
        <f>IF($A135&lt;&gt;"",MAXIFS(Token!$C:$C,Token!$A:$A,$D135),)</f>
        <v/>
      </c>
    </row>
    <row r="136">
      <c r="A136" s="39" t="str">
        <f>IF(AND($L136*1&gt;=$G$3,$L136*1&lt;=$G$4,$I136*$J136&gt;0,OR($I136&lt;&gt;$I137,$L136-$L137&gt;25),IF(ABS($I136)&gt;10,$I136/POW(10,$J136),$J136/POW(10,$I136))*MAXIFS(Token!$C:$C,Token!$A:$A,$K136)&gt;0.01),$L136/86400+DATE(1970,1,1)+$G$6,)</f>
        <v/>
      </c>
      <c r="B136" s="27" t="str">
        <f t="shared" si="1"/>
        <v/>
      </c>
      <c r="C136" s="14" t="str">
        <f>IF($A136&lt;&gt;"",MINIFS(Merchant!$A:$A,Merchant!$B:$B,$G$2),)</f>
        <v/>
      </c>
      <c r="D136" s="14" t="str">
        <f t="shared" si="2"/>
        <v/>
      </c>
      <c r="E136" s="14" t="str">
        <f t="shared" si="3"/>
        <v/>
      </c>
      <c r="F136" s="7" t="str">
        <f>IF($A136&lt;&gt;"",MAXIFS(Token!$C:$C,Token!$A:$A,$D136),)</f>
        <v/>
      </c>
    </row>
    <row r="137">
      <c r="A137" s="39" t="str">
        <f>IF(AND($L137*1&gt;=$G$3,$L137*1&lt;=$G$4,$I137*$J137&gt;0,OR($I137&lt;&gt;$I138,$L137-$L138&gt;25),IF(ABS($I137)&gt;10,$I137/POW(10,$J137),$J137/POW(10,$I137))*MAXIFS(Token!$C:$C,Token!$A:$A,$K137)&gt;0.01),$L137/86400+DATE(1970,1,1)+$G$6,)</f>
        <v/>
      </c>
      <c r="B137" s="27" t="str">
        <f t="shared" si="1"/>
        <v/>
      </c>
      <c r="C137" s="14" t="str">
        <f>IF($A137&lt;&gt;"",MINIFS(Merchant!$A:$A,Merchant!$B:$B,$G$2),)</f>
        <v/>
      </c>
      <c r="D137" s="14" t="str">
        <f t="shared" si="2"/>
        <v/>
      </c>
      <c r="E137" s="14" t="str">
        <f t="shared" si="3"/>
        <v/>
      </c>
      <c r="F137" s="7" t="str">
        <f>IF($A137&lt;&gt;"",MAXIFS(Token!$C:$C,Token!$A:$A,$D137),)</f>
        <v/>
      </c>
    </row>
    <row r="138">
      <c r="A138" s="39" t="str">
        <f>IF(AND($L138*1&gt;=$G$3,$L138*1&lt;=$G$4,$I138*$J138&gt;0,OR($I138&lt;&gt;$I139,$L138-$L139&gt;25),IF(ABS($I138)&gt;10,$I138/POW(10,$J138),$J138/POW(10,$I138))*MAXIFS(Token!$C:$C,Token!$A:$A,$K138)&gt;0.01),$L138/86400+DATE(1970,1,1)+$G$6,)</f>
        <v/>
      </c>
      <c r="B138" s="27" t="str">
        <f t="shared" si="1"/>
        <v/>
      </c>
      <c r="C138" s="14" t="str">
        <f>IF($A138&lt;&gt;"",MINIFS(Merchant!$A:$A,Merchant!$B:$B,$G$2),)</f>
        <v/>
      </c>
      <c r="D138" s="14" t="str">
        <f t="shared" si="2"/>
        <v/>
      </c>
      <c r="E138" s="14" t="str">
        <f t="shared" si="3"/>
        <v/>
      </c>
      <c r="F138" s="7" t="str">
        <f>IF($A138&lt;&gt;"",MAXIFS(Token!$C:$C,Token!$A:$A,$D138),)</f>
        <v/>
      </c>
    </row>
    <row r="139">
      <c r="A139" s="39" t="str">
        <f>IF(AND($L139*1&gt;=$G$3,$L139*1&lt;=$G$4,$I139*$J139&gt;0,OR($I139&lt;&gt;$I140,$L139-$L140&gt;25),IF(ABS($I139)&gt;10,$I139/POW(10,$J139),$J139/POW(10,$I139))*MAXIFS(Token!$C:$C,Token!$A:$A,$K139)&gt;0.01),$L139/86400+DATE(1970,1,1)+$G$6,)</f>
        <v/>
      </c>
      <c r="B139" s="27" t="str">
        <f t="shared" si="1"/>
        <v/>
      </c>
      <c r="C139" s="14" t="str">
        <f>IF($A139&lt;&gt;"",MINIFS(Merchant!$A:$A,Merchant!$B:$B,$G$2),)</f>
        <v/>
      </c>
      <c r="D139" s="14" t="str">
        <f t="shared" si="2"/>
        <v/>
      </c>
      <c r="E139" s="14" t="str">
        <f t="shared" si="3"/>
        <v/>
      </c>
      <c r="F139" s="7" t="str">
        <f>IF($A139&lt;&gt;"",MAXIFS(Token!$C:$C,Token!$A:$A,$D139),)</f>
        <v/>
      </c>
    </row>
    <row r="140">
      <c r="A140" s="39" t="str">
        <f>IF(AND($L140*1&gt;=$G$3,$L140*1&lt;=$G$4,$I140*$J140&gt;0,OR($I140&lt;&gt;$I141,$L140-$L141&gt;25),IF(ABS($I140)&gt;10,$I140/POW(10,$J140),$J140/POW(10,$I140))*MAXIFS(Token!$C:$C,Token!$A:$A,$K140)&gt;0.01),$L140/86400+DATE(1970,1,1)+$G$6,)</f>
        <v/>
      </c>
      <c r="B140" s="27" t="str">
        <f t="shared" si="1"/>
        <v/>
      </c>
      <c r="C140" s="14" t="str">
        <f>IF($A140&lt;&gt;"",MINIFS(Merchant!$A:$A,Merchant!$B:$B,$G$2),)</f>
        <v/>
      </c>
      <c r="D140" s="14" t="str">
        <f t="shared" si="2"/>
        <v/>
      </c>
      <c r="E140" s="14" t="str">
        <f t="shared" si="3"/>
        <v/>
      </c>
      <c r="F140" s="7" t="str">
        <f>IF($A140&lt;&gt;"",MAXIFS(Token!$C:$C,Token!$A:$A,$D140),)</f>
        <v/>
      </c>
    </row>
    <row r="141">
      <c r="A141" s="39" t="str">
        <f>IF(AND($L141*1&gt;=$G$3,$L141*1&lt;=$G$4,$I141*$J141&gt;0,OR($I141&lt;&gt;$I142,$L141-$L142&gt;25),IF(ABS($I141)&gt;10,$I141/POW(10,$J141),$J141/POW(10,$I141))*MAXIFS(Token!$C:$C,Token!$A:$A,$K141)&gt;0.01),$L141/86400+DATE(1970,1,1)+$G$6,)</f>
        <v/>
      </c>
      <c r="B141" s="27" t="str">
        <f t="shared" si="1"/>
        <v/>
      </c>
      <c r="C141" s="14" t="str">
        <f>IF($A141&lt;&gt;"",MINIFS(Merchant!$A:$A,Merchant!$B:$B,$G$2),)</f>
        <v/>
      </c>
      <c r="D141" s="14" t="str">
        <f t="shared" si="2"/>
        <v/>
      </c>
      <c r="E141" s="14" t="str">
        <f t="shared" si="3"/>
        <v/>
      </c>
      <c r="F141" s="7" t="str">
        <f>IF($A141&lt;&gt;"",MAXIFS(Token!$C:$C,Token!$A:$A,$D141),)</f>
        <v/>
      </c>
    </row>
    <row r="142">
      <c r="A142" s="39" t="str">
        <f>IF(AND($L142*1&gt;=$G$3,$L142*1&lt;=$G$4,$I142*$J142&gt;0,OR($I142&lt;&gt;$I143,$L142-$L143&gt;25),IF(ABS($I142)&gt;10,$I142/POW(10,$J142),$J142/POW(10,$I142))*MAXIFS(Token!$C:$C,Token!$A:$A,$K142)&gt;0.01),$L142/86400+DATE(1970,1,1)+$G$6,)</f>
        <v/>
      </c>
      <c r="B142" s="27" t="str">
        <f t="shared" si="1"/>
        <v/>
      </c>
      <c r="C142" s="14" t="str">
        <f>IF($A142&lt;&gt;"",MINIFS(Merchant!$A:$A,Merchant!$B:$B,$G$2),)</f>
        <v/>
      </c>
      <c r="D142" s="14" t="str">
        <f t="shared" si="2"/>
        <v/>
      </c>
      <c r="E142" s="14" t="str">
        <f t="shared" si="3"/>
        <v/>
      </c>
      <c r="F142" s="7" t="str">
        <f>IF($A142&lt;&gt;"",MAXIFS(Token!$C:$C,Token!$A:$A,$D142),)</f>
        <v/>
      </c>
    </row>
    <row r="143">
      <c r="A143" s="39" t="str">
        <f>IF(AND($L143*1&gt;=$G$3,$L143*1&lt;=$G$4,$I143*$J143&gt;0,OR($I143&lt;&gt;$I144,$L143-$L144&gt;25),IF(ABS($I143)&gt;10,$I143/POW(10,$J143),$J143/POW(10,$I143))*MAXIFS(Token!$C:$C,Token!$A:$A,$K143)&gt;0.01),$L143/86400+DATE(1970,1,1)+$G$6,)</f>
        <v/>
      </c>
      <c r="B143" s="27" t="str">
        <f t="shared" si="1"/>
        <v/>
      </c>
      <c r="C143" s="14" t="str">
        <f>IF($A143&lt;&gt;"",MINIFS(Merchant!$A:$A,Merchant!$B:$B,$G$2),)</f>
        <v/>
      </c>
      <c r="D143" s="14" t="str">
        <f t="shared" si="2"/>
        <v/>
      </c>
      <c r="E143" s="14" t="str">
        <f t="shared" si="3"/>
        <v/>
      </c>
      <c r="F143" s="7" t="str">
        <f>IF($A143&lt;&gt;"",MAXIFS(Token!$C:$C,Token!$A:$A,$D143),)</f>
        <v/>
      </c>
    </row>
    <row r="144">
      <c r="A144" s="39" t="str">
        <f>IF(AND($L144*1&gt;=$G$3,$L144*1&lt;=$G$4,$I144*$J144&gt;0,OR($I144&lt;&gt;$I145,$L144-$L145&gt;25),IF(ABS($I144)&gt;10,$I144/POW(10,$J144),$J144/POW(10,$I144))*MAXIFS(Token!$C:$C,Token!$A:$A,$K144)&gt;0.01),$L144/86400+DATE(1970,1,1)+$G$6,)</f>
        <v/>
      </c>
      <c r="B144" s="27" t="str">
        <f t="shared" si="1"/>
        <v/>
      </c>
      <c r="C144" s="14" t="str">
        <f>IF($A144&lt;&gt;"",MINIFS(Merchant!$A:$A,Merchant!$B:$B,$G$2),)</f>
        <v/>
      </c>
      <c r="D144" s="14" t="str">
        <f t="shared" si="2"/>
        <v/>
      </c>
      <c r="E144" s="14" t="str">
        <f t="shared" si="3"/>
        <v/>
      </c>
      <c r="F144" s="7" t="str">
        <f>IF($A144&lt;&gt;"",MAXIFS(Token!$C:$C,Token!$A:$A,$D144),)</f>
        <v/>
      </c>
    </row>
    <row r="145">
      <c r="A145" s="39" t="str">
        <f>IF(AND($L145*1&gt;=$G$3,$L145*1&lt;=$G$4,$I145*$J145&gt;0,OR($I145&lt;&gt;$I146,$L145-$L146&gt;25),IF(ABS($I145)&gt;10,$I145/POW(10,$J145),$J145/POW(10,$I145))*MAXIFS(Token!$C:$C,Token!$A:$A,$K145)&gt;0.01),$L145/86400+DATE(1970,1,1)+$G$6,)</f>
        <v/>
      </c>
      <c r="B145" s="27" t="str">
        <f t="shared" si="1"/>
        <v/>
      </c>
      <c r="C145" s="14" t="str">
        <f>IF($A145&lt;&gt;"",MINIFS(Merchant!$A:$A,Merchant!$B:$B,$G$2),)</f>
        <v/>
      </c>
      <c r="D145" s="14" t="str">
        <f t="shared" si="2"/>
        <v/>
      </c>
      <c r="E145" s="14" t="str">
        <f t="shared" si="3"/>
        <v/>
      </c>
      <c r="F145" s="7" t="str">
        <f>IF($A145&lt;&gt;"",MAXIFS(Token!$C:$C,Token!$A:$A,$D145),)</f>
        <v/>
      </c>
    </row>
    <row r="146">
      <c r="A146" s="39" t="str">
        <f>IF(AND($L146*1&gt;=$G$3,$L146*1&lt;=$G$4,$I146*$J146&gt;0,OR($I146&lt;&gt;$I147,$L146-$L147&gt;25),IF(ABS($I146)&gt;10,$I146/POW(10,$J146),$J146/POW(10,$I146))*MAXIFS(Token!$C:$C,Token!$A:$A,$K146)&gt;0.01),$L146/86400+DATE(1970,1,1)+$G$6,)</f>
        <v/>
      </c>
      <c r="B146" s="27" t="str">
        <f t="shared" si="1"/>
        <v/>
      </c>
      <c r="C146" s="14" t="str">
        <f>IF($A146&lt;&gt;"",MINIFS(Merchant!$A:$A,Merchant!$B:$B,$G$2),)</f>
        <v/>
      </c>
      <c r="D146" s="14" t="str">
        <f t="shared" si="2"/>
        <v/>
      </c>
      <c r="E146" s="14" t="str">
        <f t="shared" si="3"/>
        <v/>
      </c>
      <c r="F146" s="7" t="str">
        <f>IF($A146&lt;&gt;"",MAXIFS(Token!$C:$C,Token!$A:$A,$D146),)</f>
        <v/>
      </c>
    </row>
    <row r="147">
      <c r="A147" s="39" t="str">
        <f>IF(AND($L147*1&gt;=$G$3,$L147*1&lt;=$G$4,$I147*$J147&gt;0,OR($I147&lt;&gt;$I148,$L147-$L148&gt;25),IF(ABS($I147)&gt;10,$I147/POW(10,$J147),$J147/POW(10,$I147))*MAXIFS(Token!$C:$C,Token!$A:$A,$K147)&gt;0.01),$L147/86400+DATE(1970,1,1)+$G$6,)</f>
        <v/>
      </c>
      <c r="B147" s="27" t="str">
        <f t="shared" si="1"/>
        <v/>
      </c>
      <c r="C147" s="14" t="str">
        <f>IF($A147&lt;&gt;"",MINIFS(Merchant!$A:$A,Merchant!$B:$B,$G$2),)</f>
        <v/>
      </c>
      <c r="D147" s="14" t="str">
        <f t="shared" si="2"/>
        <v/>
      </c>
      <c r="E147" s="14" t="str">
        <f t="shared" si="3"/>
        <v/>
      </c>
      <c r="F147" s="7" t="str">
        <f>IF($A147&lt;&gt;"",MAXIFS(Token!$C:$C,Token!$A:$A,$D147),)</f>
        <v/>
      </c>
    </row>
    <row r="148">
      <c r="A148" s="39" t="str">
        <f>IF(AND($L148*1&gt;=$G$3,$L148*1&lt;=$G$4,$I148*$J148&gt;0,OR($I148&lt;&gt;$I149,$L148-$L149&gt;25),IF(ABS($I148)&gt;10,$I148/POW(10,$J148),$J148/POW(10,$I148))*MAXIFS(Token!$C:$C,Token!$A:$A,$K148)&gt;0.01),$L148/86400+DATE(1970,1,1)+$G$6,)</f>
        <v/>
      </c>
      <c r="B148" s="27" t="str">
        <f t="shared" si="1"/>
        <v/>
      </c>
      <c r="C148" s="14" t="str">
        <f>IF($A148&lt;&gt;"",MINIFS(Merchant!$A:$A,Merchant!$B:$B,$G$2),)</f>
        <v/>
      </c>
      <c r="D148" s="14" t="str">
        <f t="shared" si="2"/>
        <v/>
      </c>
      <c r="E148" s="14" t="str">
        <f t="shared" si="3"/>
        <v/>
      </c>
      <c r="F148" s="7" t="str">
        <f>IF($A148&lt;&gt;"",MAXIFS(Token!$C:$C,Token!$A:$A,$D148),)</f>
        <v/>
      </c>
    </row>
    <row r="149">
      <c r="A149" s="39" t="str">
        <f>IF(AND($L149*1&gt;=$G$3,$L149*1&lt;=$G$4,$I149*$J149&gt;0,OR($I149&lt;&gt;$I150,$L149-$L150&gt;25),IF(ABS($I149)&gt;10,$I149/POW(10,$J149),$J149/POW(10,$I149))*MAXIFS(Token!$C:$C,Token!$A:$A,$K149)&gt;0.01),$L149/86400+DATE(1970,1,1)+$G$6,)</f>
        <v/>
      </c>
      <c r="B149" s="27" t="str">
        <f t="shared" si="1"/>
        <v/>
      </c>
      <c r="C149" s="14" t="str">
        <f>IF($A149&lt;&gt;"",MINIFS(Merchant!$A:$A,Merchant!$B:$B,$G$2),)</f>
        <v/>
      </c>
      <c r="D149" s="14" t="str">
        <f t="shared" si="2"/>
        <v/>
      </c>
      <c r="E149" s="14" t="str">
        <f t="shared" si="3"/>
        <v/>
      </c>
      <c r="F149" s="7" t="str">
        <f>IF($A149&lt;&gt;"",MAXIFS(Token!$C:$C,Token!$A:$A,$D149),)</f>
        <v/>
      </c>
    </row>
    <row r="150">
      <c r="A150" s="39" t="str">
        <f>IF(AND($L150*1&gt;=$G$3,$L150*1&lt;=$G$4,$I150*$J150&gt;0,OR($I150&lt;&gt;$I151,$L150-$L151&gt;25),IF(ABS($I150)&gt;10,$I150/POW(10,$J150),$J150/POW(10,$I150))*MAXIFS(Token!$C:$C,Token!$A:$A,$K150)&gt;0.01),$L150/86400+DATE(1970,1,1)+$G$6,)</f>
        <v/>
      </c>
      <c r="B150" s="27" t="str">
        <f t="shared" si="1"/>
        <v/>
      </c>
      <c r="C150" s="14" t="str">
        <f>IF($A150&lt;&gt;"",MINIFS(Merchant!$A:$A,Merchant!$B:$B,$G$2),)</f>
        <v/>
      </c>
      <c r="D150" s="14" t="str">
        <f t="shared" si="2"/>
        <v/>
      </c>
      <c r="E150" s="14" t="str">
        <f t="shared" si="3"/>
        <v/>
      </c>
      <c r="F150" s="7" t="str">
        <f>IF($A150&lt;&gt;"",MAXIFS(Token!$C:$C,Token!$A:$A,$D150),)</f>
        <v/>
      </c>
    </row>
    <row r="151">
      <c r="A151" s="39" t="str">
        <f>IF(AND($L151*1&gt;=$G$3,$L151*1&lt;=$G$4,$I151*$J151&gt;0,OR($I151&lt;&gt;$I152,$L151-$L152&gt;25),IF(ABS($I151)&gt;10,$I151/POW(10,$J151),$J151/POW(10,$I151))*MAXIFS(Token!$C:$C,Token!$A:$A,$K151)&gt;0.01),$L151/86400+DATE(1970,1,1)+$G$6,)</f>
        <v/>
      </c>
      <c r="B151" s="27" t="str">
        <f t="shared" si="1"/>
        <v/>
      </c>
      <c r="C151" s="14" t="str">
        <f>IF($A151&lt;&gt;"",MINIFS(Merchant!$A:$A,Merchant!$B:$B,$G$2),)</f>
        <v/>
      </c>
      <c r="D151" s="14" t="str">
        <f t="shared" si="2"/>
        <v/>
      </c>
      <c r="E151" s="14" t="str">
        <f t="shared" si="3"/>
        <v/>
      </c>
      <c r="F151" s="7" t="str">
        <f>IF($A151&lt;&gt;"",MAXIFS(Token!$C:$C,Token!$A:$A,$D151),)</f>
        <v/>
      </c>
    </row>
    <row r="152">
      <c r="A152" s="39" t="str">
        <f>IF(AND($L152*1&gt;=$G$3,$L152*1&lt;=$G$4,$I152*$J152&gt;0,OR($I152&lt;&gt;$I153,$L152-$L153&gt;25),IF(ABS($I152)&gt;10,$I152/POW(10,$J152),$J152/POW(10,$I152))*MAXIFS(Token!$C:$C,Token!$A:$A,$K152)&gt;0.01),$L152/86400+DATE(1970,1,1)+$G$6,)</f>
        <v/>
      </c>
      <c r="B152" s="27" t="str">
        <f t="shared" si="1"/>
        <v/>
      </c>
      <c r="C152" s="14" t="str">
        <f>IF($A152&lt;&gt;"",MINIFS(Merchant!$A:$A,Merchant!$B:$B,$G$2),)</f>
        <v/>
      </c>
      <c r="D152" s="14" t="str">
        <f t="shared" si="2"/>
        <v/>
      </c>
      <c r="E152" s="14" t="str">
        <f t="shared" si="3"/>
        <v/>
      </c>
      <c r="F152" s="7" t="str">
        <f>IF($A152&lt;&gt;"",MAXIFS(Token!$C:$C,Token!$A:$A,$D152),)</f>
        <v/>
      </c>
    </row>
    <row r="153">
      <c r="A153" s="39" t="str">
        <f>IF(AND($L153*1&gt;=$G$3,$L153*1&lt;=$G$4,$I153*$J153&gt;0,OR($I153&lt;&gt;$I154,$L153-$L154&gt;25),IF(ABS($I153)&gt;10,$I153/POW(10,$J153),$J153/POW(10,$I153))*MAXIFS(Token!$C:$C,Token!$A:$A,$K153)&gt;0.01),$L153/86400+DATE(1970,1,1)+$G$6,)</f>
        <v/>
      </c>
      <c r="B153" s="27" t="str">
        <f t="shared" si="1"/>
        <v/>
      </c>
      <c r="C153" s="14" t="str">
        <f>IF($A153&lt;&gt;"",MINIFS(Merchant!$A:$A,Merchant!$B:$B,$G$2),)</f>
        <v/>
      </c>
      <c r="D153" s="14" t="str">
        <f t="shared" si="2"/>
        <v/>
      </c>
      <c r="E153" s="14" t="str">
        <f t="shared" si="3"/>
        <v/>
      </c>
      <c r="F153" s="7" t="str">
        <f>IF($A153&lt;&gt;"",MAXIFS(Token!$C:$C,Token!$A:$A,$D153),)</f>
        <v/>
      </c>
    </row>
    <row r="154">
      <c r="A154" s="39" t="str">
        <f>IF(AND($L154*1&gt;=$G$3,$L154*1&lt;=$G$4,$I154*$J154&gt;0,OR($I154&lt;&gt;$I155,$L154-$L155&gt;25),IF(ABS($I154)&gt;10,$I154/POW(10,$J154),$J154/POW(10,$I154))*MAXIFS(Token!$C:$C,Token!$A:$A,$K154)&gt;0.01),$L154/86400+DATE(1970,1,1)+$G$6,)</f>
        <v/>
      </c>
      <c r="B154" s="27" t="str">
        <f t="shared" si="1"/>
        <v/>
      </c>
      <c r="C154" s="14" t="str">
        <f>IF($A154&lt;&gt;"",MINIFS(Merchant!$A:$A,Merchant!$B:$B,$G$2),)</f>
        <v/>
      </c>
      <c r="D154" s="14" t="str">
        <f t="shared" si="2"/>
        <v/>
      </c>
      <c r="E154" s="14" t="str">
        <f t="shared" si="3"/>
        <v/>
      </c>
      <c r="F154" s="7" t="str">
        <f>IF($A154&lt;&gt;"",MAXIFS(Token!$C:$C,Token!$A:$A,$D154),)</f>
        <v/>
      </c>
    </row>
    <row r="155">
      <c r="A155" s="39" t="str">
        <f>IF(AND($L155*1&gt;=$G$3,$L155*1&lt;=$G$4,$I155*$J155&gt;0,OR($I155&lt;&gt;$I156,$L155-$L156&gt;25),IF(ABS($I155)&gt;10,$I155/POW(10,$J155),$J155/POW(10,$I155))*MAXIFS(Token!$C:$C,Token!$A:$A,$K155)&gt;0.01),$L155/86400+DATE(1970,1,1)+$G$6,)</f>
        <v/>
      </c>
      <c r="B155" s="27" t="str">
        <f t="shared" si="1"/>
        <v/>
      </c>
      <c r="C155" s="14" t="str">
        <f>IF($A155&lt;&gt;"",MINIFS(Merchant!$A:$A,Merchant!$B:$B,$G$2),)</f>
        <v/>
      </c>
      <c r="D155" s="14" t="str">
        <f t="shared" si="2"/>
        <v/>
      </c>
      <c r="E155" s="14" t="str">
        <f t="shared" si="3"/>
        <v/>
      </c>
      <c r="F155" s="7" t="str">
        <f>IF($A155&lt;&gt;"",MAXIFS(Token!$C:$C,Token!$A:$A,$D155),)</f>
        <v/>
      </c>
    </row>
    <row r="156">
      <c r="A156" s="39" t="str">
        <f>IF(AND($L156*1&gt;=$G$3,$L156*1&lt;=$G$4,$I156*$J156&gt;0,OR($I156&lt;&gt;$I157,$L156-$L157&gt;25),IF(ABS($I156)&gt;10,$I156/POW(10,$J156),$J156/POW(10,$I156))*MAXIFS(Token!$C:$C,Token!$A:$A,$K156)&gt;0.01),$L156/86400+DATE(1970,1,1)+$G$6,)</f>
        <v/>
      </c>
      <c r="B156" s="27" t="str">
        <f t="shared" si="1"/>
        <v/>
      </c>
      <c r="C156" s="14" t="str">
        <f>IF($A156&lt;&gt;"",MINIFS(Merchant!$A:$A,Merchant!$B:$B,$G$2),)</f>
        <v/>
      </c>
      <c r="D156" s="14" t="str">
        <f t="shared" si="2"/>
        <v/>
      </c>
      <c r="E156" s="14" t="str">
        <f t="shared" si="3"/>
        <v/>
      </c>
      <c r="F156" s="7" t="str">
        <f>IF($A156&lt;&gt;"",MAXIFS(Token!$C:$C,Token!$A:$A,$D156),)</f>
        <v/>
      </c>
    </row>
    <row r="157">
      <c r="A157" s="39" t="str">
        <f>IF(AND($L157*1&gt;=$G$3,$L157*1&lt;=$G$4,$I157*$J157&gt;0,OR($I157&lt;&gt;$I158,$L157-$L158&gt;25),IF(ABS($I157)&gt;10,$I157/POW(10,$J157),$J157/POW(10,$I157))*MAXIFS(Token!$C:$C,Token!$A:$A,$K157)&gt;0.01),$L157/86400+DATE(1970,1,1)+$G$6,)</f>
        <v/>
      </c>
      <c r="B157" s="27" t="str">
        <f t="shared" si="1"/>
        <v/>
      </c>
      <c r="C157" s="14" t="str">
        <f>IF($A157&lt;&gt;"",MINIFS(Merchant!$A:$A,Merchant!$B:$B,$G$2),)</f>
        <v/>
      </c>
      <c r="D157" s="14" t="str">
        <f t="shared" si="2"/>
        <v/>
      </c>
      <c r="E157" s="14" t="str">
        <f t="shared" si="3"/>
        <v/>
      </c>
      <c r="F157" s="7" t="str">
        <f>IF($A157&lt;&gt;"",MAXIFS(Token!$C:$C,Token!$A:$A,$D157),)</f>
        <v/>
      </c>
    </row>
    <row r="158">
      <c r="A158" s="39" t="str">
        <f>IF(AND($L158*1&gt;=$G$3,$L158*1&lt;=$G$4,$I158*$J158&gt;0,OR($I158&lt;&gt;$I159,$L158-$L159&gt;25),IF(ABS($I158)&gt;10,$I158/POW(10,$J158),$J158/POW(10,$I158))*MAXIFS(Token!$C:$C,Token!$A:$A,$K158)&gt;0.01),$L158/86400+DATE(1970,1,1)+$G$6,)</f>
        <v/>
      </c>
      <c r="B158" s="27" t="str">
        <f t="shared" si="1"/>
        <v/>
      </c>
      <c r="C158" s="14" t="str">
        <f>IF($A158&lt;&gt;"",MINIFS(Merchant!$A:$A,Merchant!$B:$B,$G$2),)</f>
        <v/>
      </c>
      <c r="D158" s="14" t="str">
        <f t="shared" si="2"/>
        <v/>
      </c>
      <c r="E158" s="14" t="str">
        <f t="shared" si="3"/>
        <v/>
      </c>
      <c r="F158" s="7" t="str">
        <f>IF($A158&lt;&gt;"",MAXIFS(Token!$C:$C,Token!$A:$A,$D158),)</f>
        <v/>
      </c>
    </row>
    <row r="159">
      <c r="A159" s="39" t="str">
        <f>IF(AND($L159*1&gt;=$G$3,$L159*1&lt;=$G$4,$I159*$J159&gt;0,OR($I159&lt;&gt;$I160,$L159-$L160&gt;25),IF(ABS($I159)&gt;10,$I159/POW(10,$J159),$J159/POW(10,$I159))*MAXIFS(Token!$C:$C,Token!$A:$A,$K159)&gt;0.01),$L159/86400+DATE(1970,1,1)+$G$6,)</f>
        <v/>
      </c>
      <c r="B159" s="27" t="str">
        <f t="shared" si="1"/>
        <v/>
      </c>
      <c r="C159" s="14" t="str">
        <f>IF($A159&lt;&gt;"",MINIFS(Merchant!$A:$A,Merchant!$B:$B,$G$2),)</f>
        <v/>
      </c>
      <c r="D159" s="14" t="str">
        <f t="shared" si="2"/>
        <v/>
      </c>
      <c r="E159" s="14" t="str">
        <f t="shared" si="3"/>
        <v/>
      </c>
      <c r="F159" s="7" t="str">
        <f>IF($A159&lt;&gt;"",MAXIFS(Token!$C:$C,Token!$A:$A,$D159),)</f>
        <v/>
      </c>
    </row>
    <row r="160">
      <c r="A160" s="39" t="str">
        <f>IF(AND($L160*1&gt;=$G$3,$L160*1&lt;=$G$4,$I160*$J160&gt;0,OR($I160&lt;&gt;$I161,$L160-$L161&gt;25),IF(ABS($I160)&gt;10,$I160/POW(10,$J160),$J160/POW(10,$I160))*MAXIFS(Token!$C:$C,Token!$A:$A,$K160)&gt;0.01),$L160/86400+DATE(1970,1,1)+$G$6,)</f>
        <v/>
      </c>
      <c r="B160" s="27" t="str">
        <f t="shared" si="1"/>
        <v/>
      </c>
      <c r="C160" s="14" t="str">
        <f>IF($A160&lt;&gt;"",MINIFS(Merchant!$A:$A,Merchant!$B:$B,$G$2),)</f>
        <v/>
      </c>
      <c r="D160" s="14" t="str">
        <f t="shared" si="2"/>
        <v/>
      </c>
      <c r="E160" s="14" t="str">
        <f t="shared" si="3"/>
        <v/>
      </c>
      <c r="F160" s="7" t="str">
        <f>IF($A160&lt;&gt;"",MAXIFS(Token!$C:$C,Token!$A:$A,$D160),)</f>
        <v/>
      </c>
    </row>
    <row r="161">
      <c r="A161" s="39" t="str">
        <f>IF(AND($L161*1&gt;=$G$3,$L161*1&lt;=$G$4,$I161*$J161&gt;0,OR($I161&lt;&gt;$I162,$L161-$L162&gt;25),IF(ABS($I161)&gt;10,$I161/POW(10,$J161),$J161/POW(10,$I161))*MAXIFS(Token!$C:$C,Token!$A:$A,$K161)&gt;0.01),$L161/86400+DATE(1970,1,1)+$G$6,)</f>
        <v/>
      </c>
      <c r="B161" s="27" t="str">
        <f t="shared" si="1"/>
        <v/>
      </c>
      <c r="C161" s="14" t="str">
        <f>IF($A161&lt;&gt;"",MINIFS(Merchant!$A:$A,Merchant!$B:$B,$G$2),)</f>
        <v/>
      </c>
      <c r="D161" s="14" t="str">
        <f t="shared" si="2"/>
        <v/>
      </c>
      <c r="E161" s="14" t="str">
        <f t="shared" si="3"/>
        <v/>
      </c>
      <c r="F161" s="7" t="str">
        <f>IF($A161&lt;&gt;"",MAXIFS(Token!$C:$C,Token!$A:$A,$D161),)</f>
        <v/>
      </c>
    </row>
    <row r="162">
      <c r="A162" s="39" t="str">
        <f>IF(AND($L162*1&gt;=$G$3,$L162*1&lt;=$G$4,$I162*$J162&gt;0,OR($I162&lt;&gt;$I163,$L162-$L163&gt;25),IF(ABS($I162)&gt;10,$I162/POW(10,$J162),$J162/POW(10,$I162))*MAXIFS(Token!$C:$C,Token!$A:$A,$K162)&gt;0.01),$L162/86400+DATE(1970,1,1)+$G$6,)</f>
        <v/>
      </c>
      <c r="B162" s="27" t="str">
        <f t="shared" si="1"/>
        <v/>
      </c>
      <c r="C162" s="14" t="str">
        <f>IF($A162&lt;&gt;"",MINIFS(Merchant!$A:$A,Merchant!$B:$B,$G$2),)</f>
        <v/>
      </c>
      <c r="D162" s="14" t="str">
        <f t="shared" si="2"/>
        <v/>
      </c>
      <c r="E162" s="14" t="str">
        <f t="shared" si="3"/>
        <v/>
      </c>
      <c r="F162" s="7" t="str">
        <f>IF($A162&lt;&gt;"",MAXIFS(Token!$C:$C,Token!$A:$A,$D162),)</f>
        <v/>
      </c>
    </row>
    <row r="163">
      <c r="A163" s="39" t="str">
        <f>IF(AND($L163*1&gt;=$G$3,$L163*1&lt;=$G$4,$I163*$J163&gt;0,OR($I163&lt;&gt;$I164,$L163-$L164&gt;25),IF(ABS($I163)&gt;10,$I163/POW(10,$J163),$J163/POW(10,$I163))*MAXIFS(Token!$C:$C,Token!$A:$A,$K163)&gt;0.01),$L163/86400+DATE(1970,1,1)+$G$6,)</f>
        <v/>
      </c>
      <c r="B163" s="27" t="str">
        <f t="shared" si="1"/>
        <v/>
      </c>
      <c r="C163" s="14" t="str">
        <f>IF($A163&lt;&gt;"",MINIFS(Merchant!$A:$A,Merchant!$B:$B,$G$2),)</f>
        <v/>
      </c>
      <c r="D163" s="14" t="str">
        <f t="shared" si="2"/>
        <v/>
      </c>
      <c r="E163" s="14" t="str">
        <f t="shared" si="3"/>
        <v/>
      </c>
      <c r="F163" s="7" t="str">
        <f>IF($A163&lt;&gt;"",MAXIFS(Token!$C:$C,Token!$A:$A,$D163),)</f>
        <v/>
      </c>
    </row>
    <row r="164">
      <c r="A164" s="39" t="str">
        <f>IF(AND($L164*1&gt;=$G$3,$L164*1&lt;=$G$4,$I164*$J164&gt;0,OR($I164&lt;&gt;$I165,$L164-$L165&gt;25),IF(ABS($I164)&gt;10,$I164/POW(10,$J164),$J164/POW(10,$I164))*MAXIFS(Token!$C:$C,Token!$A:$A,$K164)&gt;0.01),$L164/86400+DATE(1970,1,1)+$G$6,)</f>
        <v/>
      </c>
      <c r="B164" s="27" t="str">
        <f t="shared" si="1"/>
        <v/>
      </c>
      <c r="C164" s="14" t="str">
        <f>IF($A164&lt;&gt;"",MINIFS(Merchant!$A:$A,Merchant!$B:$B,$G$2),)</f>
        <v/>
      </c>
      <c r="D164" s="14" t="str">
        <f t="shared" si="2"/>
        <v/>
      </c>
      <c r="E164" s="14" t="str">
        <f t="shared" si="3"/>
        <v/>
      </c>
      <c r="F164" s="7" t="str">
        <f>IF($A164&lt;&gt;"",MAXIFS(Token!$C:$C,Token!$A:$A,$D164),)</f>
        <v/>
      </c>
    </row>
    <row r="165">
      <c r="A165" s="39" t="str">
        <f>IF(AND($L165*1&gt;=$G$3,$L165*1&lt;=$G$4,$I165*$J165&gt;0,OR($I165&lt;&gt;$I166,$L165-$L166&gt;25),IF(ABS($I165)&gt;10,$I165/POW(10,$J165),$J165/POW(10,$I165))*MAXIFS(Token!$C:$C,Token!$A:$A,$K165)&gt;0.01),$L165/86400+DATE(1970,1,1)+$G$6,)</f>
        <v/>
      </c>
      <c r="B165" s="27" t="str">
        <f t="shared" si="1"/>
        <v/>
      </c>
      <c r="C165" s="14" t="str">
        <f>IF($A165&lt;&gt;"",MINIFS(Merchant!$A:$A,Merchant!$B:$B,$G$2),)</f>
        <v/>
      </c>
      <c r="D165" s="14" t="str">
        <f t="shared" si="2"/>
        <v/>
      </c>
      <c r="E165" s="14" t="str">
        <f t="shared" si="3"/>
        <v/>
      </c>
      <c r="F165" s="7" t="str">
        <f>IF($A165&lt;&gt;"",MAXIFS(Token!$C:$C,Token!$A:$A,$D165),)</f>
        <v/>
      </c>
    </row>
    <row r="166">
      <c r="A166" s="39" t="str">
        <f>IF(AND($L166*1&gt;=$G$3,$L166*1&lt;=$G$4,$I166*$J166&gt;0,OR($I166&lt;&gt;$I167,$L166-$L167&gt;25),IF(ABS($I166)&gt;10,$I166/POW(10,$J166),$J166/POW(10,$I166))*MAXIFS(Token!$C:$C,Token!$A:$A,$K166)&gt;0.01),$L166/86400+DATE(1970,1,1)+$G$6,)</f>
        <v/>
      </c>
      <c r="B166" s="27" t="str">
        <f t="shared" si="1"/>
        <v/>
      </c>
      <c r="C166" s="14" t="str">
        <f>IF($A166&lt;&gt;"",MINIFS(Merchant!$A:$A,Merchant!$B:$B,$G$2),)</f>
        <v/>
      </c>
      <c r="D166" s="14" t="str">
        <f t="shared" si="2"/>
        <v/>
      </c>
      <c r="E166" s="14" t="str">
        <f t="shared" si="3"/>
        <v/>
      </c>
      <c r="F166" s="7" t="str">
        <f>IF($A166&lt;&gt;"",MAXIFS(Token!$C:$C,Token!$A:$A,$D166),)</f>
        <v/>
      </c>
    </row>
    <row r="167">
      <c r="A167" s="39" t="str">
        <f>IF(AND($L167*1&gt;=$G$3,$L167*1&lt;=$G$4,$I167*$J167&gt;0,OR($I167&lt;&gt;$I168,$L167-$L168&gt;25),IF(ABS($I167)&gt;10,$I167/POW(10,$J167),$J167/POW(10,$I167))*MAXIFS(Token!$C:$C,Token!$A:$A,$K167)&gt;0.01),$L167/86400+DATE(1970,1,1)+$G$6,)</f>
        <v/>
      </c>
      <c r="B167" s="27" t="str">
        <f t="shared" si="1"/>
        <v/>
      </c>
      <c r="C167" s="14" t="str">
        <f>IF($A167&lt;&gt;"",MINIFS(Merchant!$A:$A,Merchant!$B:$B,$G$2),)</f>
        <v/>
      </c>
      <c r="D167" s="14" t="str">
        <f t="shared" si="2"/>
        <v/>
      </c>
      <c r="E167" s="14" t="str">
        <f t="shared" si="3"/>
        <v/>
      </c>
      <c r="F167" s="7" t="str">
        <f>IF($A167&lt;&gt;"",MAXIFS(Token!$C:$C,Token!$A:$A,$D167),)</f>
        <v/>
      </c>
    </row>
    <row r="168">
      <c r="A168" s="39" t="str">
        <f>IF(AND($L168*1&gt;=$G$3,$L168*1&lt;=$G$4,$I168*$J168&gt;0,OR($I168&lt;&gt;$I169,$L168-$L169&gt;25),IF(ABS($I168)&gt;10,$I168/POW(10,$J168),$J168/POW(10,$I168))*MAXIFS(Token!$C:$C,Token!$A:$A,$K168)&gt;0.01),$L168/86400+DATE(1970,1,1)+$G$6,)</f>
        <v/>
      </c>
      <c r="B168" s="27" t="str">
        <f t="shared" si="1"/>
        <v/>
      </c>
      <c r="C168" s="14" t="str">
        <f>IF($A168&lt;&gt;"",MINIFS(Merchant!$A:$A,Merchant!$B:$B,$G$2),)</f>
        <v/>
      </c>
      <c r="D168" s="14" t="str">
        <f t="shared" si="2"/>
        <v/>
      </c>
      <c r="E168" s="14" t="str">
        <f t="shared" si="3"/>
        <v/>
      </c>
      <c r="F168" s="7" t="str">
        <f>IF($A168&lt;&gt;"",MAXIFS(Token!$C:$C,Token!$A:$A,$D168),)</f>
        <v/>
      </c>
    </row>
    <row r="169">
      <c r="A169" s="39" t="str">
        <f>IF(AND($L169*1&gt;=$G$3,$L169*1&lt;=$G$4,$I169*$J169&gt;0,OR($I169&lt;&gt;$I170,$L169-$L170&gt;25),IF(ABS($I169)&gt;10,$I169/POW(10,$J169),$J169/POW(10,$I169))*MAXIFS(Token!$C:$C,Token!$A:$A,$K169)&gt;0.01),$L169/86400+DATE(1970,1,1)+$G$6,)</f>
        <v/>
      </c>
      <c r="B169" s="27" t="str">
        <f t="shared" si="1"/>
        <v/>
      </c>
      <c r="C169" s="14" t="str">
        <f>IF($A169&lt;&gt;"",MINIFS(Merchant!$A:$A,Merchant!$B:$B,$G$2),)</f>
        <v/>
      </c>
      <c r="D169" s="14" t="str">
        <f t="shared" si="2"/>
        <v/>
      </c>
      <c r="E169" s="14" t="str">
        <f t="shared" si="3"/>
        <v/>
      </c>
      <c r="F169" s="7" t="str">
        <f>IF($A169&lt;&gt;"",MAXIFS(Token!$C:$C,Token!$A:$A,$D169),)</f>
        <v/>
      </c>
    </row>
    <row r="170">
      <c r="A170" s="39" t="str">
        <f>IF(AND($L170*1&gt;=$G$3,$L170*1&lt;=$G$4,$I170*$J170&gt;0,OR($I170&lt;&gt;$I171,$L170-$L171&gt;25),IF(ABS($I170)&gt;10,$I170/POW(10,$J170),$J170/POW(10,$I170))*MAXIFS(Token!$C:$C,Token!$A:$A,$K170)&gt;0.01),$L170/86400+DATE(1970,1,1)+$G$6,)</f>
        <v/>
      </c>
      <c r="B170" s="27" t="str">
        <f t="shared" si="1"/>
        <v/>
      </c>
      <c r="C170" s="14" t="str">
        <f>IF($A170&lt;&gt;"",MINIFS(Merchant!$A:$A,Merchant!$B:$B,$G$2),)</f>
        <v/>
      </c>
      <c r="D170" s="14" t="str">
        <f t="shared" si="2"/>
        <v/>
      </c>
      <c r="E170" s="14" t="str">
        <f t="shared" si="3"/>
        <v/>
      </c>
      <c r="F170" s="7" t="str">
        <f>IF($A170&lt;&gt;"",MAXIFS(Token!$C:$C,Token!$A:$A,$D170),)</f>
        <v/>
      </c>
    </row>
    <row r="171">
      <c r="A171" s="39" t="str">
        <f>IF(AND($L171*1&gt;=$G$3,$L171*1&lt;=$G$4,$I171*$J171&gt;0,OR($I171&lt;&gt;$I172,$L171-$L172&gt;25),IF(ABS($I171)&gt;10,$I171/POW(10,$J171),$J171/POW(10,$I171))*MAXIFS(Token!$C:$C,Token!$A:$A,$K171)&gt;0.01),$L171/86400+DATE(1970,1,1)+$G$6,)</f>
        <v/>
      </c>
      <c r="B171" s="27" t="str">
        <f t="shared" si="1"/>
        <v/>
      </c>
      <c r="C171" s="14" t="str">
        <f>IF($A171&lt;&gt;"",MINIFS(Merchant!$A:$A,Merchant!$B:$B,$G$2),)</f>
        <v/>
      </c>
      <c r="D171" s="14" t="str">
        <f t="shared" si="2"/>
        <v/>
      </c>
      <c r="E171" s="14" t="str">
        <f t="shared" si="3"/>
        <v/>
      </c>
      <c r="F171" s="7" t="str">
        <f>IF($A171&lt;&gt;"",MAXIFS(Token!$C:$C,Token!$A:$A,$D171),)</f>
        <v/>
      </c>
    </row>
    <row r="172">
      <c r="A172" s="39" t="str">
        <f>IF(AND($L172*1&gt;=$G$3,$L172*1&lt;=$G$4,$I172*$J172&gt;0,OR($I172&lt;&gt;$I173,$L172-$L173&gt;25),IF(ABS($I172)&gt;10,$I172/POW(10,$J172),$J172/POW(10,$I172))*MAXIFS(Token!$C:$C,Token!$A:$A,$K172)&gt;0.01),$L172/86400+DATE(1970,1,1)+$G$6,)</f>
        <v/>
      </c>
      <c r="B172" s="27" t="str">
        <f t="shared" si="1"/>
        <v/>
      </c>
      <c r="C172" s="14" t="str">
        <f>IF($A172&lt;&gt;"",MINIFS(Merchant!$A:$A,Merchant!$B:$B,$G$2),)</f>
        <v/>
      </c>
      <c r="D172" s="14" t="str">
        <f t="shared" si="2"/>
        <v/>
      </c>
      <c r="E172" s="14" t="str">
        <f t="shared" si="3"/>
        <v/>
      </c>
      <c r="F172" s="7" t="str">
        <f>IF($A172&lt;&gt;"",MAXIFS(Token!$C:$C,Token!$A:$A,$D172),)</f>
        <v/>
      </c>
    </row>
    <row r="173">
      <c r="A173" s="39" t="str">
        <f>IF(AND($L173*1&gt;=$G$3,$L173*1&lt;=$G$4,$I173*$J173&gt;0,OR($I173&lt;&gt;$I174,$L173-$L174&gt;25),IF(ABS($I173)&gt;10,$I173/POW(10,$J173),$J173/POW(10,$I173))*MAXIFS(Token!$C:$C,Token!$A:$A,$K173)&gt;0.01),$L173/86400+DATE(1970,1,1)+$G$6,)</f>
        <v/>
      </c>
      <c r="B173" s="27" t="str">
        <f t="shared" si="1"/>
        <v/>
      </c>
      <c r="C173" s="14" t="str">
        <f>IF($A173&lt;&gt;"",MINIFS(Merchant!$A:$A,Merchant!$B:$B,$G$2),)</f>
        <v/>
      </c>
      <c r="D173" s="14" t="str">
        <f t="shared" si="2"/>
        <v/>
      </c>
      <c r="E173" s="14" t="str">
        <f t="shared" si="3"/>
        <v/>
      </c>
      <c r="F173" s="7" t="str">
        <f>IF($A173&lt;&gt;"",MAXIFS(Token!$C:$C,Token!$A:$A,$D173),)</f>
        <v/>
      </c>
    </row>
    <row r="174">
      <c r="A174" s="39" t="str">
        <f>IF(AND($L174*1&gt;=$G$3,$L174*1&lt;=$G$4,$I174*$J174&gt;0,OR($I174&lt;&gt;$I175,$L174-$L175&gt;25),IF(ABS($I174)&gt;10,$I174/POW(10,$J174),$J174/POW(10,$I174))*MAXIFS(Token!$C:$C,Token!$A:$A,$K174)&gt;0.01),$L174/86400+DATE(1970,1,1)+$G$6,)</f>
        <v/>
      </c>
      <c r="B174" s="27" t="str">
        <f t="shared" si="1"/>
        <v/>
      </c>
      <c r="C174" s="14" t="str">
        <f>IF($A174&lt;&gt;"",MINIFS(Merchant!$A:$A,Merchant!$B:$B,$G$2),)</f>
        <v/>
      </c>
      <c r="D174" s="14" t="str">
        <f t="shared" si="2"/>
        <v/>
      </c>
      <c r="E174" s="14" t="str">
        <f t="shared" si="3"/>
        <v/>
      </c>
      <c r="F174" s="7" t="str">
        <f>IF($A174&lt;&gt;"",MAXIFS(Token!$C:$C,Token!$A:$A,$D174),)</f>
        <v/>
      </c>
    </row>
    <row r="175">
      <c r="A175" s="39" t="str">
        <f>IF(AND($L175*1&gt;=$G$3,$L175*1&lt;=$G$4,$I175*$J175&gt;0,OR($I175&lt;&gt;$I176,$L175-$L176&gt;25),IF(ABS($I175)&gt;10,$I175/POW(10,$J175),$J175/POW(10,$I175))*MAXIFS(Token!$C:$C,Token!$A:$A,$K175)&gt;0.01),$L175/86400+DATE(1970,1,1)+$G$6,)</f>
        <v/>
      </c>
      <c r="B175" s="27" t="str">
        <f t="shared" si="1"/>
        <v/>
      </c>
      <c r="C175" s="14" t="str">
        <f>IF($A175&lt;&gt;"",MINIFS(Merchant!$A:$A,Merchant!$B:$B,$G$2),)</f>
        <v/>
      </c>
      <c r="D175" s="14" t="str">
        <f t="shared" si="2"/>
        <v/>
      </c>
      <c r="E175" s="14" t="str">
        <f t="shared" si="3"/>
        <v/>
      </c>
      <c r="F175" s="7" t="str">
        <f>IF($A175&lt;&gt;"",MAXIFS(Token!$C:$C,Token!$A:$A,$D175),)</f>
        <v/>
      </c>
    </row>
    <row r="176">
      <c r="A176" s="39" t="str">
        <f>IF(AND($L176*1&gt;=$G$3,$L176*1&lt;=$G$4,$I176*$J176&gt;0,OR($I176&lt;&gt;$I177,$L176-$L177&gt;25),IF(ABS($I176)&gt;10,$I176/POW(10,$J176),$J176/POW(10,$I176))*MAXIFS(Token!$C:$C,Token!$A:$A,$K176)&gt;0.01),$L176/86400+DATE(1970,1,1)+$G$6,)</f>
        <v/>
      </c>
      <c r="B176" s="27" t="str">
        <f t="shared" si="1"/>
        <v/>
      </c>
      <c r="C176" s="14" t="str">
        <f>IF($A176&lt;&gt;"",MINIFS(Merchant!$A:$A,Merchant!$B:$B,$G$2),)</f>
        <v/>
      </c>
      <c r="D176" s="14" t="str">
        <f t="shared" si="2"/>
        <v/>
      </c>
      <c r="E176" s="14" t="str">
        <f t="shared" si="3"/>
        <v/>
      </c>
      <c r="F176" s="7" t="str">
        <f>IF($A176&lt;&gt;"",MAXIFS(Token!$C:$C,Token!$A:$A,$D176),)</f>
        <v/>
      </c>
    </row>
    <row r="177">
      <c r="A177" s="39" t="str">
        <f>IF(AND($L177*1&gt;=$G$3,$L177*1&lt;=$G$4,$I177*$J177&gt;0,OR($I177&lt;&gt;$I178,$L177-$L178&gt;25),IF(ABS($I177)&gt;10,$I177/POW(10,$J177),$J177/POW(10,$I177))*MAXIFS(Token!$C:$C,Token!$A:$A,$K177)&gt;0.01),$L177/86400+DATE(1970,1,1)+$G$6,)</f>
        <v/>
      </c>
      <c r="B177" s="27" t="str">
        <f t="shared" si="1"/>
        <v/>
      </c>
      <c r="C177" s="14" t="str">
        <f>IF($A177&lt;&gt;"",MINIFS(Merchant!$A:$A,Merchant!$B:$B,$G$2),)</f>
        <v/>
      </c>
      <c r="D177" s="14" t="str">
        <f t="shared" si="2"/>
        <v/>
      </c>
      <c r="E177" s="14" t="str">
        <f t="shared" si="3"/>
        <v/>
      </c>
      <c r="F177" s="7" t="str">
        <f>IF($A177&lt;&gt;"",MAXIFS(Token!$C:$C,Token!$A:$A,$D177),)</f>
        <v/>
      </c>
    </row>
    <row r="178">
      <c r="A178" s="39" t="str">
        <f>IF(AND($L178*1&gt;=$G$3,$L178*1&lt;=$G$4,$I178*$J178&gt;0,OR($I178&lt;&gt;$I179,$L178-$L179&gt;25),IF(ABS($I178)&gt;10,$I178/POW(10,$J178),$J178/POW(10,$I178))*MAXIFS(Token!$C:$C,Token!$A:$A,$K178)&gt;0.01),$L178/86400+DATE(1970,1,1)+$G$6,)</f>
        <v/>
      </c>
      <c r="B178" s="27" t="str">
        <f t="shared" si="1"/>
        <v/>
      </c>
      <c r="C178" s="14" t="str">
        <f>IF($A178&lt;&gt;"",MINIFS(Merchant!$A:$A,Merchant!$B:$B,$G$2),)</f>
        <v/>
      </c>
      <c r="D178" s="14" t="str">
        <f t="shared" si="2"/>
        <v/>
      </c>
      <c r="E178" s="14" t="str">
        <f t="shared" si="3"/>
        <v/>
      </c>
      <c r="F178" s="7" t="str">
        <f>IF($A178&lt;&gt;"",MAXIFS(Token!$C:$C,Token!$A:$A,$D178),)</f>
        <v/>
      </c>
    </row>
    <row r="179">
      <c r="A179" s="39" t="str">
        <f>IF(AND($L179*1&gt;=$G$3,$L179*1&lt;=$G$4,$I179*$J179&gt;0,OR($I179&lt;&gt;$I180,$L179-$L180&gt;25),IF(ABS($I179)&gt;10,$I179/POW(10,$J179),$J179/POW(10,$I179))*MAXIFS(Token!$C:$C,Token!$A:$A,$K179)&gt;0.01),$L179/86400+DATE(1970,1,1)+$G$6,)</f>
        <v/>
      </c>
      <c r="B179" s="27" t="str">
        <f t="shared" si="1"/>
        <v/>
      </c>
      <c r="C179" s="14" t="str">
        <f>IF($A179&lt;&gt;"",MINIFS(Merchant!$A:$A,Merchant!$B:$B,$G$2),)</f>
        <v/>
      </c>
      <c r="D179" s="14" t="str">
        <f t="shared" si="2"/>
        <v/>
      </c>
      <c r="E179" s="14" t="str">
        <f t="shared" si="3"/>
        <v/>
      </c>
      <c r="F179" s="7" t="str">
        <f>IF($A179&lt;&gt;"",MAXIFS(Token!$C:$C,Token!$A:$A,$D179),)</f>
        <v/>
      </c>
    </row>
    <row r="180">
      <c r="A180" s="39" t="str">
        <f>IF(AND($L180*1&gt;=$G$3,$L180*1&lt;=$G$4,$I180*$J180&gt;0,OR($I180&lt;&gt;$I181,$L180-$L181&gt;25),IF(ABS($I180)&gt;10,$I180/POW(10,$J180),$J180/POW(10,$I180))*MAXIFS(Token!$C:$C,Token!$A:$A,$K180)&gt;0.01),$L180/86400+DATE(1970,1,1)+$G$6,)</f>
        <v/>
      </c>
      <c r="B180" s="27" t="str">
        <f t="shared" si="1"/>
        <v/>
      </c>
      <c r="C180" s="14" t="str">
        <f>IF($A180&lt;&gt;"",MINIFS(Merchant!$A:$A,Merchant!$B:$B,$G$2),)</f>
        <v/>
      </c>
      <c r="D180" s="14" t="str">
        <f t="shared" si="2"/>
        <v/>
      </c>
      <c r="E180" s="14" t="str">
        <f t="shared" si="3"/>
        <v/>
      </c>
      <c r="F180" s="7" t="str">
        <f>IF($A180&lt;&gt;"",MAXIFS(Token!$C:$C,Token!$A:$A,$D180),)</f>
        <v/>
      </c>
    </row>
    <row r="181">
      <c r="A181" s="39" t="str">
        <f>IF(AND($L181*1&gt;=$G$3,$L181*1&lt;=$G$4,$I181*$J181&gt;0,OR($I181&lt;&gt;$I182,$L181-$L182&gt;25),IF(ABS($I181)&gt;10,$I181/POW(10,$J181),$J181/POW(10,$I181))*MAXIFS(Token!$C:$C,Token!$A:$A,$K181)&gt;0.01),$L181/86400+DATE(1970,1,1)+$G$6,)</f>
        <v/>
      </c>
      <c r="B181" s="27" t="str">
        <f t="shared" si="1"/>
        <v/>
      </c>
      <c r="C181" s="14" t="str">
        <f>IF($A181&lt;&gt;"",MINIFS(Merchant!$A:$A,Merchant!$B:$B,$G$2),)</f>
        <v/>
      </c>
      <c r="D181" s="14" t="str">
        <f t="shared" si="2"/>
        <v/>
      </c>
      <c r="E181" s="14" t="str">
        <f t="shared" si="3"/>
        <v/>
      </c>
      <c r="F181" s="7" t="str">
        <f>IF($A181&lt;&gt;"",MAXIFS(Token!$C:$C,Token!$A:$A,$D181),)</f>
        <v/>
      </c>
    </row>
    <row r="182">
      <c r="A182" s="39" t="str">
        <f>IF(AND($L182*1&gt;=$G$3,$L182*1&lt;=$G$4,$I182*$J182&gt;0,OR($I182&lt;&gt;$I183,$L182-$L183&gt;25),IF(ABS($I182)&gt;10,$I182/POW(10,$J182),$J182/POW(10,$I182))*MAXIFS(Token!$C:$C,Token!$A:$A,$K182)&gt;0.01),$L182/86400+DATE(1970,1,1)+$G$6,)</f>
        <v/>
      </c>
      <c r="B182" s="27" t="str">
        <f t="shared" si="1"/>
        <v/>
      </c>
      <c r="C182" s="14" t="str">
        <f>IF($A182&lt;&gt;"",MINIFS(Merchant!$A:$A,Merchant!$B:$B,$G$2),)</f>
        <v/>
      </c>
      <c r="D182" s="14" t="str">
        <f t="shared" si="2"/>
        <v/>
      </c>
      <c r="E182" s="14" t="str">
        <f t="shared" si="3"/>
        <v/>
      </c>
      <c r="F182" s="7" t="str">
        <f>IF($A182&lt;&gt;"",MAXIFS(Token!$C:$C,Token!$A:$A,$D182),)</f>
        <v/>
      </c>
    </row>
    <row r="183">
      <c r="A183" s="39" t="str">
        <f>IF(AND($L183*1&gt;=$G$3,$L183*1&lt;=$G$4,$I183*$J183&gt;0,OR($I183&lt;&gt;$I184,$L183-$L184&gt;25),IF(ABS($I183)&gt;10,$I183/POW(10,$J183),$J183/POW(10,$I183))*MAXIFS(Token!$C:$C,Token!$A:$A,$K183)&gt;0.01),$L183/86400+DATE(1970,1,1)+$G$6,)</f>
        <v/>
      </c>
      <c r="B183" s="27" t="str">
        <f t="shared" si="1"/>
        <v/>
      </c>
      <c r="C183" s="14" t="str">
        <f>IF($A183&lt;&gt;"",MINIFS(Merchant!$A:$A,Merchant!$B:$B,$G$2),)</f>
        <v/>
      </c>
      <c r="D183" s="14" t="str">
        <f t="shared" si="2"/>
        <v/>
      </c>
      <c r="E183" s="14" t="str">
        <f t="shared" si="3"/>
        <v/>
      </c>
      <c r="F183" s="7" t="str">
        <f>IF($A183&lt;&gt;"",MAXIFS(Token!$C:$C,Token!$A:$A,$D183),)</f>
        <v/>
      </c>
    </row>
    <row r="184">
      <c r="A184" s="39" t="str">
        <f>IF(AND($L184*1&gt;=$G$3,$L184*1&lt;=$G$4,$I184*$J184&gt;0,OR($I184&lt;&gt;$I185,$L184-$L185&gt;25),IF(ABS($I184)&gt;10,$I184/POW(10,$J184),$J184/POW(10,$I184))*MAXIFS(Token!$C:$C,Token!$A:$A,$K184)&gt;0.01),$L184/86400+DATE(1970,1,1)+$G$6,)</f>
        <v/>
      </c>
      <c r="B184" s="27" t="str">
        <f t="shared" si="1"/>
        <v/>
      </c>
      <c r="C184" s="14" t="str">
        <f>IF($A184&lt;&gt;"",MINIFS(Merchant!$A:$A,Merchant!$B:$B,$G$2),)</f>
        <v/>
      </c>
      <c r="D184" s="14" t="str">
        <f t="shared" si="2"/>
        <v/>
      </c>
      <c r="E184" s="14" t="str">
        <f t="shared" si="3"/>
        <v/>
      </c>
      <c r="F184" s="7" t="str">
        <f>IF($A184&lt;&gt;"",MAXIFS(Token!$C:$C,Token!$A:$A,$D184),)</f>
        <v/>
      </c>
    </row>
    <row r="185">
      <c r="A185" s="39" t="str">
        <f>IF(AND($L185*1&gt;=$G$3,$L185*1&lt;=$G$4,$I185*$J185&gt;0,OR($I185&lt;&gt;$I186,$L185-$L186&gt;25),IF(ABS($I185)&gt;10,$I185/POW(10,$J185),$J185/POW(10,$I185))*MAXIFS(Token!$C:$C,Token!$A:$A,$K185)&gt;0.01),$L185/86400+DATE(1970,1,1)+$G$6,)</f>
        <v/>
      </c>
      <c r="B185" s="27" t="str">
        <f t="shared" si="1"/>
        <v/>
      </c>
      <c r="C185" s="14" t="str">
        <f>IF($A185&lt;&gt;"",MINIFS(Merchant!$A:$A,Merchant!$B:$B,$G$2),)</f>
        <v/>
      </c>
      <c r="D185" s="14" t="str">
        <f t="shared" si="2"/>
        <v/>
      </c>
      <c r="E185" s="14" t="str">
        <f t="shared" si="3"/>
        <v/>
      </c>
      <c r="F185" s="7" t="str">
        <f>IF($A185&lt;&gt;"",MAXIFS(Token!$C:$C,Token!$A:$A,$D185),)</f>
        <v/>
      </c>
    </row>
    <row r="186">
      <c r="A186" s="39" t="str">
        <f>IF(AND($L186*1&gt;=$G$3,$L186*1&lt;=$G$4,$I186*$J186&gt;0,OR($I186&lt;&gt;$I187,$L186-$L187&gt;25),IF(ABS($I186)&gt;10,$I186/POW(10,$J186),$J186/POW(10,$I186))*MAXIFS(Token!$C:$C,Token!$A:$A,$K186)&gt;0.01),$L186/86400+DATE(1970,1,1)+$G$6,)</f>
        <v/>
      </c>
      <c r="B186" s="27" t="str">
        <f t="shared" si="1"/>
        <v/>
      </c>
      <c r="C186" s="14" t="str">
        <f>IF($A186&lt;&gt;"",MINIFS(Merchant!$A:$A,Merchant!$B:$B,$G$2),)</f>
        <v/>
      </c>
      <c r="D186" s="14" t="str">
        <f t="shared" si="2"/>
        <v/>
      </c>
      <c r="E186" s="14" t="str">
        <f t="shared" si="3"/>
        <v/>
      </c>
      <c r="F186" s="7" t="str">
        <f>IF($A186&lt;&gt;"",MAXIFS(Token!$C:$C,Token!$A:$A,$D186),)</f>
        <v/>
      </c>
    </row>
    <row r="187">
      <c r="A187" s="39" t="str">
        <f>IF(AND($L187*1&gt;=$G$3,$L187*1&lt;=$G$4,$I187*$J187&gt;0,OR($I187&lt;&gt;$I188,$L187-$L188&gt;25),IF(ABS($I187)&gt;10,$I187/POW(10,$J187),$J187/POW(10,$I187))*MAXIFS(Token!$C:$C,Token!$A:$A,$K187)&gt;0.01),$L187/86400+DATE(1970,1,1)+$G$6,)</f>
        <v/>
      </c>
      <c r="B187" s="27" t="str">
        <f t="shared" si="1"/>
        <v/>
      </c>
      <c r="C187" s="14" t="str">
        <f>IF($A187&lt;&gt;"",MINIFS(Merchant!$A:$A,Merchant!$B:$B,$G$2),)</f>
        <v/>
      </c>
      <c r="D187" s="14" t="str">
        <f t="shared" si="2"/>
        <v/>
      </c>
      <c r="E187" s="14" t="str">
        <f t="shared" si="3"/>
        <v/>
      </c>
      <c r="F187" s="7" t="str">
        <f>IF($A187&lt;&gt;"",MAXIFS(Token!$C:$C,Token!$A:$A,$D187),)</f>
        <v/>
      </c>
    </row>
    <row r="188">
      <c r="A188" s="39" t="str">
        <f>IF(AND($L188*1&gt;=$G$3,$L188*1&lt;=$G$4,$I188*$J188&gt;0,OR($I188&lt;&gt;$I189,$L188-$L189&gt;25),IF(ABS($I188)&gt;10,$I188/POW(10,$J188),$J188/POW(10,$I188))*MAXIFS(Token!$C:$C,Token!$A:$A,$K188)&gt;0.01),$L188/86400+DATE(1970,1,1)+$G$6,)</f>
        <v/>
      </c>
      <c r="B188" s="27" t="str">
        <f t="shared" si="1"/>
        <v/>
      </c>
      <c r="C188" s="14" t="str">
        <f>IF($A188&lt;&gt;"",MINIFS(Merchant!$A:$A,Merchant!$B:$B,$G$2),)</f>
        <v/>
      </c>
      <c r="D188" s="14" t="str">
        <f t="shared" si="2"/>
        <v/>
      </c>
      <c r="E188" s="14" t="str">
        <f t="shared" si="3"/>
        <v/>
      </c>
      <c r="F188" s="7" t="str">
        <f>IF($A188&lt;&gt;"",MAXIFS(Token!$C:$C,Token!$A:$A,$D188),)</f>
        <v/>
      </c>
    </row>
    <row r="189">
      <c r="A189" s="39" t="str">
        <f>IF(AND($L189*1&gt;=$G$3,$L189*1&lt;=$G$4,$I189*$J189&gt;0,OR($I189&lt;&gt;$I190,$L189-$L190&gt;25),IF(ABS($I189)&gt;10,$I189/POW(10,$J189),$J189/POW(10,$I189))*MAXIFS(Token!$C:$C,Token!$A:$A,$K189)&gt;0.01),$L189/86400+DATE(1970,1,1)+$G$6,)</f>
        <v/>
      </c>
      <c r="B189" s="27" t="str">
        <f t="shared" si="1"/>
        <v/>
      </c>
      <c r="C189" s="14" t="str">
        <f>IF($A189&lt;&gt;"",MINIFS(Merchant!$A:$A,Merchant!$B:$B,$G$2),)</f>
        <v/>
      </c>
      <c r="D189" s="14" t="str">
        <f t="shared" si="2"/>
        <v/>
      </c>
      <c r="E189" s="14" t="str">
        <f t="shared" si="3"/>
        <v/>
      </c>
      <c r="F189" s="7" t="str">
        <f>IF($A189&lt;&gt;"",MAXIFS(Token!$C:$C,Token!$A:$A,$D189),)</f>
        <v/>
      </c>
    </row>
    <row r="190">
      <c r="A190" s="39" t="str">
        <f>IF(AND($L190*1&gt;=$G$3,$L190*1&lt;=$G$4,$I190*$J190&gt;0,OR($I190&lt;&gt;$I191,$L190-$L191&gt;25),IF(ABS($I190)&gt;10,$I190/POW(10,$J190),$J190/POW(10,$I190))*MAXIFS(Token!$C:$C,Token!$A:$A,$K190)&gt;0.01),$L190/86400+DATE(1970,1,1)+$G$6,)</f>
        <v/>
      </c>
      <c r="B190" s="27" t="str">
        <f t="shared" si="1"/>
        <v/>
      </c>
      <c r="C190" s="14" t="str">
        <f>IF($A190&lt;&gt;"",MINIFS(Merchant!$A:$A,Merchant!$B:$B,$G$2),)</f>
        <v/>
      </c>
      <c r="D190" s="14" t="str">
        <f t="shared" si="2"/>
        <v/>
      </c>
      <c r="E190" s="14" t="str">
        <f t="shared" si="3"/>
        <v/>
      </c>
      <c r="F190" s="7" t="str">
        <f>IF($A190&lt;&gt;"",MAXIFS(Token!$C:$C,Token!$A:$A,$D190),)</f>
        <v/>
      </c>
    </row>
    <row r="191">
      <c r="A191" s="39" t="str">
        <f>IF(AND($L191*1&gt;=$G$3,$L191*1&lt;=$G$4,$I191*$J191&gt;0,OR($I191&lt;&gt;$I192,$L191-$L192&gt;25),IF(ABS($I191)&gt;10,$I191/POW(10,$J191),$J191/POW(10,$I191))*MAXIFS(Token!$C:$C,Token!$A:$A,$K191)&gt;0.01),$L191/86400+DATE(1970,1,1)+$G$6,)</f>
        <v/>
      </c>
      <c r="B191" s="27" t="str">
        <f t="shared" si="1"/>
        <v/>
      </c>
      <c r="C191" s="14" t="str">
        <f>IF($A191&lt;&gt;"",MINIFS(Merchant!$A:$A,Merchant!$B:$B,$G$2),)</f>
        <v/>
      </c>
      <c r="D191" s="14" t="str">
        <f t="shared" si="2"/>
        <v/>
      </c>
      <c r="E191" s="14" t="str">
        <f t="shared" si="3"/>
        <v/>
      </c>
      <c r="F191" s="7" t="str">
        <f>IF($A191&lt;&gt;"",MAXIFS(Token!$C:$C,Token!$A:$A,$D191),)</f>
        <v/>
      </c>
    </row>
    <row r="192">
      <c r="A192" s="39" t="str">
        <f>IF(AND($L192*1&gt;=$G$3,$L192*1&lt;=$G$4,$I192*$J192&gt;0,OR($I192&lt;&gt;$I193,$L192-$L193&gt;25),IF(ABS($I192)&gt;10,$I192/POW(10,$J192),$J192/POW(10,$I192))*MAXIFS(Token!$C:$C,Token!$A:$A,$K192)&gt;0.01),$L192/86400+DATE(1970,1,1)+$G$6,)</f>
        <v/>
      </c>
      <c r="B192" s="27" t="str">
        <f t="shared" si="1"/>
        <v/>
      </c>
      <c r="C192" s="14" t="str">
        <f>IF($A192&lt;&gt;"",MINIFS(Merchant!$A:$A,Merchant!$B:$B,$G$2),)</f>
        <v/>
      </c>
      <c r="D192" s="14" t="str">
        <f t="shared" si="2"/>
        <v/>
      </c>
      <c r="E192" s="14" t="str">
        <f t="shared" si="3"/>
        <v/>
      </c>
      <c r="F192" s="7" t="str">
        <f>IF($A192&lt;&gt;"",MAXIFS(Token!$C:$C,Token!$A:$A,$D192),)</f>
        <v/>
      </c>
    </row>
    <row r="193">
      <c r="A193" s="39" t="str">
        <f>IF(AND($L193*1&gt;=$G$3,$L193*1&lt;=$G$4,$I193*$J193&gt;0,OR($I193&lt;&gt;$I194,$L193-$L194&gt;25),IF(ABS($I193)&gt;10,$I193/POW(10,$J193),$J193/POW(10,$I193))*MAXIFS(Token!$C:$C,Token!$A:$A,$K193)&gt;0.01),$L193/86400+DATE(1970,1,1)+$G$6,)</f>
        <v/>
      </c>
      <c r="B193" s="27" t="str">
        <f t="shared" si="1"/>
        <v/>
      </c>
      <c r="C193" s="14" t="str">
        <f>IF($A193&lt;&gt;"",MINIFS(Merchant!$A:$A,Merchant!$B:$B,$G$2),)</f>
        <v/>
      </c>
      <c r="D193" s="14" t="str">
        <f t="shared" si="2"/>
        <v/>
      </c>
      <c r="E193" s="14" t="str">
        <f t="shared" si="3"/>
        <v/>
      </c>
      <c r="F193" s="7" t="str">
        <f>IF($A193&lt;&gt;"",MAXIFS(Token!$C:$C,Token!$A:$A,$D193),)</f>
        <v/>
      </c>
    </row>
    <row r="194">
      <c r="A194" s="39" t="str">
        <f>IF(AND($L194*1&gt;=$G$3,$L194*1&lt;=$G$4,$I194*$J194&gt;0,OR($I194&lt;&gt;$I195,$L194-$L195&gt;25),IF(ABS($I194)&gt;10,$I194/POW(10,$J194),$J194/POW(10,$I194))*MAXIFS(Token!$C:$C,Token!$A:$A,$K194)&gt;0.01),$L194/86400+DATE(1970,1,1)+$G$6,)</f>
        <v/>
      </c>
      <c r="B194" s="27" t="str">
        <f t="shared" si="1"/>
        <v/>
      </c>
      <c r="C194" s="14" t="str">
        <f>IF($A194&lt;&gt;"",MINIFS(Merchant!$A:$A,Merchant!$B:$B,$G$2),)</f>
        <v/>
      </c>
      <c r="D194" s="14" t="str">
        <f t="shared" si="2"/>
        <v/>
      </c>
      <c r="E194" s="14" t="str">
        <f t="shared" si="3"/>
        <v/>
      </c>
      <c r="F194" s="7" t="str">
        <f>IF($A194&lt;&gt;"",MAXIFS(Token!$C:$C,Token!$A:$A,$D194),)</f>
        <v/>
      </c>
    </row>
    <row r="195">
      <c r="A195" s="39" t="str">
        <f>IF(AND($L195*1&gt;=$G$3,$L195*1&lt;=$G$4,$I195*$J195&gt;0,OR($I195&lt;&gt;$I196,$L195-$L196&gt;25),IF(ABS($I195)&gt;10,$I195/POW(10,$J195),$J195/POW(10,$I195))*MAXIFS(Token!$C:$C,Token!$A:$A,$K195)&gt;0.01),$L195/86400+DATE(1970,1,1)+$G$6,)</f>
        <v/>
      </c>
      <c r="B195" s="27" t="str">
        <f t="shared" si="1"/>
        <v/>
      </c>
      <c r="C195" s="14" t="str">
        <f>IF($A195&lt;&gt;"",MINIFS(Merchant!$A:$A,Merchant!$B:$B,$G$2),)</f>
        <v/>
      </c>
      <c r="D195" s="14" t="str">
        <f t="shared" si="2"/>
        <v/>
      </c>
      <c r="E195" s="14" t="str">
        <f t="shared" si="3"/>
        <v/>
      </c>
      <c r="F195" s="7" t="str">
        <f>IF($A195&lt;&gt;"",MAXIFS(Token!$C:$C,Token!$A:$A,$D195),)</f>
        <v/>
      </c>
    </row>
    <row r="196">
      <c r="A196" s="39" t="str">
        <f>IF(AND($L196*1&gt;=$G$3,$L196*1&lt;=$G$4,$I196*$J196&gt;0,OR($I196&lt;&gt;$I197,$L196-$L197&gt;25),IF(ABS($I196)&gt;10,$I196/POW(10,$J196),$J196/POW(10,$I196))*MAXIFS(Token!$C:$C,Token!$A:$A,$K196)&gt;0.01),$L196/86400+DATE(1970,1,1)+$G$6,)</f>
        <v/>
      </c>
      <c r="B196" s="27" t="str">
        <f t="shared" si="1"/>
        <v/>
      </c>
      <c r="C196" s="14" t="str">
        <f>IF($A196&lt;&gt;"",MINIFS(Merchant!$A:$A,Merchant!$B:$B,$G$2),)</f>
        <v/>
      </c>
      <c r="D196" s="14" t="str">
        <f t="shared" si="2"/>
        <v/>
      </c>
      <c r="E196" s="14" t="str">
        <f t="shared" si="3"/>
        <v/>
      </c>
      <c r="F196" s="7" t="str">
        <f>IF($A196&lt;&gt;"",MAXIFS(Token!$C:$C,Token!$A:$A,$D196),)</f>
        <v/>
      </c>
    </row>
    <row r="197">
      <c r="A197" s="39" t="str">
        <f>IF(AND($L197*1&gt;=$G$3,$L197*1&lt;=$G$4,$I197*$J197&gt;0,OR($I197&lt;&gt;$I198,$L197-$L198&gt;25),IF(ABS($I197)&gt;10,$I197/POW(10,$J197),$J197/POW(10,$I197))*MAXIFS(Token!$C:$C,Token!$A:$A,$K197)&gt;0.01),$L197/86400+DATE(1970,1,1)+$G$6,)</f>
        <v/>
      </c>
      <c r="B197" s="27" t="str">
        <f t="shared" si="1"/>
        <v/>
      </c>
      <c r="C197" s="14" t="str">
        <f>IF($A197&lt;&gt;"",MINIFS(Merchant!$A:$A,Merchant!$B:$B,$G$2),)</f>
        <v/>
      </c>
      <c r="D197" s="14" t="str">
        <f t="shared" si="2"/>
        <v/>
      </c>
      <c r="E197" s="14" t="str">
        <f t="shared" si="3"/>
        <v/>
      </c>
      <c r="F197" s="7" t="str">
        <f>IF($A197&lt;&gt;"",MAXIFS(Token!$C:$C,Token!$A:$A,$D197),)</f>
        <v/>
      </c>
    </row>
    <row r="198">
      <c r="A198" s="39" t="str">
        <f>IF(AND($L198*1&gt;=$G$3,$L198*1&lt;=$G$4,$I198*$J198&gt;0,OR($I198&lt;&gt;$I199,$L198-$L199&gt;25),IF(ABS($I198)&gt;10,$I198/POW(10,$J198),$J198/POW(10,$I198))*MAXIFS(Token!$C:$C,Token!$A:$A,$K198)&gt;0.01),$L198/86400+DATE(1970,1,1)+$G$6,)</f>
        <v/>
      </c>
      <c r="B198" s="27" t="str">
        <f t="shared" si="1"/>
        <v/>
      </c>
      <c r="C198" s="14" t="str">
        <f>IF($A198&lt;&gt;"",MINIFS(Merchant!$A:$A,Merchant!$B:$B,$G$2),)</f>
        <v/>
      </c>
      <c r="D198" s="14" t="str">
        <f t="shared" si="2"/>
        <v/>
      </c>
      <c r="E198" s="14" t="str">
        <f t="shared" si="3"/>
        <v/>
      </c>
      <c r="F198" s="7" t="str">
        <f>IF($A198&lt;&gt;"",MAXIFS(Token!$C:$C,Token!$A:$A,$D198),)</f>
        <v/>
      </c>
    </row>
    <row r="199">
      <c r="A199" s="39" t="str">
        <f>IF(AND($L199*1&gt;=$G$3,$L199*1&lt;=$G$4,$I199*$J199&gt;0,OR($I199&lt;&gt;$I200,$L199-$L200&gt;25),IF(ABS($I199)&gt;10,$I199/POW(10,$J199),$J199/POW(10,$I199))*MAXIFS(Token!$C:$C,Token!$A:$A,$K199)&gt;0.01),$L199/86400+DATE(1970,1,1)+$G$6,)</f>
        <v/>
      </c>
      <c r="B199" s="27" t="str">
        <f t="shared" si="1"/>
        <v/>
      </c>
      <c r="C199" s="14" t="str">
        <f>IF($A199&lt;&gt;"",MINIFS(Merchant!$A:$A,Merchant!$B:$B,$G$2),)</f>
        <v/>
      </c>
      <c r="D199" s="14" t="str">
        <f t="shared" si="2"/>
        <v/>
      </c>
      <c r="E199" s="14" t="str">
        <f t="shared" si="3"/>
        <v/>
      </c>
      <c r="F199" s="7" t="str">
        <f>IF($A199&lt;&gt;"",MAXIFS(Token!$C:$C,Token!$A:$A,$D199),)</f>
        <v/>
      </c>
    </row>
    <row r="200">
      <c r="A200" s="39" t="str">
        <f>IF(AND($L200*1&gt;=$G$3,$L200*1&lt;=$G$4,$I200*$J200&gt;0,OR($I200&lt;&gt;$I201,$L200-$L201&gt;25),IF(ABS($I200)&gt;10,$I200/POW(10,$J200),$J200/POW(10,$I200))*MAXIFS(Token!$C:$C,Token!$A:$A,$K200)&gt;0.01),$L200/86400+DATE(1970,1,1)+$G$6,)</f>
        <v/>
      </c>
      <c r="B200" s="27" t="str">
        <f t="shared" si="1"/>
        <v/>
      </c>
      <c r="C200" s="14" t="str">
        <f>IF($A200&lt;&gt;"",MINIFS(Merchant!$A:$A,Merchant!$B:$B,$G$2),)</f>
        <v/>
      </c>
      <c r="D200" s="14" t="str">
        <f t="shared" si="2"/>
        <v/>
      </c>
      <c r="E200" s="14" t="str">
        <f t="shared" si="3"/>
        <v/>
      </c>
      <c r="F200" s="7" t="str">
        <f>IF($A200&lt;&gt;"",MAXIFS(Token!$C:$C,Token!$A:$A,$D200),)</f>
        <v/>
      </c>
    </row>
    <row r="201">
      <c r="A201" s="39" t="str">
        <f>IF(AND($L201*1&gt;=$G$3,$L201*1&lt;=$G$4,$I201*$J201&gt;0,OR($I201&lt;&gt;$I202,$L201-$L202&gt;25),IF(ABS($I201)&gt;10,$I201/POW(10,$J201),$J201/POW(10,$I201))*MAXIFS(Token!$C:$C,Token!$A:$A,$K201)&gt;0.01),$L201/86400+DATE(1970,1,1)+$G$6,)</f>
        <v/>
      </c>
      <c r="B201" s="27" t="str">
        <f t="shared" si="1"/>
        <v/>
      </c>
      <c r="C201" s="14" t="str">
        <f>IF($A201&lt;&gt;"",MINIFS(Merchant!$A:$A,Merchant!$B:$B,$G$2),)</f>
        <v/>
      </c>
      <c r="D201" s="14" t="str">
        <f t="shared" si="2"/>
        <v/>
      </c>
      <c r="E201" s="14" t="str">
        <f t="shared" si="3"/>
        <v/>
      </c>
      <c r="F201" s="7" t="str">
        <f>IF($A201&lt;&gt;"",MAXIFS(Token!$C:$C,Token!$A:$A,$D201),)</f>
        <v/>
      </c>
    </row>
    <row r="202">
      <c r="A202" s="39" t="str">
        <f>IF(AND($L202*1&gt;=$G$3,$L202*1&lt;=$G$4,$I202*$J202&gt;0,OR($I202&lt;&gt;$I203,$L202-$L203&gt;25),IF(ABS($I202)&gt;10,$I202/POW(10,$J202),$J202/POW(10,$I202))*MAXIFS(Token!$C:$C,Token!$A:$A,$K202)&gt;0.01),$L202/86400+DATE(1970,1,1)+$G$6,)</f>
        <v/>
      </c>
      <c r="B202" s="27" t="str">
        <f t="shared" si="1"/>
        <v/>
      </c>
      <c r="C202" s="14" t="str">
        <f>IF($A202&lt;&gt;"",MINIFS(Merchant!$A:$A,Merchant!$B:$B,$G$2),)</f>
        <v/>
      </c>
      <c r="D202" s="14" t="str">
        <f t="shared" si="2"/>
        <v/>
      </c>
      <c r="E202" s="14" t="str">
        <f t="shared" si="3"/>
        <v/>
      </c>
      <c r="F202" s="7" t="str">
        <f>IF($A202&lt;&gt;"",MAXIFS(Token!$C:$C,Token!$A:$A,$D202),)</f>
        <v/>
      </c>
    </row>
    <row r="203">
      <c r="A203" s="39" t="str">
        <f>IF(AND($L203*1&gt;=$G$3,$L203*1&lt;=$G$4,$I203*$J203&gt;0,OR($I203&lt;&gt;$I204,$L203-$L204&gt;25),IF(ABS($I203)&gt;10,$I203/POW(10,$J203),$J203/POW(10,$I203))*MAXIFS(Token!$C:$C,Token!$A:$A,$K203)&gt;0.01),$L203/86400+DATE(1970,1,1)+$G$6,)</f>
        <v/>
      </c>
      <c r="B203" s="27" t="str">
        <f t="shared" si="1"/>
        <v/>
      </c>
      <c r="C203" s="14" t="str">
        <f>IF($A203&lt;&gt;"",MINIFS(Merchant!$A:$A,Merchant!$B:$B,$G$2),)</f>
        <v/>
      </c>
      <c r="D203" s="14" t="str">
        <f t="shared" si="2"/>
        <v/>
      </c>
      <c r="E203" s="14" t="str">
        <f t="shared" si="3"/>
        <v/>
      </c>
      <c r="F203" s="7" t="str">
        <f>IF($A203&lt;&gt;"",MAXIFS(Token!$C:$C,Token!$A:$A,$D203),)</f>
        <v/>
      </c>
    </row>
    <row r="204">
      <c r="A204" s="39" t="str">
        <f>IF(AND($L204*1&gt;=$G$3,$L204*1&lt;=$G$4,$I204*$J204&gt;0,OR($I204&lt;&gt;$I205,$L204-$L205&gt;25),IF(ABS($I204)&gt;10,$I204/POW(10,$J204),$J204/POW(10,$I204))*MAXIFS(Token!$C:$C,Token!$A:$A,$K204)&gt;0.01),$L204/86400+DATE(1970,1,1)+$G$6,)</f>
        <v/>
      </c>
      <c r="B204" s="27" t="str">
        <f t="shared" si="1"/>
        <v/>
      </c>
      <c r="C204" s="14" t="str">
        <f>IF($A204&lt;&gt;"",MINIFS(Merchant!$A:$A,Merchant!$B:$B,$G$2),)</f>
        <v/>
      </c>
      <c r="D204" s="14" t="str">
        <f t="shared" si="2"/>
        <v/>
      </c>
      <c r="E204" s="14" t="str">
        <f t="shared" si="3"/>
        <v/>
      </c>
      <c r="F204" s="7" t="str">
        <f>IF($A204&lt;&gt;"",MAXIFS(Token!$C:$C,Token!$A:$A,$D204),)</f>
        <v/>
      </c>
    </row>
    <row r="205">
      <c r="A205" s="39" t="str">
        <f>IF(AND($L205*1&gt;=$G$3,$L205*1&lt;=$G$4,$I205*$J205&gt;0,OR($I205&lt;&gt;$I206,$L205-$L206&gt;25),IF(ABS($I205)&gt;10,$I205/POW(10,$J205),$J205/POW(10,$I205))*MAXIFS(Token!$C:$C,Token!$A:$A,$K205)&gt;0.01),$L205/86400+DATE(1970,1,1)+$G$6,)</f>
        <v/>
      </c>
      <c r="B205" s="27" t="str">
        <f t="shared" si="1"/>
        <v/>
      </c>
      <c r="C205" s="14" t="str">
        <f>IF($A205&lt;&gt;"",MINIFS(Merchant!$A:$A,Merchant!$B:$B,$G$2),)</f>
        <v/>
      </c>
      <c r="D205" s="14" t="str">
        <f t="shared" si="2"/>
        <v/>
      </c>
      <c r="E205" s="14" t="str">
        <f t="shared" si="3"/>
        <v/>
      </c>
      <c r="F205" s="7" t="str">
        <f>IF($A205&lt;&gt;"",MAXIFS(Token!$C:$C,Token!$A:$A,$D205),)</f>
        <v/>
      </c>
    </row>
    <row r="206">
      <c r="A206" s="39" t="str">
        <f>IF(AND($L206*1&gt;=$G$3,$L206*1&lt;=$G$4,$I206*$J206&gt;0,OR($I206&lt;&gt;$I207,$L206-$L207&gt;25),IF(ABS($I206)&gt;10,$I206/POW(10,$J206),$J206/POW(10,$I206))*MAXIFS(Token!$C:$C,Token!$A:$A,$K206)&gt;0.01),$L206/86400+DATE(1970,1,1)+$G$6,)</f>
        <v/>
      </c>
      <c r="B206" s="27" t="str">
        <f t="shared" si="1"/>
        <v/>
      </c>
      <c r="C206" s="14" t="str">
        <f>IF($A206&lt;&gt;"",MINIFS(Merchant!$A:$A,Merchant!$B:$B,$G$2),)</f>
        <v/>
      </c>
      <c r="D206" s="14" t="str">
        <f t="shared" si="2"/>
        <v/>
      </c>
      <c r="E206" s="14" t="str">
        <f t="shared" si="3"/>
        <v/>
      </c>
      <c r="F206" s="7" t="str">
        <f>IF($A206&lt;&gt;"",MAXIFS(Token!$C:$C,Token!$A:$A,$D206),)</f>
        <v/>
      </c>
    </row>
    <row r="207">
      <c r="A207" s="39" t="str">
        <f>IF(AND($L207*1&gt;=$G$3,$L207*1&lt;=$G$4,$I207*$J207&gt;0,OR($I207&lt;&gt;$I208,$L207-$L208&gt;25),IF(ABS($I207)&gt;10,$I207/POW(10,$J207),$J207/POW(10,$I207))*MAXIFS(Token!$C:$C,Token!$A:$A,$K207)&gt;0.01),$L207/86400+DATE(1970,1,1)+$G$6,)</f>
        <v/>
      </c>
      <c r="B207" s="27" t="str">
        <f t="shared" si="1"/>
        <v/>
      </c>
      <c r="C207" s="14" t="str">
        <f>IF($A207&lt;&gt;"",MINIFS(Merchant!$A:$A,Merchant!$B:$B,$G$2),)</f>
        <v/>
      </c>
      <c r="D207" s="14" t="str">
        <f t="shared" si="2"/>
        <v/>
      </c>
      <c r="E207" s="14" t="str">
        <f t="shared" si="3"/>
        <v/>
      </c>
      <c r="F207" s="7" t="str">
        <f>IF($A207&lt;&gt;"",MAXIFS(Token!$C:$C,Token!$A:$A,$D207),)</f>
        <v/>
      </c>
    </row>
    <row r="208">
      <c r="A208" s="39" t="str">
        <f>IF(AND($L208*1&gt;=$G$3,$L208*1&lt;=$G$4,$I208*$J208&gt;0,OR($I208&lt;&gt;$I209,$L208-$L209&gt;25),IF(ABS($I208)&gt;10,$I208/POW(10,$J208),$J208/POW(10,$I208))*MAXIFS(Token!$C:$C,Token!$A:$A,$K208)&gt;0.01),$L208/86400+DATE(1970,1,1)+$G$6,)</f>
        <v/>
      </c>
      <c r="B208" s="27" t="str">
        <f t="shared" si="1"/>
        <v/>
      </c>
      <c r="C208" s="14" t="str">
        <f>IF($A208&lt;&gt;"",MINIFS(Merchant!$A:$A,Merchant!$B:$B,$G$2),)</f>
        <v/>
      </c>
      <c r="D208" s="14" t="str">
        <f t="shared" si="2"/>
        <v/>
      </c>
      <c r="E208" s="14" t="str">
        <f t="shared" si="3"/>
        <v/>
      </c>
      <c r="F208" s="7" t="str">
        <f>IF($A208&lt;&gt;"",MAXIFS(Token!$C:$C,Token!$A:$A,$D208),)</f>
        <v/>
      </c>
    </row>
    <row r="209">
      <c r="A209" s="39" t="str">
        <f>IF(AND($L209*1&gt;=$G$3,$L209*1&lt;=$G$4,$I209*$J209&gt;0,OR($I209&lt;&gt;$I210,$L209-$L210&gt;25),IF(ABS($I209)&gt;10,$I209/POW(10,$J209),$J209/POW(10,$I209))*MAXIFS(Token!$C:$C,Token!$A:$A,$K209)&gt;0.01),$L209/86400+DATE(1970,1,1)+$G$6,)</f>
        <v/>
      </c>
      <c r="B209" s="27" t="str">
        <f t="shared" si="1"/>
        <v/>
      </c>
      <c r="C209" s="14" t="str">
        <f>IF($A209&lt;&gt;"",MINIFS(Merchant!$A:$A,Merchant!$B:$B,$G$2),)</f>
        <v/>
      </c>
      <c r="D209" s="14" t="str">
        <f t="shared" si="2"/>
        <v/>
      </c>
      <c r="E209" s="14" t="str">
        <f t="shared" si="3"/>
        <v/>
      </c>
      <c r="F209" s="7" t="str">
        <f>IF($A209&lt;&gt;"",MAXIFS(Token!$C:$C,Token!$A:$A,$D209),)</f>
        <v/>
      </c>
    </row>
    <row r="210">
      <c r="A210" s="39" t="str">
        <f>IF(AND($L210*1&gt;=$G$3,$L210*1&lt;=$G$4,$I210*$J210&gt;0,OR($I210&lt;&gt;$I211,$L210-$L211&gt;25),IF(ABS($I210)&gt;10,$I210/POW(10,$J210),$J210/POW(10,$I210))*MAXIFS(Token!$C:$C,Token!$A:$A,$K210)&gt;0.01),$L210/86400+DATE(1970,1,1)+$G$6,)</f>
        <v/>
      </c>
      <c r="B210" s="27" t="str">
        <f t="shared" si="1"/>
        <v/>
      </c>
      <c r="C210" s="14" t="str">
        <f>IF($A210&lt;&gt;"",MINIFS(Merchant!$A:$A,Merchant!$B:$B,$G$2),)</f>
        <v/>
      </c>
      <c r="D210" s="14" t="str">
        <f t="shared" si="2"/>
        <v/>
      </c>
      <c r="E210" s="14" t="str">
        <f t="shared" si="3"/>
        <v/>
      </c>
      <c r="F210" s="7" t="str">
        <f>IF($A210&lt;&gt;"",MAXIFS(Token!$C:$C,Token!$A:$A,$D210),)</f>
        <v/>
      </c>
    </row>
    <row r="211">
      <c r="A211" s="39" t="str">
        <f>IF(AND($L211*1&gt;=$G$3,$L211*1&lt;=$G$4,$I211*$J211&gt;0,OR($I211&lt;&gt;$I212,$L211-$L212&gt;25),IF(ABS($I211)&gt;10,$I211/POW(10,$J211),$J211/POW(10,$I211))*MAXIFS(Token!$C:$C,Token!$A:$A,$K211)&gt;0.01),$L211/86400+DATE(1970,1,1)+$G$6,)</f>
        <v/>
      </c>
      <c r="B211" s="27" t="str">
        <f t="shared" si="1"/>
        <v/>
      </c>
      <c r="C211" s="14" t="str">
        <f>IF($A211&lt;&gt;"",MINIFS(Merchant!$A:$A,Merchant!$B:$B,$G$2),)</f>
        <v/>
      </c>
      <c r="D211" s="14" t="str">
        <f t="shared" si="2"/>
        <v/>
      </c>
      <c r="E211" s="14" t="str">
        <f t="shared" si="3"/>
        <v/>
      </c>
      <c r="F211" s="7" t="str">
        <f>IF($A211&lt;&gt;"",MAXIFS(Token!$C:$C,Token!$A:$A,$D211),)</f>
        <v/>
      </c>
    </row>
    <row r="212">
      <c r="A212" s="39" t="str">
        <f>IF(AND($L212*1&gt;=$G$3,$L212*1&lt;=$G$4,$I212*$J212&gt;0,OR($I212&lt;&gt;$I213,$L212-$L213&gt;25),IF(ABS($I212)&gt;10,$I212/POW(10,$J212),$J212/POW(10,$I212))*MAXIFS(Token!$C:$C,Token!$A:$A,$K212)&gt;0.01),$L212/86400+DATE(1970,1,1)+$G$6,)</f>
        <v/>
      </c>
      <c r="B212" s="27" t="str">
        <f t="shared" si="1"/>
        <v/>
      </c>
      <c r="C212" s="14" t="str">
        <f>IF($A212&lt;&gt;"",MINIFS(Merchant!$A:$A,Merchant!$B:$B,$G$2),)</f>
        <v/>
      </c>
      <c r="D212" s="14" t="str">
        <f t="shared" si="2"/>
        <v/>
      </c>
      <c r="E212" s="14" t="str">
        <f t="shared" si="3"/>
        <v/>
      </c>
      <c r="F212" s="7" t="str">
        <f>IF($A212&lt;&gt;"",MAXIFS(Token!$C:$C,Token!$A:$A,$D212),)</f>
        <v/>
      </c>
    </row>
    <row r="213">
      <c r="A213" s="39" t="str">
        <f>IF(AND($L213*1&gt;=$G$3,$L213*1&lt;=$G$4,$I213*$J213&gt;0,OR($I213&lt;&gt;$I214,$L213-$L214&gt;25),IF(ABS($I213)&gt;10,$I213/POW(10,$J213),$J213/POW(10,$I213))*MAXIFS(Token!$C:$C,Token!$A:$A,$K213)&gt;0.01),$L213/86400+DATE(1970,1,1)+$G$6,)</f>
        <v/>
      </c>
      <c r="B213" s="27" t="str">
        <f t="shared" si="1"/>
        <v/>
      </c>
      <c r="C213" s="14" t="str">
        <f>IF($A213&lt;&gt;"",MINIFS(Merchant!$A:$A,Merchant!$B:$B,$G$2),)</f>
        <v/>
      </c>
      <c r="D213" s="14" t="str">
        <f t="shared" si="2"/>
        <v/>
      </c>
      <c r="E213" s="14" t="str">
        <f t="shared" si="3"/>
        <v/>
      </c>
      <c r="F213" s="7" t="str">
        <f>IF($A213&lt;&gt;"",MAXIFS(Token!$C:$C,Token!$A:$A,$D213),)</f>
        <v/>
      </c>
    </row>
    <row r="214">
      <c r="A214" s="39" t="str">
        <f>IF(AND($L214*1&gt;=$G$3,$L214*1&lt;=$G$4,$I214*$J214&gt;0,OR($I214&lt;&gt;$I215,$L214-$L215&gt;25),IF(ABS($I214)&gt;10,$I214/POW(10,$J214),$J214/POW(10,$I214))*MAXIFS(Token!$C:$C,Token!$A:$A,$K214)&gt;0.01),$L214/86400+DATE(1970,1,1)+$G$6,)</f>
        <v/>
      </c>
      <c r="B214" s="27" t="str">
        <f t="shared" si="1"/>
        <v/>
      </c>
      <c r="C214" s="14" t="str">
        <f>IF($A214&lt;&gt;"",MINIFS(Merchant!$A:$A,Merchant!$B:$B,$G$2),)</f>
        <v/>
      </c>
      <c r="D214" s="14" t="str">
        <f t="shared" si="2"/>
        <v/>
      </c>
      <c r="E214" s="14" t="str">
        <f t="shared" si="3"/>
        <v/>
      </c>
      <c r="F214" s="7" t="str">
        <f>IF($A214&lt;&gt;"",MAXIFS(Token!$C:$C,Token!$A:$A,$D214),)</f>
        <v/>
      </c>
    </row>
    <row r="215">
      <c r="A215" s="39" t="str">
        <f>IF(AND($L215*1&gt;=$G$3,$L215*1&lt;=$G$4,$I215*$J215&gt;0,OR($I215&lt;&gt;$I216,$L215-$L216&gt;25),IF(ABS($I215)&gt;10,$I215/POW(10,$J215),$J215/POW(10,$I215))*MAXIFS(Token!$C:$C,Token!$A:$A,$K215)&gt;0.01),$L215/86400+DATE(1970,1,1)+$G$6,)</f>
        <v/>
      </c>
      <c r="B215" s="27" t="str">
        <f t="shared" si="1"/>
        <v/>
      </c>
      <c r="C215" s="14" t="str">
        <f>IF($A215&lt;&gt;"",MINIFS(Merchant!$A:$A,Merchant!$B:$B,$G$2),)</f>
        <v/>
      </c>
      <c r="D215" s="14" t="str">
        <f t="shared" si="2"/>
        <v/>
      </c>
      <c r="E215" s="14" t="str">
        <f t="shared" si="3"/>
        <v/>
      </c>
      <c r="F215" s="7" t="str">
        <f>IF($A215&lt;&gt;"",MAXIFS(Token!$C:$C,Token!$A:$A,$D215),)</f>
        <v/>
      </c>
    </row>
    <row r="216">
      <c r="A216" s="39" t="str">
        <f>IF(AND($L216*1&gt;=$G$3,$L216*1&lt;=$G$4,$I216*$J216&gt;0,OR($I216&lt;&gt;$I217,$L216-$L217&gt;25),IF(ABS($I216)&gt;10,$I216/POW(10,$J216),$J216/POW(10,$I216))*MAXIFS(Token!$C:$C,Token!$A:$A,$K216)&gt;0.01),$L216/86400+DATE(1970,1,1)+$G$6,)</f>
        <v/>
      </c>
      <c r="B216" s="27" t="str">
        <f t="shared" si="1"/>
        <v/>
      </c>
      <c r="C216" s="14" t="str">
        <f>IF($A216&lt;&gt;"",MINIFS(Merchant!$A:$A,Merchant!$B:$B,$G$2),)</f>
        <v/>
      </c>
      <c r="D216" s="14" t="str">
        <f t="shared" si="2"/>
        <v/>
      </c>
      <c r="E216" s="14" t="str">
        <f t="shared" si="3"/>
        <v/>
      </c>
      <c r="F216" s="7" t="str">
        <f>IF($A216&lt;&gt;"",MAXIFS(Token!$C:$C,Token!$A:$A,$D216),)</f>
        <v/>
      </c>
    </row>
    <row r="217">
      <c r="A217" s="39" t="str">
        <f>IF(AND($L217*1&gt;=$G$3,$L217*1&lt;=$G$4,$I217*$J217&gt;0,OR($I217&lt;&gt;$I218,$L217-$L218&gt;25),IF(ABS($I217)&gt;10,$I217/POW(10,$J217),$J217/POW(10,$I217))*MAXIFS(Token!$C:$C,Token!$A:$A,$K217)&gt;0.01),$L217/86400+DATE(1970,1,1)+$G$6,)</f>
        <v/>
      </c>
      <c r="B217" s="27" t="str">
        <f t="shared" si="1"/>
        <v/>
      </c>
      <c r="C217" s="14" t="str">
        <f>IF($A217&lt;&gt;"",MINIFS(Merchant!$A:$A,Merchant!$B:$B,$G$2),)</f>
        <v/>
      </c>
      <c r="D217" s="14" t="str">
        <f t="shared" si="2"/>
        <v/>
      </c>
      <c r="E217" s="14" t="str">
        <f t="shared" si="3"/>
        <v/>
      </c>
      <c r="F217" s="7" t="str">
        <f>IF($A217&lt;&gt;"",MAXIFS(Token!$C:$C,Token!$A:$A,$D217),)</f>
        <v/>
      </c>
    </row>
    <row r="218">
      <c r="A218" s="39" t="str">
        <f>IF(AND($L218*1&gt;=$G$3,$L218*1&lt;=$G$4,$I218*$J218&gt;0,OR($I218&lt;&gt;$I219,$L218-$L219&gt;25),IF(ABS($I218)&gt;10,$I218/POW(10,$J218),$J218/POW(10,$I218))*MAXIFS(Token!$C:$C,Token!$A:$A,$K218)&gt;0.01),$L218/86400+DATE(1970,1,1)+$G$6,)</f>
        <v/>
      </c>
      <c r="B218" s="27" t="str">
        <f t="shared" si="1"/>
        <v/>
      </c>
      <c r="C218" s="14" t="str">
        <f>IF($A218&lt;&gt;"",MINIFS(Merchant!$A:$A,Merchant!$B:$B,$G$2),)</f>
        <v/>
      </c>
      <c r="D218" s="14" t="str">
        <f t="shared" si="2"/>
        <v/>
      </c>
      <c r="E218" s="14" t="str">
        <f t="shared" si="3"/>
        <v/>
      </c>
      <c r="F218" s="7" t="str">
        <f>IF($A218&lt;&gt;"",MAXIFS(Token!$C:$C,Token!$A:$A,$D218),)</f>
        <v/>
      </c>
    </row>
    <row r="219">
      <c r="A219" s="39" t="str">
        <f>IF(AND($L219*1&gt;=$G$3,$L219*1&lt;=$G$4,$I219*$J219&gt;0,OR($I219&lt;&gt;$I220,$L219-$L220&gt;25),IF(ABS($I219)&gt;10,$I219/POW(10,$J219),$J219/POW(10,$I219))*MAXIFS(Token!$C:$C,Token!$A:$A,$K219)&gt;0.01),$L219/86400+DATE(1970,1,1)+$G$6,)</f>
        <v/>
      </c>
      <c r="B219" s="27" t="str">
        <f t="shared" si="1"/>
        <v/>
      </c>
      <c r="C219" s="14" t="str">
        <f>IF($A219&lt;&gt;"",MINIFS(Merchant!$A:$A,Merchant!$B:$B,$G$2),)</f>
        <v/>
      </c>
      <c r="D219" s="14" t="str">
        <f t="shared" si="2"/>
        <v/>
      </c>
      <c r="E219" s="14" t="str">
        <f t="shared" si="3"/>
        <v/>
      </c>
      <c r="F219" s="7" t="str">
        <f>IF($A219&lt;&gt;"",MAXIFS(Token!$C:$C,Token!$A:$A,$D219),)</f>
        <v/>
      </c>
    </row>
    <row r="220">
      <c r="A220" s="39" t="str">
        <f>IF(AND($L220*1&gt;=$G$3,$L220*1&lt;=$G$4,$I220*$J220&gt;0,OR($I220&lt;&gt;$I221,$L220-$L221&gt;25),IF(ABS($I220)&gt;10,$I220/POW(10,$J220),$J220/POW(10,$I220))*MAXIFS(Token!$C:$C,Token!$A:$A,$K220)&gt;0.01),$L220/86400+DATE(1970,1,1)+$G$6,)</f>
        <v/>
      </c>
      <c r="B220" s="27" t="str">
        <f t="shared" si="1"/>
        <v/>
      </c>
      <c r="C220" s="14" t="str">
        <f>IF($A220&lt;&gt;"",MINIFS(Merchant!$A:$A,Merchant!$B:$B,$G$2),)</f>
        <v/>
      </c>
      <c r="D220" s="14" t="str">
        <f t="shared" si="2"/>
        <v/>
      </c>
      <c r="E220" s="14" t="str">
        <f t="shared" si="3"/>
        <v/>
      </c>
      <c r="F220" s="7" t="str">
        <f>IF($A220&lt;&gt;"",MAXIFS(Token!$C:$C,Token!$A:$A,$D220),)</f>
        <v/>
      </c>
    </row>
    <row r="221">
      <c r="A221" s="39" t="str">
        <f>IF(AND($L221*1&gt;=$G$3,$L221*1&lt;=$G$4,$I221*$J221&gt;0,OR($I221&lt;&gt;$I222,$L221-$L222&gt;25),IF(ABS($I221)&gt;10,$I221/POW(10,$J221),$J221/POW(10,$I221))*MAXIFS(Token!$C:$C,Token!$A:$A,$K221)&gt;0.01),$L221/86400+DATE(1970,1,1)+$G$6,)</f>
        <v/>
      </c>
      <c r="B221" s="27" t="str">
        <f t="shared" si="1"/>
        <v/>
      </c>
      <c r="C221" s="14" t="str">
        <f>IF($A221&lt;&gt;"",MINIFS(Merchant!$A:$A,Merchant!$B:$B,$G$2),)</f>
        <v/>
      </c>
      <c r="D221" s="14" t="str">
        <f t="shared" si="2"/>
        <v/>
      </c>
      <c r="E221" s="14" t="str">
        <f t="shared" si="3"/>
        <v/>
      </c>
      <c r="F221" s="7" t="str">
        <f>IF($A221&lt;&gt;"",MAXIFS(Token!$C:$C,Token!$A:$A,$D221),)</f>
        <v/>
      </c>
    </row>
    <row r="222">
      <c r="A222" s="39" t="str">
        <f>IF(AND($L222*1&gt;=$G$3,$L222*1&lt;=$G$4,$I222*$J222&gt;0,OR($I222&lt;&gt;$I223,$L222-$L223&gt;25),IF(ABS($I222)&gt;10,$I222/POW(10,$J222),$J222/POW(10,$I222))*MAXIFS(Token!$C:$C,Token!$A:$A,$K222)&gt;0.01),$L222/86400+DATE(1970,1,1)+$G$6,)</f>
        <v/>
      </c>
      <c r="B222" s="27" t="str">
        <f t="shared" si="1"/>
        <v/>
      </c>
      <c r="C222" s="14" t="str">
        <f>IF($A222&lt;&gt;"",MINIFS(Merchant!$A:$A,Merchant!$B:$B,$G$2),)</f>
        <v/>
      </c>
      <c r="D222" s="14" t="str">
        <f t="shared" si="2"/>
        <v/>
      </c>
      <c r="E222" s="14" t="str">
        <f t="shared" si="3"/>
        <v/>
      </c>
      <c r="F222" s="7" t="str">
        <f>IF($A222&lt;&gt;"",MAXIFS(Token!$C:$C,Token!$A:$A,$D222),)</f>
        <v/>
      </c>
    </row>
    <row r="223">
      <c r="A223" s="39" t="str">
        <f>IF(AND($L223*1&gt;=$G$3,$L223*1&lt;=$G$4,$I223*$J223&gt;0,OR($I223&lt;&gt;$I224,$L223-$L224&gt;25),IF(ABS($I223)&gt;10,$I223/POW(10,$J223),$J223/POW(10,$I223))*MAXIFS(Token!$C:$C,Token!$A:$A,$K223)&gt;0.01),$L223/86400+DATE(1970,1,1)+$G$6,)</f>
        <v/>
      </c>
      <c r="B223" s="27" t="str">
        <f t="shared" si="1"/>
        <v/>
      </c>
      <c r="C223" s="14" t="str">
        <f>IF($A223&lt;&gt;"",MINIFS(Merchant!$A:$A,Merchant!$B:$B,$G$2),)</f>
        <v/>
      </c>
      <c r="D223" s="14" t="str">
        <f t="shared" si="2"/>
        <v/>
      </c>
      <c r="E223" s="14" t="str">
        <f t="shared" si="3"/>
        <v/>
      </c>
      <c r="F223" s="7" t="str">
        <f>IF($A223&lt;&gt;"",MAXIFS(Token!$C:$C,Token!$A:$A,$D223),)</f>
        <v/>
      </c>
    </row>
    <row r="224">
      <c r="A224" s="39" t="str">
        <f>IF(AND($L224*1&gt;=$G$3,$L224*1&lt;=$G$4,$I224*$J224&gt;0,OR($I224&lt;&gt;$I225,$L224-$L225&gt;25),IF(ABS($I224)&gt;10,$I224/POW(10,$J224),$J224/POW(10,$I224))*MAXIFS(Token!$C:$C,Token!$A:$A,$K224)&gt;0.01),$L224/86400+DATE(1970,1,1)+$G$6,)</f>
        <v/>
      </c>
      <c r="B224" s="27" t="str">
        <f t="shared" si="1"/>
        <v/>
      </c>
      <c r="C224" s="14" t="str">
        <f>IF($A224&lt;&gt;"",MINIFS(Merchant!$A:$A,Merchant!$B:$B,$G$2),)</f>
        <v/>
      </c>
      <c r="D224" s="14" t="str">
        <f t="shared" si="2"/>
        <v/>
      </c>
      <c r="E224" s="14" t="str">
        <f t="shared" si="3"/>
        <v/>
      </c>
      <c r="F224" s="7" t="str">
        <f>IF($A224&lt;&gt;"",MAXIFS(Token!$C:$C,Token!$A:$A,$D224),)</f>
        <v/>
      </c>
    </row>
    <row r="225">
      <c r="A225" s="39" t="str">
        <f>IF(AND($L225*1&gt;=$G$3,$L225*1&lt;=$G$4,$I225*$J225&gt;0,OR($I225&lt;&gt;$I226,$L225-$L226&gt;25),IF(ABS($I225)&gt;10,$I225/POW(10,$J225),$J225/POW(10,$I225))*MAXIFS(Token!$C:$C,Token!$A:$A,$K225)&gt;0.01),$L225/86400+DATE(1970,1,1)+$G$6,)</f>
        <v/>
      </c>
      <c r="B225" s="27" t="str">
        <f t="shared" si="1"/>
        <v/>
      </c>
      <c r="C225" s="14" t="str">
        <f>IF($A225&lt;&gt;"",MINIFS(Merchant!$A:$A,Merchant!$B:$B,$G$2),)</f>
        <v/>
      </c>
      <c r="D225" s="14" t="str">
        <f t="shared" si="2"/>
        <v/>
      </c>
      <c r="E225" s="14" t="str">
        <f t="shared" si="3"/>
        <v/>
      </c>
      <c r="F225" s="7" t="str">
        <f>IF($A225&lt;&gt;"",MAXIFS(Token!$C:$C,Token!$A:$A,$D225),)</f>
        <v/>
      </c>
    </row>
    <row r="226">
      <c r="A226" s="39" t="str">
        <f>IF(AND($L226*1&gt;=$G$3,$L226*1&lt;=$G$4,$I226*$J226&gt;0,OR($I226&lt;&gt;$I227,$L226-$L227&gt;25),IF(ABS($I226)&gt;10,$I226/POW(10,$J226),$J226/POW(10,$I226))*MAXIFS(Token!$C:$C,Token!$A:$A,$K226)&gt;0.01),$L226/86400+DATE(1970,1,1)+$G$6,)</f>
        <v/>
      </c>
      <c r="B226" s="27" t="str">
        <f t="shared" si="1"/>
        <v/>
      </c>
      <c r="C226" s="14" t="str">
        <f>IF($A226&lt;&gt;"",MINIFS(Merchant!$A:$A,Merchant!$B:$B,$G$2),)</f>
        <v/>
      </c>
      <c r="D226" s="14" t="str">
        <f t="shared" si="2"/>
        <v/>
      </c>
      <c r="E226" s="14" t="str">
        <f t="shared" si="3"/>
        <v/>
      </c>
      <c r="F226" s="7" t="str">
        <f>IF($A226&lt;&gt;"",MAXIFS(Token!$C:$C,Token!$A:$A,$D226),)</f>
        <v/>
      </c>
    </row>
    <row r="227">
      <c r="A227" s="39" t="str">
        <f>IF(AND($L227*1&gt;=$G$3,$L227*1&lt;=$G$4,$I227*$J227&gt;0,OR($I227&lt;&gt;$I228,$L227-$L228&gt;25),IF(ABS($I227)&gt;10,$I227/POW(10,$J227),$J227/POW(10,$I227))*MAXIFS(Token!$C:$C,Token!$A:$A,$K227)&gt;0.01),$L227/86400+DATE(1970,1,1)+$G$6,)</f>
        <v/>
      </c>
      <c r="B227" s="27" t="str">
        <f t="shared" si="1"/>
        <v/>
      </c>
      <c r="C227" s="14" t="str">
        <f>IF($A227&lt;&gt;"",MINIFS(Merchant!$A:$A,Merchant!$B:$B,$G$2),)</f>
        <v/>
      </c>
      <c r="D227" s="14" t="str">
        <f t="shared" si="2"/>
        <v/>
      </c>
      <c r="E227" s="14" t="str">
        <f t="shared" si="3"/>
        <v/>
      </c>
      <c r="F227" s="7" t="str">
        <f>IF($A227&lt;&gt;"",MAXIFS(Token!$C:$C,Token!$A:$A,$D227),)</f>
        <v/>
      </c>
    </row>
    <row r="228">
      <c r="A228" s="39" t="str">
        <f>IF(AND($L228*1&gt;=$G$3,$L228*1&lt;=$G$4,$I228*$J228&gt;0,OR($I228&lt;&gt;$I229,$L228-$L229&gt;25),IF(ABS($I228)&gt;10,$I228/POW(10,$J228),$J228/POW(10,$I228))*MAXIFS(Token!$C:$C,Token!$A:$A,$K228)&gt;0.01),$L228/86400+DATE(1970,1,1)+$G$6,)</f>
        <v/>
      </c>
      <c r="B228" s="27" t="str">
        <f t="shared" si="1"/>
        <v/>
      </c>
      <c r="C228" s="14" t="str">
        <f>IF($A228&lt;&gt;"",MINIFS(Merchant!$A:$A,Merchant!$B:$B,$G$2),)</f>
        <v/>
      </c>
      <c r="D228" s="14" t="str">
        <f t="shared" si="2"/>
        <v/>
      </c>
      <c r="E228" s="14" t="str">
        <f t="shared" si="3"/>
        <v/>
      </c>
      <c r="F228" s="7" t="str">
        <f>IF($A228&lt;&gt;"",MAXIFS(Token!$C:$C,Token!$A:$A,$D228),)</f>
        <v/>
      </c>
    </row>
    <row r="229">
      <c r="A229" s="39" t="str">
        <f>IF(AND($L229*1&gt;=$G$3,$L229*1&lt;=$G$4,$I229*$J229&gt;0,OR($I229&lt;&gt;$I230,$L229-$L230&gt;25),IF(ABS($I229)&gt;10,$I229/POW(10,$J229),$J229/POW(10,$I229))*MAXIFS(Token!$C:$C,Token!$A:$A,$K229)&gt;0.01),$L229/86400+DATE(1970,1,1)+$G$6,)</f>
        <v/>
      </c>
      <c r="B229" s="27" t="str">
        <f t="shared" si="1"/>
        <v/>
      </c>
      <c r="C229" s="14" t="str">
        <f>IF($A229&lt;&gt;"",MINIFS(Merchant!$A:$A,Merchant!$B:$B,$G$2),)</f>
        <v/>
      </c>
      <c r="D229" s="14" t="str">
        <f t="shared" si="2"/>
        <v/>
      </c>
      <c r="E229" s="14" t="str">
        <f t="shared" si="3"/>
        <v/>
      </c>
      <c r="F229" s="7" t="str">
        <f>IF($A229&lt;&gt;"",MAXIFS(Token!$C:$C,Token!$A:$A,$D229),)</f>
        <v/>
      </c>
    </row>
    <row r="230">
      <c r="A230" s="39" t="str">
        <f>IF(AND($L230*1&gt;=$G$3,$L230*1&lt;=$G$4,$I230*$J230&gt;0,OR($I230&lt;&gt;$I231,$L230-$L231&gt;25),IF(ABS($I230)&gt;10,$I230/POW(10,$J230),$J230/POW(10,$I230))*MAXIFS(Token!$C:$C,Token!$A:$A,$K230)&gt;0.01),$L230/86400+DATE(1970,1,1)+$G$6,)</f>
        <v/>
      </c>
      <c r="B230" s="27" t="str">
        <f t="shared" si="1"/>
        <v/>
      </c>
      <c r="C230" s="14" t="str">
        <f>IF($A230&lt;&gt;"",MINIFS(Merchant!$A:$A,Merchant!$B:$B,$G$2),)</f>
        <v/>
      </c>
      <c r="D230" s="14" t="str">
        <f t="shared" si="2"/>
        <v/>
      </c>
      <c r="E230" s="14" t="str">
        <f t="shared" si="3"/>
        <v/>
      </c>
      <c r="F230" s="7" t="str">
        <f>IF($A230&lt;&gt;"",MAXIFS(Token!$C:$C,Token!$A:$A,$D230),)</f>
        <v/>
      </c>
    </row>
    <row r="231">
      <c r="A231" s="39" t="str">
        <f>IF(AND($L231*1&gt;=$G$3,$L231*1&lt;=$G$4,$I231*$J231&gt;0,OR($I231&lt;&gt;$I232,$L231-$L232&gt;25),IF(ABS($I231)&gt;10,$I231/POW(10,$J231),$J231/POW(10,$I231))*MAXIFS(Token!$C:$C,Token!$A:$A,$K231)&gt;0.01),$L231/86400+DATE(1970,1,1)+$G$6,)</f>
        <v/>
      </c>
      <c r="B231" s="27" t="str">
        <f t="shared" si="1"/>
        <v/>
      </c>
      <c r="C231" s="14" t="str">
        <f>IF($A231&lt;&gt;"",MINIFS(Merchant!$A:$A,Merchant!$B:$B,$G$2),)</f>
        <v/>
      </c>
      <c r="D231" s="14" t="str">
        <f t="shared" si="2"/>
        <v/>
      </c>
      <c r="E231" s="14" t="str">
        <f t="shared" si="3"/>
        <v/>
      </c>
      <c r="F231" s="7" t="str">
        <f>IF($A231&lt;&gt;"",MAXIFS(Token!$C:$C,Token!$A:$A,$D231),)</f>
        <v/>
      </c>
    </row>
    <row r="232">
      <c r="A232" s="39" t="str">
        <f>IF(AND($L232*1&gt;=$G$3,$L232*1&lt;=$G$4,$I232*$J232&gt;0,OR($I232&lt;&gt;$I233,$L232-$L233&gt;25),IF(ABS($I232)&gt;10,$I232/POW(10,$J232),$J232/POW(10,$I232))*MAXIFS(Token!$C:$C,Token!$A:$A,$K232)&gt;0.01),$L232/86400+DATE(1970,1,1)+$G$6,)</f>
        <v/>
      </c>
      <c r="B232" s="27" t="str">
        <f t="shared" si="1"/>
        <v/>
      </c>
      <c r="C232" s="14" t="str">
        <f>IF($A232&lt;&gt;"",MINIFS(Merchant!$A:$A,Merchant!$B:$B,$G$2),)</f>
        <v/>
      </c>
      <c r="D232" s="14" t="str">
        <f t="shared" si="2"/>
        <v/>
      </c>
      <c r="E232" s="14" t="str">
        <f t="shared" si="3"/>
        <v/>
      </c>
      <c r="F232" s="7" t="str">
        <f>IF($A232&lt;&gt;"",MAXIFS(Token!$C:$C,Token!$A:$A,$D232),)</f>
        <v/>
      </c>
    </row>
    <row r="233">
      <c r="A233" s="39" t="str">
        <f>IF(AND($L233*1&gt;=$G$3,$L233*1&lt;=$G$4,$I233*$J233&gt;0,OR($I233&lt;&gt;$I234,$L233-$L234&gt;25),IF(ABS($I233)&gt;10,$I233/POW(10,$J233),$J233/POW(10,$I233))*MAXIFS(Token!$C:$C,Token!$A:$A,$K233)&gt;0.01),$L233/86400+DATE(1970,1,1)+$G$6,)</f>
        <v/>
      </c>
      <c r="B233" s="27" t="str">
        <f t="shared" si="1"/>
        <v/>
      </c>
      <c r="C233" s="14" t="str">
        <f>IF($A233&lt;&gt;"",MINIFS(Merchant!$A:$A,Merchant!$B:$B,$G$2),)</f>
        <v/>
      </c>
      <c r="D233" s="14" t="str">
        <f t="shared" si="2"/>
        <v/>
      </c>
      <c r="E233" s="14" t="str">
        <f t="shared" si="3"/>
        <v/>
      </c>
      <c r="F233" s="7" t="str">
        <f>IF($A233&lt;&gt;"",MAXIFS(Token!$C:$C,Token!$A:$A,$D233),)</f>
        <v/>
      </c>
    </row>
    <row r="234">
      <c r="A234" s="39" t="str">
        <f>IF(AND($L234*1&gt;=$G$3,$L234*1&lt;=$G$4,$I234*$J234&gt;0,OR($I234&lt;&gt;$I235,$L234-$L235&gt;25),IF(ABS($I234)&gt;10,$I234/POW(10,$J234),$J234/POW(10,$I234))*MAXIFS(Token!$C:$C,Token!$A:$A,$K234)&gt;0.01),$L234/86400+DATE(1970,1,1)+$G$6,)</f>
        <v/>
      </c>
      <c r="B234" s="27" t="str">
        <f t="shared" si="1"/>
        <v/>
      </c>
      <c r="C234" s="14" t="str">
        <f>IF($A234&lt;&gt;"",MINIFS(Merchant!$A:$A,Merchant!$B:$B,$G$2),)</f>
        <v/>
      </c>
      <c r="D234" s="14" t="str">
        <f t="shared" si="2"/>
        <v/>
      </c>
      <c r="E234" s="14" t="str">
        <f t="shared" si="3"/>
        <v/>
      </c>
      <c r="F234" s="7" t="str">
        <f>IF($A234&lt;&gt;"",MAXIFS(Token!$C:$C,Token!$A:$A,$D234),)</f>
        <v/>
      </c>
    </row>
    <row r="235">
      <c r="A235" s="39" t="str">
        <f>IF(AND($L235*1&gt;=$G$3,$L235*1&lt;=$G$4,$I235*$J235&gt;0,OR($I235&lt;&gt;$I236,$L235-$L236&gt;25),IF(ABS($I235)&gt;10,$I235/POW(10,$J235),$J235/POW(10,$I235))*MAXIFS(Token!$C:$C,Token!$A:$A,$K235)&gt;0.01),$L235/86400+DATE(1970,1,1)+$G$6,)</f>
        <v/>
      </c>
      <c r="B235" s="27" t="str">
        <f t="shared" si="1"/>
        <v/>
      </c>
      <c r="C235" s="14" t="str">
        <f>IF($A235&lt;&gt;"",MINIFS(Merchant!$A:$A,Merchant!$B:$B,$G$2),)</f>
        <v/>
      </c>
      <c r="D235" s="14" t="str">
        <f t="shared" si="2"/>
        <v/>
      </c>
      <c r="E235" s="14" t="str">
        <f t="shared" si="3"/>
        <v/>
      </c>
      <c r="F235" s="7" t="str">
        <f>IF($A235&lt;&gt;"",MAXIFS(Token!$C:$C,Token!$A:$A,$D235),)</f>
        <v/>
      </c>
    </row>
    <row r="236">
      <c r="A236" s="39" t="str">
        <f>IF(AND($L236*1&gt;=$G$3,$L236*1&lt;=$G$4,$I236*$J236&gt;0,OR($I236&lt;&gt;$I237,$L236-$L237&gt;25),IF(ABS($I236)&gt;10,$I236/POW(10,$J236),$J236/POW(10,$I236))*MAXIFS(Token!$C:$C,Token!$A:$A,$K236)&gt;0.01),$L236/86400+DATE(1970,1,1)+$G$6,)</f>
        <v/>
      </c>
      <c r="B236" s="27" t="str">
        <f t="shared" si="1"/>
        <v/>
      </c>
      <c r="C236" s="14" t="str">
        <f>IF($A236&lt;&gt;"",MINIFS(Merchant!$A:$A,Merchant!$B:$B,$G$2),)</f>
        <v/>
      </c>
      <c r="D236" s="14" t="str">
        <f t="shared" si="2"/>
        <v/>
      </c>
      <c r="E236" s="14" t="str">
        <f t="shared" si="3"/>
        <v/>
      </c>
      <c r="F236" s="7" t="str">
        <f>IF($A236&lt;&gt;"",MAXIFS(Token!$C:$C,Token!$A:$A,$D236),)</f>
        <v/>
      </c>
    </row>
    <row r="237">
      <c r="A237" s="39" t="str">
        <f>IF(AND($L237*1&gt;=$G$3,$L237*1&lt;=$G$4,$I237*$J237&gt;0,OR($I237&lt;&gt;$I238,$L237-$L238&gt;25),IF(ABS($I237)&gt;10,$I237/POW(10,$J237),$J237/POW(10,$I237))*MAXIFS(Token!$C:$C,Token!$A:$A,$K237)&gt;0.01),$L237/86400+DATE(1970,1,1)+$G$6,)</f>
        <v/>
      </c>
      <c r="B237" s="27" t="str">
        <f t="shared" si="1"/>
        <v/>
      </c>
      <c r="C237" s="14" t="str">
        <f>IF($A237&lt;&gt;"",MINIFS(Merchant!$A:$A,Merchant!$B:$B,$G$2),)</f>
        <v/>
      </c>
      <c r="D237" s="14" t="str">
        <f t="shared" si="2"/>
        <v/>
      </c>
      <c r="E237" s="14" t="str">
        <f t="shared" si="3"/>
        <v/>
      </c>
      <c r="F237" s="7" t="str">
        <f>IF($A237&lt;&gt;"",MAXIFS(Token!$C:$C,Token!$A:$A,$D237),)</f>
        <v/>
      </c>
    </row>
    <row r="238">
      <c r="A238" s="39" t="str">
        <f>IF(AND($L238*1&gt;=$G$3,$L238*1&lt;=$G$4,$I238*$J238&gt;0,OR($I238&lt;&gt;$I239,$L238-$L239&gt;25),IF(ABS($I238)&gt;10,$I238/POW(10,$J238),$J238/POW(10,$I238))*MAXIFS(Token!$C:$C,Token!$A:$A,$K238)&gt;0.01),$L238/86400+DATE(1970,1,1)+$G$6,)</f>
        <v/>
      </c>
      <c r="B238" s="27" t="str">
        <f t="shared" si="1"/>
        <v/>
      </c>
      <c r="C238" s="14" t="str">
        <f>IF($A238&lt;&gt;"",MINIFS(Merchant!$A:$A,Merchant!$B:$B,$G$2),)</f>
        <v/>
      </c>
      <c r="D238" s="14" t="str">
        <f t="shared" si="2"/>
        <v/>
      </c>
      <c r="E238" s="14" t="str">
        <f t="shared" si="3"/>
        <v/>
      </c>
      <c r="F238" s="7" t="str">
        <f>IF($A238&lt;&gt;"",MAXIFS(Token!$C:$C,Token!$A:$A,$D238),)</f>
        <v/>
      </c>
    </row>
    <row r="239">
      <c r="A239" s="39" t="str">
        <f>IF(AND($L239*1&gt;=$G$3,$L239*1&lt;=$G$4,$I239*$J239&gt;0,OR($I239&lt;&gt;$I240,$L239-$L240&gt;25),IF(ABS($I239)&gt;10,$I239/POW(10,$J239),$J239/POW(10,$I239))*MAXIFS(Token!$C:$C,Token!$A:$A,$K239)&gt;0.01),$L239/86400+DATE(1970,1,1)+$G$6,)</f>
        <v/>
      </c>
      <c r="B239" s="27" t="str">
        <f t="shared" si="1"/>
        <v/>
      </c>
      <c r="C239" s="14" t="str">
        <f>IF($A239&lt;&gt;"",MINIFS(Merchant!$A:$A,Merchant!$B:$B,$G$2),)</f>
        <v/>
      </c>
      <c r="D239" s="14" t="str">
        <f t="shared" si="2"/>
        <v/>
      </c>
      <c r="E239" s="14" t="str">
        <f t="shared" si="3"/>
        <v/>
      </c>
      <c r="F239" s="7" t="str">
        <f>IF($A239&lt;&gt;"",MAXIFS(Token!$C:$C,Token!$A:$A,$D239),)</f>
        <v/>
      </c>
    </row>
    <row r="240">
      <c r="A240" s="39" t="str">
        <f>IF(AND($L240*1&gt;=$G$3,$L240*1&lt;=$G$4,$I240*$J240&gt;0,OR($I240&lt;&gt;$I241,$L240-$L241&gt;25),IF(ABS($I240)&gt;10,$I240/POW(10,$J240),$J240/POW(10,$I240))*MAXIFS(Token!$C:$C,Token!$A:$A,$K240)&gt;0.01),$L240/86400+DATE(1970,1,1)+$G$6,)</f>
        <v/>
      </c>
      <c r="B240" s="27" t="str">
        <f t="shared" si="1"/>
        <v/>
      </c>
      <c r="C240" s="14" t="str">
        <f>IF($A240&lt;&gt;"",MINIFS(Merchant!$A:$A,Merchant!$B:$B,$G$2),)</f>
        <v/>
      </c>
      <c r="D240" s="14" t="str">
        <f t="shared" si="2"/>
        <v/>
      </c>
      <c r="E240" s="14" t="str">
        <f t="shared" si="3"/>
        <v/>
      </c>
      <c r="F240" s="7" t="str">
        <f>IF($A240&lt;&gt;"",MAXIFS(Token!$C:$C,Token!$A:$A,$D240),)</f>
        <v/>
      </c>
    </row>
    <row r="241">
      <c r="A241" s="39" t="str">
        <f>IF(AND($L241*1&gt;=$G$3,$L241*1&lt;=$G$4,$I241*$J241&gt;0,OR($I241&lt;&gt;$I242,$L241-$L242&gt;25),IF(ABS($I241)&gt;10,$I241/POW(10,$J241),$J241/POW(10,$I241))*MAXIFS(Token!$C:$C,Token!$A:$A,$K241)&gt;0.01),$L241/86400+DATE(1970,1,1)+$G$6,)</f>
        <v/>
      </c>
      <c r="B241" s="27" t="str">
        <f t="shared" si="1"/>
        <v/>
      </c>
      <c r="C241" s="14" t="str">
        <f>IF($A241&lt;&gt;"",MINIFS(Merchant!$A:$A,Merchant!$B:$B,$G$2),)</f>
        <v/>
      </c>
      <c r="D241" s="14" t="str">
        <f t="shared" si="2"/>
        <v/>
      </c>
      <c r="E241" s="14" t="str">
        <f t="shared" si="3"/>
        <v/>
      </c>
      <c r="F241" s="7" t="str">
        <f>IF($A241&lt;&gt;"",MAXIFS(Token!$C:$C,Token!$A:$A,$D241),)</f>
        <v/>
      </c>
    </row>
    <row r="242">
      <c r="A242" s="39" t="str">
        <f>IF(AND($L242*1&gt;=$G$3,$L242*1&lt;=$G$4,$I242*$J242&gt;0,OR($I242&lt;&gt;$I243,$L242-$L243&gt;25),IF(ABS($I242)&gt;10,$I242/POW(10,$J242),$J242/POW(10,$I242))*MAXIFS(Token!$C:$C,Token!$A:$A,$K242)&gt;0.01),$L242/86400+DATE(1970,1,1)+$G$6,)</f>
        <v/>
      </c>
      <c r="B242" s="27" t="str">
        <f t="shared" si="1"/>
        <v/>
      </c>
      <c r="C242" s="14" t="str">
        <f>IF($A242&lt;&gt;"",MINIFS(Merchant!$A:$A,Merchant!$B:$B,$G$2),)</f>
        <v/>
      </c>
      <c r="D242" s="14" t="str">
        <f t="shared" si="2"/>
        <v/>
      </c>
      <c r="E242" s="14" t="str">
        <f t="shared" si="3"/>
        <v/>
      </c>
      <c r="F242" s="7" t="str">
        <f>IF($A242&lt;&gt;"",MAXIFS(Token!$C:$C,Token!$A:$A,$D242),)</f>
        <v/>
      </c>
    </row>
    <row r="243">
      <c r="A243" s="39" t="str">
        <f>IF(AND($L243*1&gt;=$G$3,$L243*1&lt;=$G$4,$I243*$J243&gt;0,OR($I243&lt;&gt;$I244,$L243-$L244&gt;25),IF(ABS($I243)&gt;10,$I243/POW(10,$J243),$J243/POW(10,$I243))*MAXIFS(Token!$C:$C,Token!$A:$A,$K243)&gt;0.01),$L243/86400+DATE(1970,1,1)+$G$6,)</f>
        <v/>
      </c>
      <c r="B243" s="27" t="str">
        <f t="shared" si="1"/>
        <v/>
      </c>
      <c r="C243" s="14" t="str">
        <f>IF($A243&lt;&gt;"",MINIFS(Merchant!$A:$A,Merchant!$B:$B,$G$2),)</f>
        <v/>
      </c>
      <c r="D243" s="14" t="str">
        <f t="shared" si="2"/>
        <v/>
      </c>
      <c r="E243" s="14" t="str">
        <f t="shared" si="3"/>
        <v/>
      </c>
      <c r="F243" s="7" t="str">
        <f>IF($A243&lt;&gt;"",MAXIFS(Token!$C:$C,Token!$A:$A,$D243),)</f>
        <v/>
      </c>
    </row>
    <row r="244">
      <c r="A244" s="39" t="str">
        <f>IF(AND($L244*1&gt;=$G$3,$L244*1&lt;=$G$4,$I244*$J244&gt;0,OR($I244&lt;&gt;$I245,$L244-$L245&gt;25),IF(ABS($I244)&gt;10,$I244/POW(10,$J244),$J244/POW(10,$I244))*MAXIFS(Token!$C:$C,Token!$A:$A,$K244)&gt;0.01),$L244/86400+DATE(1970,1,1)+$G$6,)</f>
        <v/>
      </c>
      <c r="B244" s="27" t="str">
        <f t="shared" si="1"/>
        <v/>
      </c>
      <c r="C244" s="14" t="str">
        <f>IF($A244&lt;&gt;"",MINIFS(Merchant!$A:$A,Merchant!$B:$B,$G$2),)</f>
        <v/>
      </c>
      <c r="D244" s="14" t="str">
        <f t="shared" si="2"/>
        <v/>
      </c>
      <c r="E244" s="14" t="str">
        <f t="shared" si="3"/>
        <v/>
      </c>
      <c r="F244" s="7" t="str">
        <f>IF($A244&lt;&gt;"",MAXIFS(Token!$C:$C,Token!$A:$A,$D244),)</f>
        <v/>
      </c>
    </row>
    <row r="245">
      <c r="A245" s="39" t="str">
        <f>IF(AND($L245*1&gt;=$G$3,$L245*1&lt;=$G$4,$I245*$J245&gt;0,OR($I245&lt;&gt;$I246,$L245-$L246&gt;25),IF(ABS($I245)&gt;10,$I245/POW(10,$J245),$J245/POW(10,$I245))*MAXIFS(Token!$C:$C,Token!$A:$A,$K245)&gt;0.01),$L245/86400+DATE(1970,1,1)+$G$6,)</f>
        <v/>
      </c>
      <c r="B245" s="27" t="str">
        <f t="shared" si="1"/>
        <v/>
      </c>
      <c r="C245" s="14" t="str">
        <f>IF($A245&lt;&gt;"",MINIFS(Merchant!$A:$A,Merchant!$B:$B,$G$2),)</f>
        <v/>
      </c>
      <c r="D245" s="14" t="str">
        <f t="shared" si="2"/>
        <v/>
      </c>
      <c r="E245" s="14" t="str">
        <f t="shared" si="3"/>
        <v/>
      </c>
      <c r="F245" s="7" t="str">
        <f>IF($A245&lt;&gt;"",MAXIFS(Token!$C:$C,Token!$A:$A,$D245),)</f>
        <v/>
      </c>
    </row>
    <row r="246">
      <c r="A246" s="39" t="str">
        <f>IF(AND($L246*1&gt;=$G$3,$L246*1&lt;=$G$4,$I246*$J246&gt;0,OR($I246&lt;&gt;$I247,$L246-$L247&gt;25),IF(ABS($I246)&gt;10,$I246/POW(10,$J246),$J246/POW(10,$I246))*MAXIFS(Token!$C:$C,Token!$A:$A,$K246)&gt;0.01),$L246/86400+DATE(1970,1,1)+$G$6,)</f>
        <v/>
      </c>
      <c r="B246" s="27" t="str">
        <f t="shared" si="1"/>
        <v/>
      </c>
      <c r="C246" s="14" t="str">
        <f>IF($A246&lt;&gt;"",MINIFS(Merchant!$A:$A,Merchant!$B:$B,$G$2),)</f>
        <v/>
      </c>
      <c r="D246" s="14" t="str">
        <f t="shared" si="2"/>
        <v/>
      </c>
      <c r="E246" s="14" t="str">
        <f t="shared" si="3"/>
        <v/>
      </c>
      <c r="F246" s="7" t="str">
        <f>IF($A246&lt;&gt;"",MAXIFS(Token!$C:$C,Token!$A:$A,$D246),)</f>
        <v/>
      </c>
    </row>
    <row r="247">
      <c r="A247" s="39" t="str">
        <f>IF(AND($L247*1&gt;=$G$3,$L247*1&lt;=$G$4,$I247*$J247&gt;0,OR($I247&lt;&gt;$I248,$L247-$L248&gt;25),IF(ABS($I247)&gt;10,$I247/POW(10,$J247),$J247/POW(10,$I247))*MAXIFS(Token!$C:$C,Token!$A:$A,$K247)&gt;0.01),$L247/86400+DATE(1970,1,1)+$G$6,)</f>
        <v/>
      </c>
      <c r="B247" s="27" t="str">
        <f t="shared" si="1"/>
        <v/>
      </c>
      <c r="C247" s="14" t="str">
        <f>IF($A247&lt;&gt;"",MINIFS(Merchant!$A:$A,Merchant!$B:$B,$G$2),)</f>
        <v/>
      </c>
      <c r="D247" s="14" t="str">
        <f t="shared" si="2"/>
        <v/>
      </c>
      <c r="E247" s="14" t="str">
        <f t="shared" si="3"/>
        <v/>
      </c>
      <c r="F247" s="7" t="str">
        <f>IF($A247&lt;&gt;"",MAXIFS(Token!$C:$C,Token!$A:$A,$D247),)</f>
        <v/>
      </c>
    </row>
    <row r="248">
      <c r="A248" s="39" t="str">
        <f>IF(AND($L248*1&gt;=$G$3,$L248*1&lt;=$G$4,$I248*$J248&gt;0,OR($I248&lt;&gt;$I249,$L248-$L249&gt;25),IF(ABS($I248)&gt;10,$I248/POW(10,$J248),$J248/POW(10,$I248))*MAXIFS(Token!$C:$C,Token!$A:$A,$K248)&gt;0.01),$L248/86400+DATE(1970,1,1)+$G$6,)</f>
        <v/>
      </c>
      <c r="B248" s="27" t="str">
        <f t="shared" si="1"/>
        <v/>
      </c>
      <c r="C248" s="14" t="str">
        <f>IF($A248&lt;&gt;"",MINIFS(Merchant!$A:$A,Merchant!$B:$B,$G$2),)</f>
        <v/>
      </c>
      <c r="D248" s="14" t="str">
        <f t="shared" si="2"/>
        <v/>
      </c>
      <c r="E248" s="14" t="str">
        <f t="shared" si="3"/>
        <v/>
      </c>
      <c r="F248" s="7" t="str">
        <f>IF($A248&lt;&gt;"",MAXIFS(Token!$C:$C,Token!$A:$A,$D248),)</f>
        <v/>
      </c>
    </row>
    <row r="249">
      <c r="A249" s="39" t="str">
        <f>IF(AND($L249*1&gt;=$G$3,$L249*1&lt;=$G$4,$I249*$J249&gt;0,OR($I249&lt;&gt;$I250,$L249-$L250&gt;25),IF(ABS($I249)&gt;10,$I249/POW(10,$J249),$J249/POW(10,$I249))*MAXIFS(Token!$C:$C,Token!$A:$A,$K249)&gt;0.01),$L249/86400+DATE(1970,1,1)+$G$6,)</f>
        <v/>
      </c>
      <c r="B249" s="27" t="str">
        <f t="shared" si="1"/>
        <v/>
      </c>
      <c r="C249" s="14" t="str">
        <f>IF($A249&lt;&gt;"",MINIFS(Merchant!$A:$A,Merchant!$B:$B,$G$2),)</f>
        <v/>
      </c>
      <c r="D249" s="14" t="str">
        <f t="shared" si="2"/>
        <v/>
      </c>
      <c r="E249" s="14" t="str">
        <f t="shared" si="3"/>
        <v/>
      </c>
      <c r="F249" s="7" t="str">
        <f>IF($A249&lt;&gt;"",MAXIFS(Token!$C:$C,Token!$A:$A,$D249),)</f>
        <v/>
      </c>
    </row>
    <row r="250">
      <c r="A250" s="39" t="str">
        <f>IF(AND($L250*1&gt;=$G$3,$L250*1&lt;=$G$4,$I250*$J250&gt;0,OR($I250&lt;&gt;$I251,$L250-$L251&gt;25),IF(ABS($I250)&gt;10,$I250/POW(10,$J250),$J250/POW(10,$I250))*MAXIFS(Token!$C:$C,Token!$A:$A,$K250)&gt;0.01),$L250/86400+DATE(1970,1,1)+$G$6,)</f>
        <v/>
      </c>
      <c r="B250" s="27" t="str">
        <f t="shared" si="1"/>
        <v/>
      </c>
      <c r="C250" s="14" t="str">
        <f>IF($A250&lt;&gt;"",MINIFS(Merchant!$A:$A,Merchant!$B:$B,$G$2),)</f>
        <v/>
      </c>
      <c r="D250" s="14" t="str">
        <f t="shared" si="2"/>
        <v/>
      </c>
      <c r="E250" s="14" t="str">
        <f t="shared" si="3"/>
        <v/>
      </c>
      <c r="F250" s="7" t="str">
        <f>IF($A250&lt;&gt;"",MAXIFS(Token!$C:$C,Token!$A:$A,$D250),)</f>
        <v/>
      </c>
    </row>
    <row r="251">
      <c r="A251" s="39" t="str">
        <f>IF(AND($L251*1&gt;=$G$3,$L251*1&lt;=$G$4,$I251*$J251&gt;0,OR($I251&lt;&gt;$I252,$L251-$L252&gt;25),IF(ABS($I251)&gt;10,$I251/POW(10,$J251),$J251/POW(10,$I251))*MAXIFS(Token!$C:$C,Token!$A:$A,$K251)&gt;0.01),$L251/86400+DATE(1970,1,1)+$G$6,)</f>
        <v/>
      </c>
      <c r="B251" s="27" t="str">
        <f t="shared" si="1"/>
        <v/>
      </c>
      <c r="C251" s="14" t="str">
        <f>IF($A251&lt;&gt;"",MINIFS(Merchant!$A:$A,Merchant!$B:$B,$G$2),)</f>
        <v/>
      </c>
      <c r="D251" s="14" t="str">
        <f t="shared" si="2"/>
        <v/>
      </c>
      <c r="E251" s="14" t="str">
        <f t="shared" si="3"/>
        <v/>
      </c>
      <c r="F251" s="7" t="str">
        <f>IF($A251&lt;&gt;"",MAXIFS(Token!$C:$C,Token!$A:$A,$D251),)</f>
        <v/>
      </c>
    </row>
    <row r="252">
      <c r="A252" s="39" t="str">
        <f>IF(AND($L252*1&gt;=$G$3,$L252*1&lt;=$G$4,$I252*$J252&gt;0,OR($I252&lt;&gt;$I253,$L252-$L253&gt;25),IF(ABS($I252)&gt;10,$I252/POW(10,$J252),$J252/POW(10,$I252))*MAXIFS(Token!$C:$C,Token!$A:$A,$K252)&gt;0.01),$L252/86400+DATE(1970,1,1)+$G$6,)</f>
        <v/>
      </c>
      <c r="B252" s="27" t="str">
        <f t="shared" si="1"/>
        <v/>
      </c>
      <c r="C252" s="14" t="str">
        <f>IF($A252&lt;&gt;"",MINIFS(Merchant!$A:$A,Merchant!$B:$B,$G$2),)</f>
        <v/>
      </c>
      <c r="D252" s="14" t="str">
        <f t="shared" si="2"/>
        <v/>
      </c>
      <c r="E252" s="14" t="str">
        <f t="shared" si="3"/>
        <v/>
      </c>
      <c r="F252" s="7" t="str">
        <f>IF($A252&lt;&gt;"",MAXIFS(Token!$C:$C,Token!$A:$A,$D252),)</f>
        <v/>
      </c>
    </row>
    <row r="253">
      <c r="A253" s="39" t="str">
        <f>IF(AND($L253*1&gt;=$G$3,$L253*1&lt;=$G$4,$I253*$J253&gt;0,OR($I253&lt;&gt;$I254,$L253-$L254&gt;25),IF(ABS($I253)&gt;10,$I253/POW(10,$J253),$J253/POW(10,$I253))*MAXIFS(Token!$C:$C,Token!$A:$A,$K253)&gt;0.01),$L253/86400+DATE(1970,1,1)+$G$6,)</f>
        <v/>
      </c>
      <c r="B253" s="27" t="str">
        <f t="shared" si="1"/>
        <v/>
      </c>
      <c r="C253" s="14" t="str">
        <f>IF($A253&lt;&gt;"",MINIFS(Merchant!$A:$A,Merchant!$B:$B,$G$2),)</f>
        <v/>
      </c>
      <c r="D253" s="14" t="str">
        <f t="shared" si="2"/>
        <v/>
      </c>
      <c r="E253" s="14" t="str">
        <f t="shared" si="3"/>
        <v/>
      </c>
      <c r="F253" s="7" t="str">
        <f>IF($A253&lt;&gt;"",MAXIFS(Token!$C:$C,Token!$A:$A,$D253),)</f>
        <v/>
      </c>
    </row>
    <row r="254">
      <c r="A254" s="39" t="str">
        <f>IF(AND($L254*1&gt;=$G$3,$L254*1&lt;=$G$4,$I254*$J254&gt;0,OR($I254&lt;&gt;$I255,$L254-$L255&gt;25),IF(ABS($I254)&gt;10,$I254/POW(10,$J254),$J254/POW(10,$I254))*MAXIFS(Token!$C:$C,Token!$A:$A,$K254)&gt;0.01),$L254/86400+DATE(1970,1,1)+$G$6,)</f>
        <v/>
      </c>
      <c r="B254" s="27" t="str">
        <f t="shared" si="1"/>
        <v/>
      </c>
      <c r="C254" s="14" t="str">
        <f>IF($A254&lt;&gt;"",MINIFS(Merchant!$A:$A,Merchant!$B:$B,$G$2),)</f>
        <v/>
      </c>
      <c r="D254" s="14" t="str">
        <f t="shared" si="2"/>
        <v/>
      </c>
      <c r="E254" s="14" t="str">
        <f t="shared" si="3"/>
        <v/>
      </c>
      <c r="F254" s="7" t="str">
        <f>IF($A254&lt;&gt;"",MAXIFS(Token!$C:$C,Token!$A:$A,$D254),)</f>
        <v/>
      </c>
    </row>
    <row r="255">
      <c r="A255" s="39" t="str">
        <f>IF(AND($L255*1&gt;=$G$3,$L255*1&lt;=$G$4,$I255*$J255&gt;0,OR($I255&lt;&gt;$I256,$L255-$L256&gt;25),IF(ABS($I255)&gt;10,$I255/POW(10,$J255),$J255/POW(10,$I255))*MAXIFS(Token!$C:$C,Token!$A:$A,$K255)&gt;0.01),$L255/86400+DATE(1970,1,1)+$G$6,)</f>
        <v/>
      </c>
      <c r="B255" s="27" t="str">
        <f t="shared" si="1"/>
        <v/>
      </c>
      <c r="C255" s="14" t="str">
        <f>IF($A255&lt;&gt;"",MINIFS(Merchant!$A:$A,Merchant!$B:$B,$G$2),)</f>
        <v/>
      </c>
      <c r="D255" s="14" t="str">
        <f t="shared" si="2"/>
        <v/>
      </c>
      <c r="E255" s="14" t="str">
        <f t="shared" si="3"/>
        <v/>
      </c>
      <c r="F255" s="7" t="str">
        <f>IF($A255&lt;&gt;"",MAXIFS(Token!$C:$C,Token!$A:$A,$D255),)</f>
        <v/>
      </c>
    </row>
    <row r="256">
      <c r="A256" s="39" t="str">
        <f>IF(AND($L256*1&gt;=$G$3,$L256*1&lt;=$G$4,$I256*$J256&gt;0,OR($I256&lt;&gt;$I257,$L256-$L257&gt;25),IF(ABS($I256)&gt;10,$I256/POW(10,$J256),$J256/POW(10,$I256))*MAXIFS(Token!$C:$C,Token!$A:$A,$K256)&gt;0.01),$L256/86400+DATE(1970,1,1)+$G$6,)</f>
        <v/>
      </c>
      <c r="B256" s="27" t="str">
        <f t="shared" si="1"/>
        <v/>
      </c>
      <c r="C256" s="14" t="str">
        <f>IF($A256&lt;&gt;"",MINIFS(Merchant!$A:$A,Merchant!$B:$B,$G$2),)</f>
        <v/>
      </c>
      <c r="D256" s="14" t="str">
        <f t="shared" si="2"/>
        <v/>
      </c>
      <c r="E256" s="14" t="str">
        <f t="shared" si="3"/>
        <v/>
      </c>
      <c r="F256" s="7" t="str">
        <f>IF($A256&lt;&gt;"",MAXIFS(Token!$C:$C,Token!$A:$A,$D256),)</f>
        <v/>
      </c>
    </row>
    <row r="257">
      <c r="A257" s="39" t="str">
        <f>IF(AND($L257*1&gt;=$G$3,$L257*1&lt;=$G$4,$I257*$J257&gt;0,OR($I257&lt;&gt;$I258,$L257-$L258&gt;25),IF(ABS($I257)&gt;10,$I257/POW(10,$J257),$J257/POW(10,$I257))*MAXIFS(Token!$C:$C,Token!$A:$A,$K257)&gt;0.01),$L257/86400+DATE(1970,1,1)+$G$6,)</f>
        <v/>
      </c>
      <c r="B257" s="27" t="str">
        <f t="shared" si="1"/>
        <v/>
      </c>
      <c r="C257" s="14" t="str">
        <f>IF($A257&lt;&gt;"",MINIFS(Merchant!$A:$A,Merchant!$B:$B,$G$2),)</f>
        <v/>
      </c>
      <c r="D257" s="14" t="str">
        <f t="shared" si="2"/>
        <v/>
      </c>
      <c r="E257" s="14" t="str">
        <f t="shared" si="3"/>
        <v/>
      </c>
      <c r="F257" s="7" t="str">
        <f>IF($A257&lt;&gt;"",MAXIFS(Token!$C:$C,Token!$A:$A,$D257),)</f>
        <v/>
      </c>
    </row>
    <row r="258">
      <c r="A258" s="39" t="str">
        <f>IF(AND($L258*1&gt;=$G$3,$L258*1&lt;=$G$4,$I258*$J258&gt;0,OR($I258&lt;&gt;$I259,$L258-$L259&gt;25),IF(ABS($I258)&gt;10,$I258/POW(10,$J258),$J258/POW(10,$I258))*MAXIFS(Token!$C:$C,Token!$A:$A,$K258)&gt;0.01),$L258/86400+DATE(1970,1,1)+$G$6,)</f>
        <v/>
      </c>
      <c r="B258" s="27" t="str">
        <f t="shared" si="1"/>
        <v/>
      </c>
      <c r="C258" s="14" t="str">
        <f>IF($A258&lt;&gt;"",MINIFS(Merchant!$A:$A,Merchant!$B:$B,$G$2),)</f>
        <v/>
      </c>
      <c r="D258" s="14" t="str">
        <f t="shared" si="2"/>
        <v/>
      </c>
      <c r="E258" s="14" t="str">
        <f t="shared" si="3"/>
        <v/>
      </c>
      <c r="F258" s="7" t="str">
        <f>IF($A258&lt;&gt;"",MAXIFS(Token!$C:$C,Token!$A:$A,$D258),)</f>
        <v/>
      </c>
    </row>
    <row r="259">
      <c r="A259" s="39" t="str">
        <f>IF(AND($L259*1&gt;=$G$3,$L259*1&lt;=$G$4,$I259*$J259&gt;0,OR($I259&lt;&gt;$I260,$L259-$L260&gt;25),IF(ABS($I259)&gt;10,$I259/POW(10,$J259),$J259/POW(10,$I259))*MAXIFS(Token!$C:$C,Token!$A:$A,$K259)&gt;0.01),$L259/86400+DATE(1970,1,1)+$G$6,)</f>
        <v/>
      </c>
      <c r="B259" s="27" t="str">
        <f t="shared" si="1"/>
        <v/>
      </c>
      <c r="C259" s="14" t="str">
        <f>IF($A259&lt;&gt;"",MINIFS(Merchant!$A:$A,Merchant!$B:$B,$G$2),)</f>
        <v/>
      </c>
      <c r="D259" s="14" t="str">
        <f t="shared" si="2"/>
        <v/>
      </c>
      <c r="E259" s="14" t="str">
        <f t="shared" si="3"/>
        <v/>
      </c>
      <c r="F259" s="7" t="str">
        <f>IF($A259&lt;&gt;"",MAXIFS(Token!$C:$C,Token!$A:$A,$D259),)</f>
        <v/>
      </c>
    </row>
    <row r="260">
      <c r="A260" s="39" t="str">
        <f>IF(AND($L260*1&gt;=$G$3,$L260*1&lt;=$G$4,$I260*$J260&gt;0,OR($I260&lt;&gt;$I261,$L260-$L261&gt;25),IF(ABS($I260)&gt;10,$I260/POW(10,$J260),$J260/POW(10,$I260))*MAXIFS(Token!$C:$C,Token!$A:$A,$K260)&gt;0.01),$L260/86400+DATE(1970,1,1)+$G$6,)</f>
        <v/>
      </c>
      <c r="B260" s="27" t="str">
        <f t="shared" si="1"/>
        <v/>
      </c>
      <c r="C260" s="14" t="str">
        <f>IF($A260&lt;&gt;"",MINIFS(Merchant!$A:$A,Merchant!$B:$B,$G$2),)</f>
        <v/>
      </c>
      <c r="D260" s="14" t="str">
        <f t="shared" si="2"/>
        <v/>
      </c>
      <c r="E260" s="14" t="str">
        <f t="shared" si="3"/>
        <v/>
      </c>
      <c r="F260" s="7" t="str">
        <f>IF($A260&lt;&gt;"",MAXIFS(Token!$C:$C,Token!$A:$A,$D260),)</f>
        <v/>
      </c>
    </row>
    <row r="261">
      <c r="A261" s="39" t="str">
        <f>IF(AND($L261*1&gt;=$G$3,$L261*1&lt;=$G$4,$I261*$J261&gt;0,OR($I261&lt;&gt;$I262,$L261-$L262&gt;25),IF(ABS($I261)&gt;10,$I261/POW(10,$J261),$J261/POW(10,$I261))*MAXIFS(Token!$C:$C,Token!$A:$A,$K261)&gt;0.01),$L261/86400+DATE(1970,1,1)+$G$6,)</f>
        <v/>
      </c>
      <c r="B261" s="27" t="str">
        <f t="shared" si="1"/>
        <v/>
      </c>
      <c r="C261" s="14" t="str">
        <f>IF($A261&lt;&gt;"",MINIFS(Merchant!$A:$A,Merchant!$B:$B,$G$2),)</f>
        <v/>
      </c>
      <c r="D261" s="14" t="str">
        <f t="shared" si="2"/>
        <v/>
      </c>
      <c r="E261" s="14" t="str">
        <f t="shared" si="3"/>
        <v/>
      </c>
      <c r="F261" s="7" t="str">
        <f>IF($A261&lt;&gt;"",MAXIFS(Token!$C:$C,Token!$A:$A,$D261),)</f>
        <v/>
      </c>
    </row>
    <row r="262">
      <c r="A262" s="39" t="str">
        <f>IF(AND($L262*1&gt;=$G$3,$L262*1&lt;=$G$4,$I262*$J262&gt;0,OR($I262&lt;&gt;$I263,$L262-$L263&gt;25),IF(ABS($I262)&gt;10,$I262/POW(10,$J262),$J262/POW(10,$I262))*MAXIFS(Token!$C:$C,Token!$A:$A,$K262)&gt;0.01),$L262/86400+DATE(1970,1,1)+$G$6,)</f>
        <v/>
      </c>
      <c r="B262" s="27" t="str">
        <f t="shared" si="1"/>
        <v/>
      </c>
      <c r="C262" s="14" t="str">
        <f>IF($A262&lt;&gt;"",MINIFS(Merchant!$A:$A,Merchant!$B:$B,$G$2),)</f>
        <v/>
      </c>
      <c r="D262" s="14" t="str">
        <f t="shared" si="2"/>
        <v/>
      </c>
      <c r="E262" s="14" t="str">
        <f t="shared" si="3"/>
        <v/>
      </c>
      <c r="F262" s="7" t="str">
        <f>IF($A262&lt;&gt;"",MAXIFS(Token!$C:$C,Token!$A:$A,$D262),)</f>
        <v/>
      </c>
    </row>
    <row r="263">
      <c r="A263" s="39" t="str">
        <f>IF(AND($L263*1&gt;=$G$3,$L263*1&lt;=$G$4,$I263*$J263&gt;0,OR($I263&lt;&gt;$I264,$L263-$L264&gt;25),IF(ABS($I263)&gt;10,$I263/POW(10,$J263),$J263/POW(10,$I263))*MAXIFS(Token!$C:$C,Token!$A:$A,$K263)&gt;0.01),$L263/86400+DATE(1970,1,1)+$G$6,)</f>
        <v/>
      </c>
      <c r="B263" s="27" t="str">
        <f t="shared" si="1"/>
        <v/>
      </c>
      <c r="C263" s="14" t="str">
        <f>IF($A263&lt;&gt;"",MINIFS(Merchant!$A:$A,Merchant!$B:$B,$G$2),)</f>
        <v/>
      </c>
      <c r="D263" s="14" t="str">
        <f t="shared" si="2"/>
        <v/>
      </c>
      <c r="E263" s="14" t="str">
        <f t="shared" si="3"/>
        <v/>
      </c>
      <c r="F263" s="7" t="str">
        <f>IF($A263&lt;&gt;"",MAXIFS(Token!$C:$C,Token!$A:$A,$D263),)</f>
        <v/>
      </c>
    </row>
    <row r="264">
      <c r="A264" s="39" t="str">
        <f>IF(AND($L264*1&gt;=$G$3,$L264*1&lt;=$G$4,$I264*$J264&gt;0,OR($I264&lt;&gt;$I265,$L264-$L265&gt;25),IF(ABS($I264)&gt;10,$I264/POW(10,$J264),$J264/POW(10,$I264))*MAXIFS(Token!$C:$C,Token!$A:$A,$K264)&gt;0.01),$L264/86400+DATE(1970,1,1)+$G$6,)</f>
        <v/>
      </c>
      <c r="B264" s="27" t="str">
        <f t="shared" si="1"/>
        <v/>
      </c>
      <c r="C264" s="14" t="str">
        <f>IF($A264&lt;&gt;"",MINIFS(Merchant!$A:$A,Merchant!$B:$B,$G$2),)</f>
        <v/>
      </c>
      <c r="D264" s="14" t="str">
        <f t="shared" si="2"/>
        <v/>
      </c>
      <c r="E264" s="14" t="str">
        <f t="shared" si="3"/>
        <v/>
      </c>
      <c r="F264" s="7" t="str">
        <f>IF($A264&lt;&gt;"",MAXIFS(Token!$C:$C,Token!$A:$A,$D264),)</f>
        <v/>
      </c>
    </row>
    <row r="265">
      <c r="A265" s="39" t="str">
        <f>IF(AND($L265*1&gt;=$G$3,$L265*1&lt;=$G$4,$I265*$J265&gt;0,OR($I265&lt;&gt;$I266,$L265-$L266&gt;25),IF(ABS($I265)&gt;10,$I265/POW(10,$J265),$J265/POW(10,$I265))*MAXIFS(Token!$C:$C,Token!$A:$A,$K265)&gt;0.01),$L265/86400+DATE(1970,1,1)+$G$6,)</f>
        <v/>
      </c>
      <c r="B265" s="27" t="str">
        <f t="shared" si="1"/>
        <v/>
      </c>
      <c r="C265" s="14" t="str">
        <f>IF($A265&lt;&gt;"",MINIFS(Merchant!$A:$A,Merchant!$B:$B,$G$2),)</f>
        <v/>
      </c>
      <c r="D265" s="14" t="str">
        <f t="shared" si="2"/>
        <v/>
      </c>
      <c r="E265" s="14" t="str">
        <f t="shared" si="3"/>
        <v/>
      </c>
      <c r="F265" s="7" t="str">
        <f>IF($A265&lt;&gt;"",MAXIFS(Token!$C:$C,Token!$A:$A,$D265),)</f>
        <v/>
      </c>
    </row>
    <row r="266">
      <c r="A266" s="39" t="str">
        <f>IF(AND($L266*1&gt;=$G$3,$L266*1&lt;=$G$4,$I266*$J266&gt;0,OR($I266&lt;&gt;$I267,$L266-$L267&gt;25),IF(ABS($I266)&gt;10,$I266/POW(10,$J266),$J266/POW(10,$I266))*MAXIFS(Token!$C:$C,Token!$A:$A,$K266)&gt;0.01),$L266/86400+DATE(1970,1,1)+$G$6,)</f>
        <v/>
      </c>
      <c r="B266" s="27" t="str">
        <f t="shared" si="1"/>
        <v/>
      </c>
      <c r="C266" s="14" t="str">
        <f>IF($A266&lt;&gt;"",MINIFS(Merchant!$A:$A,Merchant!$B:$B,$G$2),)</f>
        <v/>
      </c>
      <c r="D266" s="14" t="str">
        <f t="shared" si="2"/>
        <v/>
      </c>
      <c r="E266" s="14" t="str">
        <f t="shared" si="3"/>
        <v/>
      </c>
      <c r="F266" s="7" t="str">
        <f>IF($A266&lt;&gt;"",MAXIFS(Token!$C:$C,Token!$A:$A,$D266),)</f>
        <v/>
      </c>
    </row>
    <row r="267">
      <c r="A267" s="39" t="str">
        <f>IF(AND($L267*1&gt;=$G$3,$L267*1&lt;=$G$4,$I267*$J267&gt;0,OR($I267&lt;&gt;$I268,$L267-$L268&gt;25),IF(ABS($I267)&gt;10,$I267/POW(10,$J267),$J267/POW(10,$I267))*MAXIFS(Token!$C:$C,Token!$A:$A,$K267)&gt;0.01),$L267/86400+DATE(1970,1,1)+$G$6,)</f>
        <v/>
      </c>
      <c r="B267" s="27" t="str">
        <f t="shared" si="1"/>
        <v/>
      </c>
      <c r="C267" s="14" t="str">
        <f>IF($A267&lt;&gt;"",MINIFS(Merchant!$A:$A,Merchant!$B:$B,$G$2),)</f>
        <v/>
      </c>
      <c r="D267" s="14" t="str">
        <f t="shared" si="2"/>
        <v/>
      </c>
      <c r="E267" s="14" t="str">
        <f t="shared" si="3"/>
        <v/>
      </c>
      <c r="F267" s="7" t="str">
        <f>IF($A267&lt;&gt;"",MAXIFS(Token!$C:$C,Token!$A:$A,$D267),)</f>
        <v/>
      </c>
    </row>
    <row r="268">
      <c r="A268" s="39" t="str">
        <f>IF(AND($L268*1&gt;=$G$3,$L268*1&lt;=$G$4,$I268*$J268&gt;0,OR($I268&lt;&gt;$I269,$L268-$L269&gt;25),IF(ABS($I268)&gt;10,$I268/POW(10,$J268),$J268/POW(10,$I268))*MAXIFS(Token!$C:$C,Token!$A:$A,$K268)&gt;0.01),$L268/86400+DATE(1970,1,1)+$G$6,)</f>
        <v/>
      </c>
      <c r="B268" s="27" t="str">
        <f t="shared" si="1"/>
        <v/>
      </c>
      <c r="C268" s="14" t="str">
        <f>IF($A268&lt;&gt;"",MINIFS(Merchant!$A:$A,Merchant!$B:$B,$G$2),)</f>
        <v/>
      </c>
      <c r="D268" s="14" t="str">
        <f t="shared" si="2"/>
        <v/>
      </c>
      <c r="E268" s="14" t="str">
        <f t="shared" si="3"/>
        <v/>
      </c>
      <c r="F268" s="7" t="str">
        <f>IF($A268&lt;&gt;"",MAXIFS(Token!$C:$C,Token!$A:$A,$D268),)</f>
        <v/>
      </c>
    </row>
    <row r="269">
      <c r="A269" s="39" t="str">
        <f>IF(AND($L269*1&gt;=$G$3,$L269*1&lt;=$G$4,$I269*$J269&gt;0,OR($I269&lt;&gt;$I270,$L269-$L270&gt;25),IF(ABS($I269)&gt;10,$I269/POW(10,$J269),$J269/POW(10,$I269))*MAXIFS(Token!$C:$C,Token!$A:$A,$K269)&gt;0.01),$L269/86400+DATE(1970,1,1)+$G$6,)</f>
        <v/>
      </c>
      <c r="B269" s="27" t="str">
        <f t="shared" si="1"/>
        <v/>
      </c>
      <c r="C269" s="14" t="str">
        <f>IF($A269&lt;&gt;"",MINIFS(Merchant!$A:$A,Merchant!$B:$B,$G$2),)</f>
        <v/>
      </c>
      <c r="D269" s="14" t="str">
        <f t="shared" si="2"/>
        <v/>
      </c>
      <c r="E269" s="14" t="str">
        <f t="shared" si="3"/>
        <v/>
      </c>
      <c r="F269" s="7" t="str">
        <f>IF($A269&lt;&gt;"",MAXIFS(Token!$C:$C,Token!$A:$A,$D269),)</f>
        <v/>
      </c>
    </row>
    <row r="270">
      <c r="A270" s="39" t="str">
        <f>IF(AND($L270*1&gt;=$G$3,$L270*1&lt;=$G$4,$I270*$J270&gt;0,OR($I270&lt;&gt;$I271,$L270-$L271&gt;25),IF(ABS($I270)&gt;10,$I270/POW(10,$J270),$J270/POW(10,$I270))*MAXIFS(Token!$C:$C,Token!$A:$A,$K270)&gt;0.01),$L270/86400+DATE(1970,1,1)+$G$6,)</f>
        <v/>
      </c>
      <c r="B270" s="27" t="str">
        <f t="shared" si="1"/>
        <v/>
      </c>
      <c r="C270" s="14" t="str">
        <f>IF($A270&lt;&gt;"",MINIFS(Merchant!$A:$A,Merchant!$B:$B,$G$2),)</f>
        <v/>
      </c>
      <c r="D270" s="14" t="str">
        <f t="shared" si="2"/>
        <v/>
      </c>
      <c r="E270" s="14" t="str">
        <f t="shared" si="3"/>
        <v/>
      </c>
      <c r="F270" s="7" t="str">
        <f>IF($A270&lt;&gt;"",MAXIFS(Token!$C:$C,Token!$A:$A,$D270),)</f>
        <v/>
      </c>
    </row>
    <row r="271">
      <c r="A271" s="39" t="str">
        <f>IF(AND($L271*1&gt;=$G$3,$L271*1&lt;=$G$4,$I271*$J271&gt;0,OR($I271&lt;&gt;$I272,$L271-$L272&gt;25),IF(ABS($I271)&gt;10,$I271/POW(10,$J271),$J271/POW(10,$I271))*MAXIFS(Token!$C:$C,Token!$A:$A,$K271)&gt;0.01),$L271/86400+DATE(1970,1,1)+$G$6,)</f>
        <v/>
      </c>
      <c r="B271" s="27" t="str">
        <f t="shared" si="1"/>
        <v/>
      </c>
      <c r="C271" s="14" t="str">
        <f>IF($A271&lt;&gt;"",MINIFS(Merchant!$A:$A,Merchant!$B:$B,$G$2),)</f>
        <v/>
      </c>
      <c r="D271" s="14" t="str">
        <f t="shared" si="2"/>
        <v/>
      </c>
      <c r="E271" s="14" t="str">
        <f t="shared" si="3"/>
        <v/>
      </c>
      <c r="F271" s="7" t="str">
        <f>IF($A271&lt;&gt;"",MAXIFS(Token!$C:$C,Token!$A:$A,$D271),)</f>
        <v/>
      </c>
    </row>
    <row r="272">
      <c r="A272" s="39" t="str">
        <f>IF(AND($L272*1&gt;=$G$3,$L272*1&lt;=$G$4,$I272*$J272&gt;0,OR($I272&lt;&gt;$I273,$L272-$L273&gt;25),IF(ABS($I272)&gt;10,$I272/POW(10,$J272),$J272/POW(10,$I272))*MAXIFS(Token!$C:$C,Token!$A:$A,$K272)&gt;0.01),$L272/86400+DATE(1970,1,1)+$G$6,)</f>
        <v/>
      </c>
      <c r="B272" s="27" t="str">
        <f t="shared" si="1"/>
        <v/>
      </c>
      <c r="C272" s="14" t="str">
        <f>IF($A272&lt;&gt;"",MINIFS(Merchant!$A:$A,Merchant!$B:$B,$G$2),)</f>
        <v/>
      </c>
      <c r="D272" s="14" t="str">
        <f t="shared" si="2"/>
        <v/>
      </c>
      <c r="E272" s="14" t="str">
        <f t="shared" si="3"/>
        <v/>
      </c>
      <c r="F272" s="7" t="str">
        <f>IF($A272&lt;&gt;"",MAXIFS(Token!$C:$C,Token!$A:$A,$D272),)</f>
        <v/>
      </c>
    </row>
    <row r="273">
      <c r="A273" s="39" t="str">
        <f>IF(AND($L273*1&gt;=$G$3,$L273*1&lt;=$G$4,$I273*$J273&gt;0,OR($I273&lt;&gt;$I274,$L273-$L274&gt;25),IF(ABS($I273)&gt;10,$I273/POW(10,$J273),$J273/POW(10,$I273))*MAXIFS(Token!$C:$C,Token!$A:$A,$K273)&gt;0.01),$L273/86400+DATE(1970,1,1)+$G$6,)</f>
        <v/>
      </c>
      <c r="B273" s="27" t="str">
        <f t="shared" si="1"/>
        <v/>
      </c>
      <c r="C273" s="14" t="str">
        <f>IF($A273&lt;&gt;"",MINIFS(Merchant!$A:$A,Merchant!$B:$B,$G$2),)</f>
        <v/>
      </c>
      <c r="D273" s="14" t="str">
        <f t="shared" si="2"/>
        <v/>
      </c>
      <c r="E273" s="14" t="str">
        <f t="shared" si="3"/>
        <v/>
      </c>
      <c r="F273" s="7" t="str">
        <f>IF($A273&lt;&gt;"",MAXIFS(Token!$C:$C,Token!$A:$A,$D273),)</f>
        <v/>
      </c>
    </row>
    <row r="274">
      <c r="A274" s="39" t="str">
        <f>IF(AND($L274*1&gt;=$G$3,$L274*1&lt;=$G$4,$I274*$J274&gt;0,OR($I274&lt;&gt;$I275,$L274-$L275&gt;25),IF(ABS($I274)&gt;10,$I274/POW(10,$J274),$J274/POW(10,$I274))*MAXIFS(Token!$C:$C,Token!$A:$A,$K274)&gt;0.01),$L274/86400+DATE(1970,1,1)+$G$6,)</f>
        <v/>
      </c>
      <c r="B274" s="27" t="str">
        <f t="shared" si="1"/>
        <v/>
      </c>
      <c r="C274" s="14" t="str">
        <f>IF($A274&lt;&gt;"",MINIFS(Merchant!$A:$A,Merchant!$B:$B,$G$2),)</f>
        <v/>
      </c>
      <c r="D274" s="14" t="str">
        <f t="shared" si="2"/>
        <v/>
      </c>
      <c r="E274" s="14" t="str">
        <f t="shared" si="3"/>
        <v/>
      </c>
      <c r="F274" s="7" t="str">
        <f>IF($A274&lt;&gt;"",MAXIFS(Token!$C:$C,Token!$A:$A,$D274),)</f>
        <v/>
      </c>
    </row>
    <row r="275">
      <c r="A275" s="39" t="str">
        <f>IF(AND($L275*1&gt;=$G$3,$L275*1&lt;=$G$4,$I275*$J275&gt;0,OR($I275&lt;&gt;$I276,$L275-$L276&gt;25),IF(ABS($I275)&gt;10,$I275/POW(10,$J275),$J275/POW(10,$I275))*MAXIFS(Token!$C:$C,Token!$A:$A,$K275)&gt;0.01),$L275/86400+DATE(1970,1,1)+$G$6,)</f>
        <v/>
      </c>
      <c r="B275" s="27" t="str">
        <f t="shared" si="1"/>
        <v/>
      </c>
      <c r="C275" s="14" t="str">
        <f>IF($A275&lt;&gt;"",MINIFS(Merchant!$A:$A,Merchant!$B:$B,$G$2),)</f>
        <v/>
      </c>
      <c r="D275" s="14" t="str">
        <f t="shared" si="2"/>
        <v/>
      </c>
      <c r="E275" s="14" t="str">
        <f t="shared" si="3"/>
        <v/>
      </c>
      <c r="F275" s="7" t="str">
        <f>IF($A275&lt;&gt;"",MAXIFS(Token!$C:$C,Token!$A:$A,$D275),)</f>
        <v/>
      </c>
    </row>
    <row r="276">
      <c r="A276" s="39" t="str">
        <f>IF(AND($L276*1&gt;=$G$3,$L276*1&lt;=$G$4,$I276*$J276&gt;0,OR($I276&lt;&gt;$I277,$L276-$L277&gt;25),IF(ABS($I276)&gt;10,$I276/POW(10,$J276),$J276/POW(10,$I276))*MAXIFS(Token!$C:$C,Token!$A:$A,$K276)&gt;0.01),$L276/86400+DATE(1970,1,1)+$G$6,)</f>
        <v/>
      </c>
      <c r="B276" s="27" t="str">
        <f t="shared" si="1"/>
        <v/>
      </c>
      <c r="C276" s="14" t="str">
        <f>IF($A276&lt;&gt;"",MINIFS(Merchant!$A:$A,Merchant!$B:$B,$G$2),)</f>
        <v/>
      </c>
      <c r="D276" s="14" t="str">
        <f t="shared" si="2"/>
        <v/>
      </c>
      <c r="E276" s="14" t="str">
        <f t="shared" si="3"/>
        <v/>
      </c>
      <c r="F276" s="7" t="str">
        <f>IF($A276&lt;&gt;"",MAXIFS(Token!$C:$C,Token!$A:$A,$D276),)</f>
        <v/>
      </c>
    </row>
    <row r="277">
      <c r="A277" s="39" t="str">
        <f>IF(AND($L277*1&gt;=$G$3,$L277*1&lt;=$G$4,$I277*$J277&gt;0,OR($I277&lt;&gt;$I278,$L277-$L278&gt;25),IF(ABS($I277)&gt;10,$I277/POW(10,$J277),$J277/POW(10,$I277))*MAXIFS(Token!$C:$C,Token!$A:$A,$K277)&gt;0.01),$L277/86400+DATE(1970,1,1)+$G$6,)</f>
        <v/>
      </c>
      <c r="B277" s="27" t="str">
        <f t="shared" si="1"/>
        <v/>
      </c>
      <c r="C277" s="14" t="str">
        <f>IF($A277&lt;&gt;"",MINIFS(Merchant!$A:$A,Merchant!$B:$B,$G$2),)</f>
        <v/>
      </c>
      <c r="D277" s="14" t="str">
        <f t="shared" si="2"/>
        <v/>
      </c>
      <c r="E277" s="14" t="str">
        <f t="shared" si="3"/>
        <v/>
      </c>
      <c r="F277" s="7" t="str">
        <f>IF($A277&lt;&gt;"",MAXIFS(Token!$C:$C,Token!$A:$A,$D277),)</f>
        <v/>
      </c>
    </row>
    <row r="278">
      <c r="A278" s="39" t="str">
        <f>IF(AND($L278*1&gt;=$G$3,$L278*1&lt;=$G$4,$I278*$J278&gt;0,OR($I278&lt;&gt;$I279,$L278-$L279&gt;25),IF(ABS($I278)&gt;10,$I278/POW(10,$J278),$J278/POW(10,$I278))*MAXIFS(Token!$C:$C,Token!$A:$A,$K278)&gt;0.01),$L278/86400+DATE(1970,1,1)+$G$6,)</f>
        <v/>
      </c>
      <c r="B278" s="27" t="str">
        <f t="shared" si="1"/>
        <v/>
      </c>
      <c r="C278" s="14" t="str">
        <f>IF($A278&lt;&gt;"",MINIFS(Merchant!$A:$A,Merchant!$B:$B,$G$2),)</f>
        <v/>
      </c>
      <c r="D278" s="14" t="str">
        <f t="shared" si="2"/>
        <v/>
      </c>
      <c r="E278" s="14" t="str">
        <f t="shared" si="3"/>
        <v/>
      </c>
      <c r="F278" s="7" t="str">
        <f>IF($A278&lt;&gt;"",MAXIFS(Token!$C:$C,Token!$A:$A,$D278),)</f>
        <v/>
      </c>
    </row>
    <row r="279">
      <c r="A279" s="39" t="str">
        <f>IF(AND($L279*1&gt;=$G$3,$L279*1&lt;=$G$4,$I279*$J279&gt;0,OR($I279&lt;&gt;$I280,$L279-$L280&gt;25),IF(ABS($I279)&gt;10,$I279/POW(10,$J279),$J279/POW(10,$I279))*MAXIFS(Token!$C:$C,Token!$A:$A,$K279)&gt;0.01),$L279/86400+DATE(1970,1,1)+$G$6,)</f>
        <v/>
      </c>
      <c r="B279" s="27" t="str">
        <f t="shared" si="1"/>
        <v/>
      </c>
      <c r="C279" s="14" t="str">
        <f>IF($A279&lt;&gt;"",MINIFS(Merchant!$A:$A,Merchant!$B:$B,$G$2),)</f>
        <v/>
      </c>
      <c r="D279" s="14" t="str">
        <f t="shared" si="2"/>
        <v/>
      </c>
      <c r="E279" s="14" t="str">
        <f t="shared" si="3"/>
        <v/>
      </c>
      <c r="F279" s="7" t="str">
        <f>IF($A279&lt;&gt;"",MAXIFS(Token!$C:$C,Token!$A:$A,$D279),)</f>
        <v/>
      </c>
    </row>
    <row r="280">
      <c r="A280" s="39" t="str">
        <f>IF(AND($L280*1&gt;=$G$3,$L280*1&lt;=$G$4,$I280*$J280&gt;0,OR($I280&lt;&gt;$I281,$L280-$L281&gt;25),IF(ABS($I280)&gt;10,$I280/POW(10,$J280),$J280/POW(10,$I280))*MAXIFS(Token!$C:$C,Token!$A:$A,$K280)&gt;0.01),$L280/86400+DATE(1970,1,1)+$G$6,)</f>
        <v/>
      </c>
      <c r="B280" s="27" t="str">
        <f t="shared" si="1"/>
        <v/>
      </c>
      <c r="C280" s="14" t="str">
        <f>IF($A280&lt;&gt;"",MINIFS(Merchant!$A:$A,Merchant!$B:$B,$G$2),)</f>
        <v/>
      </c>
      <c r="D280" s="14" t="str">
        <f t="shared" si="2"/>
        <v/>
      </c>
      <c r="E280" s="14" t="str">
        <f t="shared" si="3"/>
        <v/>
      </c>
      <c r="F280" s="7" t="str">
        <f>IF($A280&lt;&gt;"",MAXIFS(Token!$C:$C,Token!$A:$A,$D280),)</f>
        <v/>
      </c>
    </row>
    <row r="281">
      <c r="A281" s="39" t="str">
        <f>IF(AND($L281*1&gt;=$G$3,$L281*1&lt;=$G$4,$I281*$J281&gt;0,OR($I281&lt;&gt;$I282,$L281-$L282&gt;25),IF(ABS($I281)&gt;10,$I281/POW(10,$J281),$J281/POW(10,$I281))*MAXIFS(Token!$C:$C,Token!$A:$A,$K281)&gt;0.01),$L281/86400+DATE(1970,1,1)+$G$6,)</f>
        <v/>
      </c>
      <c r="B281" s="27" t="str">
        <f t="shared" si="1"/>
        <v/>
      </c>
      <c r="C281" s="14" t="str">
        <f>IF($A281&lt;&gt;"",MINIFS(Merchant!$A:$A,Merchant!$B:$B,$G$2),)</f>
        <v/>
      </c>
      <c r="D281" s="14" t="str">
        <f t="shared" si="2"/>
        <v/>
      </c>
      <c r="E281" s="14" t="str">
        <f t="shared" si="3"/>
        <v/>
      </c>
      <c r="F281" s="7" t="str">
        <f>IF($A281&lt;&gt;"",MAXIFS(Token!$C:$C,Token!$A:$A,$D281),)</f>
        <v/>
      </c>
    </row>
    <row r="282">
      <c r="A282" s="39" t="str">
        <f>IF(AND($L282*1&gt;=$G$3,$L282*1&lt;=$G$4,$I282*$J282&gt;0,OR($I282&lt;&gt;$I283,$L282-$L283&gt;25),IF(ABS($I282)&gt;10,$I282/POW(10,$J282),$J282/POW(10,$I282))*MAXIFS(Token!$C:$C,Token!$A:$A,$K282)&gt;0.01),$L282/86400+DATE(1970,1,1)+$G$6,)</f>
        <v/>
      </c>
      <c r="B282" s="27" t="str">
        <f t="shared" si="1"/>
        <v/>
      </c>
      <c r="C282" s="14" t="str">
        <f>IF($A282&lt;&gt;"",MINIFS(Merchant!$A:$A,Merchant!$B:$B,$G$2),)</f>
        <v/>
      </c>
      <c r="D282" s="14" t="str">
        <f t="shared" si="2"/>
        <v/>
      </c>
      <c r="E282" s="14" t="str">
        <f t="shared" si="3"/>
        <v/>
      </c>
      <c r="F282" s="7" t="str">
        <f>IF($A282&lt;&gt;"",MAXIFS(Token!$C:$C,Token!$A:$A,$D282),)</f>
        <v/>
      </c>
    </row>
    <row r="283">
      <c r="A283" s="39" t="str">
        <f>IF(AND($L283*1&gt;=$G$3,$L283*1&lt;=$G$4,$I283*$J283&gt;0,OR($I283&lt;&gt;$I284,$L283-$L284&gt;25),IF(ABS($I283)&gt;10,$I283/POW(10,$J283),$J283/POW(10,$I283))*MAXIFS(Token!$C:$C,Token!$A:$A,$K283)&gt;0.01),$L283/86400+DATE(1970,1,1)+$G$6,)</f>
        <v/>
      </c>
      <c r="B283" s="27" t="str">
        <f t="shared" si="1"/>
        <v/>
      </c>
      <c r="C283" s="14" t="str">
        <f>IF($A283&lt;&gt;"",MINIFS(Merchant!$A:$A,Merchant!$B:$B,$G$2),)</f>
        <v/>
      </c>
      <c r="D283" s="14" t="str">
        <f t="shared" si="2"/>
        <v/>
      </c>
      <c r="E283" s="14" t="str">
        <f t="shared" si="3"/>
        <v/>
      </c>
      <c r="F283" s="7" t="str">
        <f>IF($A283&lt;&gt;"",MAXIFS(Token!$C:$C,Token!$A:$A,$D283),)</f>
        <v/>
      </c>
    </row>
    <row r="284">
      <c r="A284" s="39" t="str">
        <f>IF(AND($L284*1&gt;=$G$3,$L284*1&lt;=$G$4,$I284*$J284&gt;0,OR($I284&lt;&gt;$I285,$L284-$L285&gt;25),IF(ABS($I284)&gt;10,$I284/POW(10,$J284),$J284/POW(10,$I284))*MAXIFS(Token!$C:$C,Token!$A:$A,$K284)&gt;0.01),$L284/86400+DATE(1970,1,1)+$G$6,)</f>
        <v/>
      </c>
      <c r="B284" s="27" t="str">
        <f t="shared" si="1"/>
        <v/>
      </c>
      <c r="C284" s="14" t="str">
        <f>IF($A284&lt;&gt;"",MINIFS(Merchant!$A:$A,Merchant!$B:$B,$G$2),)</f>
        <v/>
      </c>
      <c r="D284" s="14" t="str">
        <f t="shared" si="2"/>
        <v/>
      </c>
      <c r="E284" s="14" t="str">
        <f t="shared" si="3"/>
        <v/>
      </c>
      <c r="F284" s="7" t="str">
        <f>IF($A284&lt;&gt;"",MAXIFS(Token!$C:$C,Token!$A:$A,$D284),)</f>
        <v/>
      </c>
    </row>
    <row r="285">
      <c r="A285" s="39" t="str">
        <f>IF(AND($L285*1&gt;=$G$3,$L285*1&lt;=$G$4,$I285*$J285&gt;0,OR($I285&lt;&gt;$I286,$L285-$L286&gt;25),IF(ABS($I285)&gt;10,$I285/POW(10,$J285),$J285/POW(10,$I285))*MAXIFS(Token!$C:$C,Token!$A:$A,$K285)&gt;0.01),$L285/86400+DATE(1970,1,1)+$G$6,)</f>
        <v/>
      </c>
      <c r="B285" s="27" t="str">
        <f t="shared" si="1"/>
        <v/>
      </c>
      <c r="C285" s="14" t="str">
        <f>IF($A285&lt;&gt;"",MINIFS(Merchant!$A:$A,Merchant!$B:$B,$G$2),)</f>
        <v/>
      </c>
      <c r="D285" s="14" t="str">
        <f t="shared" si="2"/>
        <v/>
      </c>
      <c r="E285" s="14" t="str">
        <f t="shared" si="3"/>
        <v/>
      </c>
      <c r="F285" s="7" t="str">
        <f>IF($A285&lt;&gt;"",MAXIFS(Token!$C:$C,Token!$A:$A,$D285),)</f>
        <v/>
      </c>
    </row>
    <row r="286">
      <c r="A286" s="39" t="str">
        <f>IF(AND($L286*1&gt;=$G$3,$L286*1&lt;=$G$4,$I286*$J286&gt;0,OR($I286&lt;&gt;$I287,$L286-$L287&gt;25),IF(ABS($I286)&gt;10,$I286/POW(10,$J286),$J286/POW(10,$I286))*MAXIFS(Token!$C:$C,Token!$A:$A,$K286)&gt;0.01),$L286/86400+DATE(1970,1,1)+$G$6,)</f>
        <v/>
      </c>
      <c r="B286" s="27" t="str">
        <f t="shared" si="1"/>
        <v/>
      </c>
      <c r="C286" s="14" t="str">
        <f>IF($A286&lt;&gt;"",MINIFS(Merchant!$A:$A,Merchant!$B:$B,$G$2),)</f>
        <v/>
      </c>
      <c r="D286" s="14" t="str">
        <f t="shared" si="2"/>
        <v/>
      </c>
      <c r="E286" s="14" t="str">
        <f t="shared" si="3"/>
        <v/>
      </c>
      <c r="F286" s="7" t="str">
        <f>IF($A286&lt;&gt;"",MAXIFS(Token!$C:$C,Token!$A:$A,$D286),)</f>
        <v/>
      </c>
    </row>
    <row r="287">
      <c r="A287" s="39" t="str">
        <f>IF(AND($L287*1&gt;=$G$3,$L287*1&lt;=$G$4,$I287*$J287&gt;0,OR($I287&lt;&gt;$I288,$L287-$L288&gt;25),IF(ABS($I287)&gt;10,$I287/POW(10,$J287),$J287/POW(10,$I287))*MAXIFS(Token!$C:$C,Token!$A:$A,$K287)&gt;0.01),$L287/86400+DATE(1970,1,1)+$G$6,)</f>
        <v/>
      </c>
      <c r="B287" s="27" t="str">
        <f t="shared" si="1"/>
        <v/>
      </c>
      <c r="C287" s="14" t="str">
        <f>IF($A287&lt;&gt;"",MINIFS(Merchant!$A:$A,Merchant!$B:$B,$G$2),)</f>
        <v/>
      </c>
      <c r="D287" s="14" t="str">
        <f t="shared" si="2"/>
        <v/>
      </c>
      <c r="E287" s="14" t="str">
        <f t="shared" si="3"/>
        <v/>
      </c>
      <c r="F287" s="7" t="str">
        <f>IF($A287&lt;&gt;"",MAXIFS(Token!$C:$C,Token!$A:$A,$D287),)</f>
        <v/>
      </c>
    </row>
    <row r="288">
      <c r="A288" s="39" t="str">
        <f>IF(AND($L288*1&gt;=$G$3,$L288*1&lt;=$G$4,$I288*$J288&gt;0,OR($I288&lt;&gt;$I289,$L288-$L289&gt;25),IF(ABS($I288)&gt;10,$I288/POW(10,$J288),$J288/POW(10,$I288))*MAXIFS(Token!$C:$C,Token!$A:$A,$K288)&gt;0.01),$L288/86400+DATE(1970,1,1)+$G$6,)</f>
        <v/>
      </c>
      <c r="B288" s="27" t="str">
        <f t="shared" si="1"/>
        <v/>
      </c>
      <c r="C288" s="14" t="str">
        <f>IF($A288&lt;&gt;"",MINIFS(Merchant!$A:$A,Merchant!$B:$B,$G$2),)</f>
        <v/>
      </c>
      <c r="D288" s="14" t="str">
        <f t="shared" si="2"/>
        <v/>
      </c>
      <c r="E288" s="14" t="str">
        <f t="shared" si="3"/>
        <v/>
      </c>
      <c r="F288" s="7" t="str">
        <f>IF($A288&lt;&gt;"",MAXIFS(Token!$C:$C,Token!$A:$A,$D288),)</f>
        <v/>
      </c>
    </row>
    <row r="289">
      <c r="A289" s="39" t="str">
        <f>IF(AND($L289*1&gt;=$G$3,$L289*1&lt;=$G$4,$I289*$J289&gt;0,OR($I289&lt;&gt;$I290,$L289-$L290&gt;25),IF(ABS($I289)&gt;10,$I289/POW(10,$J289),$J289/POW(10,$I289))*MAXIFS(Token!$C:$C,Token!$A:$A,$K289)&gt;0.01),$L289/86400+DATE(1970,1,1)+$G$6,)</f>
        <v/>
      </c>
      <c r="B289" s="27" t="str">
        <f t="shared" si="1"/>
        <v/>
      </c>
      <c r="C289" s="14" t="str">
        <f>IF($A289&lt;&gt;"",MINIFS(Merchant!$A:$A,Merchant!$B:$B,$G$2),)</f>
        <v/>
      </c>
      <c r="D289" s="14" t="str">
        <f t="shared" si="2"/>
        <v/>
      </c>
      <c r="E289" s="14" t="str">
        <f t="shared" si="3"/>
        <v/>
      </c>
      <c r="F289" s="7" t="str">
        <f>IF($A289&lt;&gt;"",MAXIFS(Token!$C:$C,Token!$A:$A,$D289),)</f>
        <v/>
      </c>
    </row>
    <row r="290">
      <c r="A290" s="39" t="str">
        <f>IF(AND($L290*1&gt;=$G$3,$L290*1&lt;=$G$4,$I290*$J290&gt;0,OR($I290&lt;&gt;$I291,$L290-$L291&gt;25),IF(ABS($I290)&gt;10,$I290/POW(10,$J290),$J290/POW(10,$I290))*MAXIFS(Token!$C:$C,Token!$A:$A,$K290)&gt;0.01),$L290/86400+DATE(1970,1,1)+$G$6,)</f>
        <v/>
      </c>
      <c r="B290" s="27" t="str">
        <f t="shared" si="1"/>
        <v/>
      </c>
      <c r="C290" s="14" t="str">
        <f>IF($A290&lt;&gt;"",MINIFS(Merchant!$A:$A,Merchant!$B:$B,$G$2),)</f>
        <v/>
      </c>
      <c r="D290" s="14" t="str">
        <f t="shared" si="2"/>
        <v/>
      </c>
      <c r="E290" s="14" t="str">
        <f t="shared" si="3"/>
        <v/>
      </c>
      <c r="F290" s="7" t="str">
        <f>IF($A290&lt;&gt;"",MAXIFS(Token!$C:$C,Token!$A:$A,$D290),)</f>
        <v/>
      </c>
    </row>
    <row r="291">
      <c r="A291" s="39" t="str">
        <f>IF(AND($L291*1&gt;=$G$3,$L291*1&lt;=$G$4,$I291*$J291&gt;0,OR($I291&lt;&gt;$I292,$L291-$L292&gt;25),IF(ABS($I291)&gt;10,$I291/POW(10,$J291),$J291/POW(10,$I291))*MAXIFS(Token!$C:$C,Token!$A:$A,$K291)&gt;0.01),$L291/86400+DATE(1970,1,1)+$G$6,)</f>
        <v/>
      </c>
      <c r="B291" s="27" t="str">
        <f t="shared" si="1"/>
        <v/>
      </c>
      <c r="C291" s="14" t="str">
        <f>IF($A291&lt;&gt;"",MINIFS(Merchant!$A:$A,Merchant!$B:$B,$G$2),)</f>
        <v/>
      </c>
      <c r="D291" s="14" t="str">
        <f t="shared" si="2"/>
        <v/>
      </c>
      <c r="E291" s="14" t="str">
        <f t="shared" si="3"/>
        <v/>
      </c>
      <c r="F291" s="7" t="str">
        <f>IF($A291&lt;&gt;"",MAXIFS(Token!$C:$C,Token!$A:$A,$D291),)</f>
        <v/>
      </c>
    </row>
    <row r="292">
      <c r="A292" s="39" t="str">
        <f>IF(AND($L292*1&gt;=$G$3,$L292*1&lt;=$G$4,$I292*$J292&gt;0,OR($I292&lt;&gt;$I293,$L292-$L293&gt;25),IF(ABS($I292)&gt;10,$I292/POW(10,$J292),$J292/POW(10,$I292))*MAXIFS(Token!$C:$C,Token!$A:$A,$K292)&gt;0.01),$L292/86400+DATE(1970,1,1)+$G$6,)</f>
        <v/>
      </c>
      <c r="B292" s="27" t="str">
        <f t="shared" si="1"/>
        <v/>
      </c>
      <c r="C292" s="14" t="str">
        <f>IF($A292&lt;&gt;"",MINIFS(Merchant!$A:$A,Merchant!$B:$B,$G$2),)</f>
        <v/>
      </c>
      <c r="D292" s="14" t="str">
        <f t="shared" si="2"/>
        <v/>
      </c>
      <c r="E292" s="14" t="str">
        <f t="shared" si="3"/>
        <v/>
      </c>
      <c r="F292" s="7" t="str">
        <f>IF($A292&lt;&gt;"",MAXIFS(Token!$C:$C,Token!$A:$A,$D292),)</f>
        <v/>
      </c>
    </row>
    <row r="293">
      <c r="A293" s="39" t="str">
        <f>IF(AND($L293*1&gt;=$G$3,$L293*1&lt;=$G$4,$I293*$J293&gt;0,OR($I293&lt;&gt;$I294,$L293-$L294&gt;25),IF(ABS($I293)&gt;10,$I293/POW(10,$J293),$J293/POW(10,$I293))*MAXIFS(Token!$C:$C,Token!$A:$A,$K293)&gt;0.01),$L293/86400+DATE(1970,1,1)+$G$6,)</f>
        <v/>
      </c>
      <c r="B293" s="27" t="str">
        <f t="shared" si="1"/>
        <v/>
      </c>
      <c r="C293" s="14" t="str">
        <f>IF($A293&lt;&gt;"",MINIFS(Merchant!$A:$A,Merchant!$B:$B,$G$2),)</f>
        <v/>
      </c>
      <c r="D293" s="14" t="str">
        <f t="shared" si="2"/>
        <v/>
      </c>
      <c r="E293" s="14" t="str">
        <f t="shared" si="3"/>
        <v/>
      </c>
      <c r="F293" s="7" t="str">
        <f>IF($A293&lt;&gt;"",MAXIFS(Token!$C:$C,Token!$A:$A,$D293),)</f>
        <v/>
      </c>
    </row>
    <row r="294">
      <c r="A294" s="39" t="str">
        <f>IF(AND($L294*1&gt;=$G$3,$L294*1&lt;=$G$4,$I294*$J294&gt;0,OR($I294&lt;&gt;$I295,$L294-$L295&gt;25),IF(ABS($I294)&gt;10,$I294/POW(10,$J294),$J294/POW(10,$I294))*MAXIFS(Token!$C:$C,Token!$A:$A,$K294)&gt;0.01),$L294/86400+DATE(1970,1,1)+$G$6,)</f>
        <v/>
      </c>
      <c r="B294" s="27" t="str">
        <f t="shared" si="1"/>
        <v/>
      </c>
      <c r="C294" s="14" t="str">
        <f>IF($A294&lt;&gt;"",MINIFS(Merchant!$A:$A,Merchant!$B:$B,$G$2),)</f>
        <v/>
      </c>
      <c r="D294" s="14" t="str">
        <f t="shared" si="2"/>
        <v/>
      </c>
      <c r="E294" s="14" t="str">
        <f t="shared" si="3"/>
        <v/>
      </c>
      <c r="F294" s="7" t="str">
        <f>IF($A294&lt;&gt;"",MAXIFS(Token!$C:$C,Token!$A:$A,$D294),)</f>
        <v/>
      </c>
    </row>
    <row r="295">
      <c r="A295" s="39" t="str">
        <f>IF(AND($L295*1&gt;=$G$3,$L295*1&lt;=$G$4,$I295*$J295&gt;0,OR($I295&lt;&gt;$I296,$L295-$L296&gt;25),IF(ABS($I295)&gt;10,$I295/POW(10,$J295),$J295/POW(10,$I295))*MAXIFS(Token!$C:$C,Token!$A:$A,$K295)&gt;0.01),$L295/86400+DATE(1970,1,1)+$G$6,)</f>
        <v/>
      </c>
      <c r="B295" s="27" t="str">
        <f t="shared" si="1"/>
        <v/>
      </c>
      <c r="C295" s="14" t="str">
        <f>IF($A295&lt;&gt;"",MINIFS(Merchant!$A:$A,Merchant!$B:$B,$G$2),)</f>
        <v/>
      </c>
      <c r="D295" s="14" t="str">
        <f t="shared" si="2"/>
        <v/>
      </c>
      <c r="E295" s="14" t="str">
        <f t="shared" si="3"/>
        <v/>
      </c>
      <c r="F295" s="7" t="str">
        <f>IF($A295&lt;&gt;"",MAXIFS(Token!$C:$C,Token!$A:$A,$D295),)</f>
        <v/>
      </c>
    </row>
    <row r="296">
      <c r="A296" s="39" t="str">
        <f>IF(AND($L296*1&gt;=$G$3,$L296*1&lt;=$G$4,$I296*$J296&gt;0,OR($I296&lt;&gt;$I297,$L296-$L297&gt;25),IF(ABS($I296)&gt;10,$I296/POW(10,$J296),$J296/POW(10,$I296))*MAXIFS(Token!$C:$C,Token!$A:$A,$K296)&gt;0.01),$L296/86400+DATE(1970,1,1)+$G$6,)</f>
        <v/>
      </c>
      <c r="B296" s="27" t="str">
        <f t="shared" si="1"/>
        <v/>
      </c>
      <c r="C296" s="14" t="str">
        <f>IF($A296&lt;&gt;"",MINIFS(Merchant!$A:$A,Merchant!$B:$B,$G$2),)</f>
        <v/>
      </c>
      <c r="D296" s="14" t="str">
        <f t="shared" si="2"/>
        <v/>
      </c>
      <c r="E296" s="14" t="str">
        <f t="shared" si="3"/>
        <v/>
      </c>
      <c r="F296" s="7" t="str">
        <f>IF($A296&lt;&gt;"",MAXIFS(Token!$C:$C,Token!$A:$A,$D296),)</f>
        <v/>
      </c>
    </row>
    <row r="297">
      <c r="A297" s="39" t="str">
        <f>IF(AND($L297*1&gt;=$G$3,$L297*1&lt;=$G$4,$I297*$J297&gt;0,OR($I297&lt;&gt;$I298,$L297-$L298&gt;25),IF(ABS($I297)&gt;10,$I297/POW(10,$J297),$J297/POW(10,$I297))*MAXIFS(Token!$C:$C,Token!$A:$A,$K297)&gt;0.01),$L297/86400+DATE(1970,1,1)+$G$6,)</f>
        <v/>
      </c>
      <c r="B297" s="27" t="str">
        <f t="shared" si="1"/>
        <v/>
      </c>
      <c r="C297" s="14" t="str">
        <f>IF($A297&lt;&gt;"",MINIFS(Merchant!$A:$A,Merchant!$B:$B,$G$2),)</f>
        <v/>
      </c>
      <c r="D297" s="14" t="str">
        <f t="shared" si="2"/>
        <v/>
      </c>
      <c r="E297" s="14" t="str">
        <f t="shared" si="3"/>
        <v/>
      </c>
      <c r="F297" s="7" t="str">
        <f>IF($A297&lt;&gt;"",MAXIFS(Token!$C:$C,Token!$A:$A,$D297),)</f>
        <v/>
      </c>
    </row>
    <row r="298">
      <c r="A298" s="39" t="str">
        <f>IF(AND($L298*1&gt;=$G$3,$L298*1&lt;=$G$4,$I298*$J298&gt;0,OR($I298&lt;&gt;$I299,$L298-$L299&gt;25),IF(ABS($I298)&gt;10,$I298/POW(10,$J298),$J298/POW(10,$I298))*MAXIFS(Token!$C:$C,Token!$A:$A,$K298)&gt;0.01),$L298/86400+DATE(1970,1,1)+$G$6,)</f>
        <v/>
      </c>
      <c r="B298" s="27" t="str">
        <f t="shared" si="1"/>
        <v/>
      </c>
      <c r="C298" s="14" t="str">
        <f>IF($A298&lt;&gt;"",MINIFS(Merchant!$A:$A,Merchant!$B:$B,$G$2),)</f>
        <v/>
      </c>
      <c r="D298" s="14" t="str">
        <f t="shared" si="2"/>
        <v/>
      </c>
      <c r="E298" s="14" t="str">
        <f t="shared" si="3"/>
        <v/>
      </c>
      <c r="F298" s="7" t="str">
        <f>IF($A298&lt;&gt;"",MAXIFS(Token!$C:$C,Token!$A:$A,$D298),)</f>
        <v/>
      </c>
    </row>
    <row r="299">
      <c r="A299" s="39" t="str">
        <f>IF(AND($L299*1&gt;=$G$3,$L299*1&lt;=$G$4,$I299*$J299&gt;0,OR($I299&lt;&gt;$I300,$L299-$L300&gt;25),IF(ABS($I299)&gt;10,$I299/POW(10,$J299),$J299/POW(10,$I299))*MAXIFS(Token!$C:$C,Token!$A:$A,$K299)&gt;0.01),$L299/86400+DATE(1970,1,1)+$G$6,)</f>
        <v/>
      </c>
      <c r="B299" s="27" t="str">
        <f t="shared" si="1"/>
        <v/>
      </c>
      <c r="C299" s="14" t="str">
        <f>IF($A299&lt;&gt;"",MINIFS(Merchant!$A:$A,Merchant!$B:$B,$G$2),)</f>
        <v/>
      </c>
      <c r="D299" s="14" t="str">
        <f t="shared" si="2"/>
        <v/>
      </c>
      <c r="E299" s="14" t="str">
        <f t="shared" si="3"/>
        <v/>
      </c>
      <c r="F299" s="7" t="str">
        <f>IF($A299&lt;&gt;"",MAXIFS(Token!$C:$C,Token!$A:$A,$D299),)</f>
        <v/>
      </c>
    </row>
    <row r="300">
      <c r="A300" s="39" t="str">
        <f>IF(AND($L300*1&gt;=$G$3,$L300*1&lt;=$G$4,$I300*$J300&gt;0,OR($I300&lt;&gt;$I301,$L300-$L301&gt;25),IF(ABS($I300)&gt;10,$I300/POW(10,$J300),$J300/POW(10,$I300))*MAXIFS(Token!$C:$C,Token!$A:$A,$K300)&gt;0.01),$L300/86400+DATE(1970,1,1)+$G$6,)</f>
        <v/>
      </c>
      <c r="B300" s="27" t="str">
        <f t="shared" si="1"/>
        <v/>
      </c>
      <c r="C300" s="14" t="str">
        <f>IF($A300&lt;&gt;"",MINIFS(Merchant!$A:$A,Merchant!$B:$B,$G$2),)</f>
        <v/>
      </c>
      <c r="D300" s="14" t="str">
        <f t="shared" si="2"/>
        <v/>
      </c>
      <c r="E300" s="14" t="str">
        <f t="shared" si="3"/>
        <v/>
      </c>
      <c r="F300" s="7" t="str">
        <f>IF($A300&lt;&gt;"",MAXIFS(Token!$C:$C,Token!$A:$A,$D300),)</f>
        <v/>
      </c>
    </row>
    <row r="301">
      <c r="A301" s="39" t="str">
        <f>IF(AND($L301*1&gt;=$G$3,$L301*1&lt;=$G$4,$I301*$J301&gt;0,OR($I301&lt;&gt;$I302,$L301-$L302&gt;25),IF(ABS($I301)&gt;10,$I301/POW(10,$J301),$J301/POW(10,$I301))*MAXIFS(Token!$C:$C,Token!$A:$A,$K301)&gt;0.01),$L301/86400+DATE(1970,1,1)+$G$6,)</f>
        <v/>
      </c>
      <c r="B301" s="27" t="str">
        <f t="shared" si="1"/>
        <v/>
      </c>
      <c r="C301" s="14" t="str">
        <f>IF($A301&lt;&gt;"",MINIFS(Merchant!$A:$A,Merchant!$B:$B,$G$2),)</f>
        <v/>
      </c>
      <c r="D301" s="14" t="str">
        <f t="shared" si="2"/>
        <v/>
      </c>
      <c r="E301" s="14" t="str">
        <f t="shared" si="3"/>
        <v/>
      </c>
      <c r="F301" s="7" t="str">
        <f>IF($A301&lt;&gt;"",MAXIFS(Token!$C:$C,Token!$A:$A,$D301),)</f>
        <v/>
      </c>
    </row>
    <row r="302">
      <c r="A302" s="39" t="str">
        <f>IF(AND($L302*1&gt;=$G$3,$L302*1&lt;=$G$4,$I302*$J302&gt;0,OR($I302&lt;&gt;$I303,$L302-$L303&gt;25),IF(ABS($I302)&gt;10,$I302/POW(10,$J302),$J302/POW(10,$I302))*MAXIFS(Token!$C:$C,Token!$A:$A,$K302)&gt;0.01),$L302/86400+DATE(1970,1,1)+$G$6,)</f>
        <v/>
      </c>
      <c r="B302" s="27" t="str">
        <f t="shared" si="1"/>
        <v/>
      </c>
      <c r="C302" s="14" t="str">
        <f>IF($A302&lt;&gt;"",MINIFS(Merchant!$A:$A,Merchant!$B:$B,$G$2),)</f>
        <v/>
      </c>
      <c r="D302" s="14" t="str">
        <f t="shared" si="2"/>
        <v/>
      </c>
      <c r="E302" s="14" t="str">
        <f t="shared" si="3"/>
        <v/>
      </c>
      <c r="F302" s="7" t="str">
        <f>IF($A302&lt;&gt;"",MAXIFS(Token!$C:$C,Token!$A:$A,$D302),)</f>
        <v/>
      </c>
    </row>
    <row r="303">
      <c r="A303" s="39" t="str">
        <f>IF(AND($L303*1&gt;=$G$3,$L303*1&lt;=$G$4,$I303*$J303&gt;0,OR($I303&lt;&gt;$I304,$L303-$L304&gt;25),IF(ABS($I303)&gt;10,$I303/POW(10,$J303),$J303/POW(10,$I303))*MAXIFS(Token!$C:$C,Token!$A:$A,$K303)&gt;0.01),$L303/86400+DATE(1970,1,1)+$G$6,)</f>
        <v/>
      </c>
      <c r="B303" s="27" t="str">
        <f t="shared" si="1"/>
        <v/>
      </c>
      <c r="C303" s="14" t="str">
        <f>IF($A303&lt;&gt;"",MINIFS(Merchant!$A:$A,Merchant!$B:$B,$G$2),)</f>
        <v/>
      </c>
      <c r="D303" s="14" t="str">
        <f t="shared" si="2"/>
        <v/>
      </c>
      <c r="E303" s="14" t="str">
        <f t="shared" si="3"/>
        <v/>
      </c>
      <c r="F303" s="7" t="str">
        <f>IF($A303&lt;&gt;"",MAXIFS(Token!$C:$C,Token!$A:$A,$D303),)</f>
        <v/>
      </c>
    </row>
    <row r="304">
      <c r="A304" s="39" t="str">
        <f>IF(AND($L304*1&gt;=$G$3,$L304*1&lt;=$G$4,$I304*$J304&gt;0,OR($I304&lt;&gt;$I305,$L304-$L305&gt;25),IF(ABS($I304)&gt;10,$I304/POW(10,$J304),$J304/POW(10,$I304))*MAXIFS(Token!$C:$C,Token!$A:$A,$K304)&gt;0.01),$L304/86400+DATE(1970,1,1)+$G$6,)</f>
        <v/>
      </c>
      <c r="B304" s="27" t="str">
        <f t="shared" si="1"/>
        <v/>
      </c>
      <c r="C304" s="14" t="str">
        <f>IF($A304&lt;&gt;"",MINIFS(Merchant!$A:$A,Merchant!$B:$B,$G$2),)</f>
        <v/>
      </c>
      <c r="D304" s="14" t="str">
        <f t="shared" si="2"/>
        <v/>
      </c>
      <c r="E304" s="14" t="str">
        <f t="shared" si="3"/>
        <v/>
      </c>
      <c r="F304" s="7" t="str">
        <f>IF($A304&lt;&gt;"",MAXIFS(Token!$C:$C,Token!$A:$A,$D304),)</f>
        <v/>
      </c>
    </row>
    <row r="305">
      <c r="A305" s="39" t="str">
        <f>IF(AND($L305*1&gt;=$G$3,$L305*1&lt;=$G$4,$I305*$J305&gt;0,OR($I305&lt;&gt;$I306,$L305-$L306&gt;25),IF(ABS($I305)&gt;10,$I305/POW(10,$J305),$J305/POW(10,$I305))*MAXIFS(Token!$C:$C,Token!$A:$A,$K305)&gt;0.01),$L305/86400+DATE(1970,1,1)+$G$6,)</f>
        <v/>
      </c>
      <c r="B305" s="27" t="str">
        <f t="shared" si="1"/>
        <v/>
      </c>
      <c r="C305" s="14" t="str">
        <f>IF($A305&lt;&gt;"",MINIFS(Merchant!$A:$A,Merchant!$B:$B,$G$2),)</f>
        <v/>
      </c>
      <c r="D305" s="14" t="str">
        <f t="shared" si="2"/>
        <v/>
      </c>
      <c r="E305" s="14" t="str">
        <f t="shared" si="3"/>
        <v/>
      </c>
      <c r="F305" s="7" t="str">
        <f>IF($A305&lt;&gt;"",MAXIFS(Token!$C:$C,Token!$A:$A,$D305),)</f>
        <v/>
      </c>
    </row>
    <row r="306">
      <c r="A306" s="39" t="str">
        <f>IF(AND($L306*1&gt;=$G$3,$L306*1&lt;=$G$4,$I306*$J306&gt;0,OR($I306&lt;&gt;$I307,$L306-$L307&gt;25),IF(ABS($I306)&gt;10,$I306/POW(10,$J306),$J306/POW(10,$I306))*MAXIFS(Token!$C:$C,Token!$A:$A,$K306)&gt;0.01),$L306/86400+DATE(1970,1,1)+$G$6,)</f>
        <v/>
      </c>
      <c r="B306" s="27" t="str">
        <f t="shared" si="1"/>
        <v/>
      </c>
      <c r="C306" s="14" t="str">
        <f>IF($A306&lt;&gt;"",MINIFS(Merchant!$A:$A,Merchant!$B:$B,$G$2),)</f>
        <v/>
      </c>
      <c r="D306" s="14" t="str">
        <f t="shared" si="2"/>
        <v/>
      </c>
      <c r="E306" s="14" t="str">
        <f t="shared" si="3"/>
        <v/>
      </c>
      <c r="F306" s="7" t="str">
        <f>IF($A306&lt;&gt;"",MAXIFS(Token!$C:$C,Token!$A:$A,$D306),)</f>
        <v/>
      </c>
    </row>
    <row r="307">
      <c r="A307" s="39" t="str">
        <f>IF(AND($L307*1&gt;=$G$3,$L307*1&lt;=$G$4,$I307*$J307&gt;0,OR($I307&lt;&gt;$I308,$L307-$L308&gt;25),IF(ABS($I307)&gt;10,$I307/POW(10,$J307),$J307/POW(10,$I307))*MAXIFS(Token!$C:$C,Token!$A:$A,$K307)&gt;0.01),$L307/86400+DATE(1970,1,1)+$G$6,)</f>
        <v/>
      </c>
      <c r="B307" s="27" t="str">
        <f t="shared" si="1"/>
        <v/>
      </c>
      <c r="C307" s="14" t="str">
        <f>IF($A307&lt;&gt;"",MINIFS(Merchant!$A:$A,Merchant!$B:$B,$G$2),)</f>
        <v/>
      </c>
      <c r="D307" s="14" t="str">
        <f t="shared" si="2"/>
        <v/>
      </c>
      <c r="E307" s="14" t="str">
        <f t="shared" si="3"/>
        <v/>
      </c>
      <c r="F307" s="7" t="str">
        <f>IF($A307&lt;&gt;"",MAXIFS(Token!$C:$C,Token!$A:$A,$D307),)</f>
        <v/>
      </c>
    </row>
    <row r="308">
      <c r="A308" s="39" t="str">
        <f>IF(AND($L308*1&gt;=$G$3,$L308*1&lt;=$G$4,$I308*$J308&gt;0,OR($I308&lt;&gt;$I309,$L308-$L309&gt;25),IF(ABS($I308)&gt;10,$I308/POW(10,$J308),$J308/POW(10,$I308))*MAXIFS(Token!$C:$C,Token!$A:$A,$K308)&gt;0.01),$L308/86400+DATE(1970,1,1)+$G$6,)</f>
        <v/>
      </c>
      <c r="B308" s="27" t="str">
        <f t="shared" si="1"/>
        <v/>
      </c>
      <c r="C308" s="14" t="str">
        <f>IF($A308&lt;&gt;"",MINIFS(Merchant!$A:$A,Merchant!$B:$B,$G$2),)</f>
        <v/>
      </c>
      <c r="D308" s="14" t="str">
        <f t="shared" si="2"/>
        <v/>
      </c>
      <c r="E308" s="14" t="str">
        <f t="shared" si="3"/>
        <v/>
      </c>
      <c r="F308" s="7" t="str">
        <f>IF($A308&lt;&gt;"",MAXIFS(Token!$C:$C,Token!$A:$A,$D308),)</f>
        <v/>
      </c>
    </row>
    <row r="309">
      <c r="A309" s="39" t="str">
        <f>IF(AND($L309*1&gt;=$G$3,$L309*1&lt;=$G$4,$I309*$J309&gt;0,OR($I309&lt;&gt;$I310,$L309-$L310&gt;25),IF(ABS($I309)&gt;10,$I309/POW(10,$J309),$J309/POW(10,$I309))*MAXIFS(Token!$C:$C,Token!$A:$A,$K309)&gt;0.01),$L309/86400+DATE(1970,1,1)+$G$6,)</f>
        <v/>
      </c>
      <c r="B309" s="27" t="str">
        <f t="shared" si="1"/>
        <v/>
      </c>
      <c r="C309" s="14" t="str">
        <f>IF($A309&lt;&gt;"",MINIFS(Merchant!$A:$A,Merchant!$B:$B,$G$2),)</f>
        <v/>
      </c>
      <c r="D309" s="14" t="str">
        <f t="shared" si="2"/>
        <v/>
      </c>
      <c r="E309" s="14" t="str">
        <f t="shared" si="3"/>
        <v/>
      </c>
      <c r="F309" s="7" t="str">
        <f>IF($A309&lt;&gt;"",MAXIFS(Token!$C:$C,Token!$A:$A,$D309),)</f>
        <v/>
      </c>
    </row>
    <row r="310">
      <c r="A310" s="39" t="str">
        <f>IF(AND($L310*1&gt;=$G$3,$L310*1&lt;=$G$4,$I310*$J310&gt;0,OR($I310&lt;&gt;$I311,$L310-$L311&gt;25),IF(ABS($I310)&gt;10,$I310/POW(10,$J310),$J310/POW(10,$I310))*MAXIFS(Token!$C:$C,Token!$A:$A,$K310)&gt;0.01),$L310/86400+DATE(1970,1,1)+$G$6,)</f>
        <v/>
      </c>
      <c r="B310" s="27" t="str">
        <f t="shared" si="1"/>
        <v/>
      </c>
      <c r="C310" s="14" t="str">
        <f>IF($A310&lt;&gt;"",MINIFS(Merchant!$A:$A,Merchant!$B:$B,$G$2),)</f>
        <v/>
      </c>
      <c r="D310" s="14" t="str">
        <f t="shared" si="2"/>
        <v/>
      </c>
      <c r="E310" s="14" t="str">
        <f t="shared" si="3"/>
        <v/>
      </c>
      <c r="F310" s="7" t="str">
        <f>IF($A310&lt;&gt;"",MAXIFS(Token!$C:$C,Token!$A:$A,$D310),)</f>
        <v/>
      </c>
    </row>
    <row r="311">
      <c r="A311" s="39" t="str">
        <f>IF(AND($L311*1&gt;=$G$3,$L311*1&lt;=$G$4,$I311*$J311&gt;0,OR($I311&lt;&gt;$I312,$L311-$L312&gt;25),IF(ABS($I311)&gt;10,$I311/POW(10,$J311),$J311/POW(10,$I311))*MAXIFS(Token!$C:$C,Token!$A:$A,$K311)&gt;0.01),$L311/86400+DATE(1970,1,1)+$G$6,)</f>
        <v/>
      </c>
      <c r="B311" s="27" t="str">
        <f t="shared" si="1"/>
        <v/>
      </c>
      <c r="C311" s="14" t="str">
        <f>IF($A311&lt;&gt;"",MINIFS(Merchant!$A:$A,Merchant!$B:$B,$G$2),)</f>
        <v/>
      </c>
      <c r="D311" s="14" t="str">
        <f t="shared" si="2"/>
        <v/>
      </c>
      <c r="E311" s="14" t="str">
        <f t="shared" si="3"/>
        <v/>
      </c>
      <c r="F311" s="7" t="str">
        <f>IF($A311&lt;&gt;"",MAXIFS(Token!$C:$C,Token!$A:$A,$D311),)</f>
        <v/>
      </c>
    </row>
    <row r="312">
      <c r="A312" s="39" t="str">
        <f>IF(AND($L312*1&gt;=$G$3,$L312*1&lt;=$G$4,$I312*$J312&gt;0,OR($I312&lt;&gt;$I313,$L312-$L313&gt;25),IF(ABS($I312)&gt;10,$I312/POW(10,$J312),$J312/POW(10,$I312))*MAXIFS(Token!$C:$C,Token!$A:$A,$K312)&gt;0.01),$L312/86400+DATE(1970,1,1)+$G$6,)</f>
        <v/>
      </c>
      <c r="B312" s="27" t="str">
        <f t="shared" si="1"/>
        <v/>
      </c>
      <c r="C312" s="14" t="str">
        <f>IF($A312&lt;&gt;"",MINIFS(Merchant!$A:$A,Merchant!$B:$B,$G$2),)</f>
        <v/>
      </c>
      <c r="D312" s="14" t="str">
        <f t="shared" si="2"/>
        <v/>
      </c>
      <c r="E312" s="14" t="str">
        <f t="shared" si="3"/>
        <v/>
      </c>
      <c r="F312" s="7" t="str">
        <f>IF($A312&lt;&gt;"",MAXIFS(Token!$C:$C,Token!$A:$A,$D312),)</f>
        <v/>
      </c>
    </row>
    <row r="313">
      <c r="A313" s="39" t="str">
        <f>IF(AND($L313*1&gt;=$G$3,$L313*1&lt;=$G$4,$I313*$J313&gt;0,OR($I313&lt;&gt;$I314,$L313-$L314&gt;25),IF(ABS($I313)&gt;10,$I313/POW(10,$J313),$J313/POW(10,$I313))*MAXIFS(Token!$C:$C,Token!$A:$A,$K313)&gt;0.01),$L313/86400+DATE(1970,1,1)+$G$6,)</f>
        <v/>
      </c>
      <c r="B313" s="27" t="str">
        <f t="shared" si="1"/>
        <v/>
      </c>
      <c r="C313" s="14" t="str">
        <f>IF($A313&lt;&gt;"",MINIFS(Merchant!$A:$A,Merchant!$B:$B,$G$2),)</f>
        <v/>
      </c>
      <c r="D313" s="14" t="str">
        <f t="shared" si="2"/>
        <v/>
      </c>
      <c r="E313" s="14" t="str">
        <f t="shared" si="3"/>
        <v/>
      </c>
      <c r="F313" s="7" t="str">
        <f>IF($A313&lt;&gt;"",MAXIFS(Token!$C:$C,Token!$A:$A,$D313),)</f>
        <v/>
      </c>
    </row>
    <row r="314">
      <c r="A314" s="39" t="str">
        <f>IF(AND($L314*1&gt;=$G$3,$L314*1&lt;=$G$4,$I314*$J314&gt;0,OR($I314&lt;&gt;$I315,$L314-$L315&gt;25),IF(ABS($I314)&gt;10,$I314/POW(10,$J314),$J314/POW(10,$I314))*MAXIFS(Token!$C:$C,Token!$A:$A,$K314)&gt;0.01),$L314/86400+DATE(1970,1,1)+$G$6,)</f>
        <v/>
      </c>
      <c r="B314" s="27" t="str">
        <f t="shared" si="1"/>
        <v/>
      </c>
      <c r="C314" s="14" t="str">
        <f>IF($A314&lt;&gt;"",MINIFS(Merchant!$A:$A,Merchant!$B:$B,$G$2),)</f>
        <v/>
      </c>
      <c r="D314" s="14" t="str">
        <f t="shared" si="2"/>
        <v/>
      </c>
      <c r="E314" s="14" t="str">
        <f t="shared" si="3"/>
        <v/>
      </c>
      <c r="F314" s="7" t="str">
        <f>IF($A314&lt;&gt;"",MAXIFS(Token!$C:$C,Token!$A:$A,$D314),)</f>
        <v/>
      </c>
    </row>
    <row r="315">
      <c r="A315" s="39" t="str">
        <f>IF(AND($L315*1&gt;=$G$3,$L315*1&lt;=$G$4,$I315*$J315&gt;0,OR($I315&lt;&gt;$I316,$L315-$L316&gt;25),IF(ABS($I315)&gt;10,$I315/POW(10,$J315),$J315/POW(10,$I315))*MAXIFS(Token!$C:$C,Token!$A:$A,$K315)&gt;0.01),$L315/86400+DATE(1970,1,1)+$G$6,)</f>
        <v/>
      </c>
      <c r="B315" s="27" t="str">
        <f t="shared" si="1"/>
        <v/>
      </c>
      <c r="C315" s="14" t="str">
        <f>IF($A315&lt;&gt;"",MINIFS(Merchant!$A:$A,Merchant!$B:$B,$G$2),)</f>
        <v/>
      </c>
      <c r="D315" s="14" t="str">
        <f t="shared" si="2"/>
        <v/>
      </c>
      <c r="E315" s="14" t="str">
        <f t="shared" si="3"/>
        <v/>
      </c>
      <c r="F315" s="7" t="str">
        <f>IF($A315&lt;&gt;"",MAXIFS(Token!$C:$C,Token!$A:$A,$D315),)</f>
        <v/>
      </c>
    </row>
    <row r="316">
      <c r="A316" s="39" t="str">
        <f>IF(AND($L316*1&gt;=$G$3,$L316*1&lt;=$G$4,$I316*$J316&gt;0,OR($I316&lt;&gt;$I317,$L316-$L317&gt;25),IF(ABS($I316)&gt;10,$I316/POW(10,$J316),$J316/POW(10,$I316))*MAXIFS(Token!$C:$C,Token!$A:$A,$K316)&gt;0.01),$L316/86400+DATE(1970,1,1)+$G$6,)</f>
        <v/>
      </c>
      <c r="B316" s="27" t="str">
        <f t="shared" si="1"/>
        <v/>
      </c>
      <c r="C316" s="14" t="str">
        <f>IF($A316&lt;&gt;"",MINIFS(Merchant!$A:$A,Merchant!$B:$B,$G$2),)</f>
        <v/>
      </c>
      <c r="D316" s="14" t="str">
        <f t="shared" si="2"/>
        <v/>
      </c>
      <c r="E316" s="14" t="str">
        <f t="shared" si="3"/>
        <v/>
      </c>
      <c r="F316" s="7" t="str">
        <f>IF($A316&lt;&gt;"",MAXIFS(Token!$C:$C,Token!$A:$A,$D316),)</f>
        <v/>
      </c>
    </row>
    <row r="317">
      <c r="A317" s="39" t="str">
        <f>IF(AND($L317*1&gt;=$G$3,$L317*1&lt;=$G$4,$I317*$J317&gt;0,OR($I317&lt;&gt;$I318,$L317-$L318&gt;25),IF(ABS($I317)&gt;10,$I317/POW(10,$J317),$J317/POW(10,$I317))*MAXIFS(Token!$C:$C,Token!$A:$A,$K317)&gt;0.01),$L317/86400+DATE(1970,1,1)+$G$6,)</f>
        <v/>
      </c>
      <c r="B317" s="27" t="str">
        <f t="shared" si="1"/>
        <v/>
      </c>
      <c r="C317" s="14" t="str">
        <f>IF($A317&lt;&gt;"",MINIFS(Merchant!$A:$A,Merchant!$B:$B,$G$2),)</f>
        <v/>
      </c>
      <c r="D317" s="14" t="str">
        <f t="shared" si="2"/>
        <v/>
      </c>
      <c r="E317" s="14" t="str">
        <f t="shared" si="3"/>
        <v/>
      </c>
      <c r="F317" s="7" t="str">
        <f>IF($A317&lt;&gt;"",MAXIFS(Token!$C:$C,Token!$A:$A,$D317),)</f>
        <v/>
      </c>
    </row>
    <row r="318">
      <c r="A318" s="39" t="str">
        <f>IF(AND($L318*1&gt;=$G$3,$L318*1&lt;=$G$4,$I318*$J318&gt;0,OR($I318&lt;&gt;$I319,$L318-$L319&gt;25),IF(ABS($I318)&gt;10,$I318/POW(10,$J318),$J318/POW(10,$I318))*MAXIFS(Token!$C:$C,Token!$A:$A,$K318)&gt;0.01),$L318/86400+DATE(1970,1,1)+$G$6,)</f>
        <v/>
      </c>
      <c r="B318" s="27" t="str">
        <f t="shared" si="1"/>
        <v/>
      </c>
      <c r="C318" s="14" t="str">
        <f>IF($A318&lt;&gt;"",MINIFS(Merchant!$A:$A,Merchant!$B:$B,$G$2),)</f>
        <v/>
      </c>
      <c r="D318" s="14" t="str">
        <f t="shared" si="2"/>
        <v/>
      </c>
      <c r="E318" s="14" t="str">
        <f t="shared" si="3"/>
        <v/>
      </c>
      <c r="F318" s="7" t="str">
        <f>IF($A318&lt;&gt;"",MAXIFS(Token!$C:$C,Token!$A:$A,$D318),)</f>
        <v/>
      </c>
    </row>
    <row r="319">
      <c r="A319" s="39" t="str">
        <f>IF(AND($L319*1&gt;=$G$3,$L319*1&lt;=$G$4,$I319*$J319&gt;0,OR($I319&lt;&gt;$I320,$L319-$L320&gt;25),IF(ABS($I319)&gt;10,$I319/POW(10,$J319),$J319/POW(10,$I319))*MAXIFS(Token!$C:$C,Token!$A:$A,$K319)&gt;0.01),$L319/86400+DATE(1970,1,1)+$G$6,)</f>
        <v/>
      </c>
      <c r="B319" s="27" t="str">
        <f t="shared" si="1"/>
        <v/>
      </c>
      <c r="C319" s="14" t="str">
        <f>IF($A319&lt;&gt;"",MINIFS(Merchant!$A:$A,Merchant!$B:$B,$G$2),)</f>
        <v/>
      </c>
      <c r="D319" s="14" t="str">
        <f t="shared" si="2"/>
        <v/>
      </c>
      <c r="E319" s="14" t="str">
        <f t="shared" si="3"/>
        <v/>
      </c>
      <c r="F319" s="7" t="str">
        <f>IF($A319&lt;&gt;"",MAXIFS(Token!$C:$C,Token!$A:$A,$D319),)</f>
        <v/>
      </c>
    </row>
    <row r="320">
      <c r="A320" s="39" t="str">
        <f>IF(AND($L320*1&gt;=$G$3,$L320*1&lt;=$G$4,$I320*$J320&gt;0,OR($I320&lt;&gt;$I321,$L320-$L321&gt;25),IF(ABS($I320)&gt;10,$I320/POW(10,$J320),$J320/POW(10,$I320))*MAXIFS(Token!$C:$C,Token!$A:$A,$K320)&gt;0.01),$L320/86400+DATE(1970,1,1)+$G$6,)</f>
        <v/>
      </c>
      <c r="B320" s="27" t="str">
        <f t="shared" si="1"/>
        <v/>
      </c>
      <c r="C320" s="14" t="str">
        <f>IF($A320&lt;&gt;"",MINIFS(Merchant!$A:$A,Merchant!$B:$B,$G$2),)</f>
        <v/>
      </c>
      <c r="D320" s="14" t="str">
        <f t="shared" si="2"/>
        <v/>
      </c>
      <c r="E320" s="14" t="str">
        <f t="shared" si="3"/>
        <v/>
      </c>
      <c r="F320" s="7" t="str">
        <f>IF($A320&lt;&gt;"",MAXIFS(Token!$C:$C,Token!$A:$A,$D320),)</f>
        <v/>
      </c>
    </row>
    <row r="321">
      <c r="A321" s="39" t="str">
        <f>IF(AND($L321*1&gt;=$G$3,$L321*1&lt;=$G$4,$I321*$J321&gt;0,OR($I321&lt;&gt;$I322,$L321-$L322&gt;25),IF(ABS($I321)&gt;10,$I321/POW(10,$J321),$J321/POW(10,$I321))*MAXIFS(Token!$C:$C,Token!$A:$A,$K321)&gt;0.01),$L321/86400+DATE(1970,1,1)+$G$6,)</f>
        <v/>
      </c>
      <c r="B321" s="27" t="str">
        <f t="shared" si="1"/>
        <v/>
      </c>
      <c r="C321" s="14" t="str">
        <f>IF($A321&lt;&gt;"",MINIFS(Merchant!$A:$A,Merchant!$B:$B,$G$2),)</f>
        <v/>
      </c>
      <c r="D321" s="14" t="str">
        <f t="shared" si="2"/>
        <v/>
      </c>
      <c r="E321" s="14" t="str">
        <f t="shared" si="3"/>
        <v/>
      </c>
      <c r="F321" s="7" t="str">
        <f>IF($A321&lt;&gt;"",MAXIFS(Token!$C:$C,Token!$A:$A,$D321),)</f>
        <v/>
      </c>
    </row>
    <row r="322">
      <c r="A322" s="39" t="str">
        <f>IF(AND($L322*1&gt;=$G$3,$L322*1&lt;=$G$4,$I322*$J322&gt;0,OR($I322&lt;&gt;$I323,$L322-$L323&gt;25),IF(ABS($I322)&gt;10,$I322/POW(10,$J322),$J322/POW(10,$I322))*MAXIFS(Token!$C:$C,Token!$A:$A,$K322)&gt;0.01),$L322/86400+DATE(1970,1,1)+$G$6,)</f>
        <v/>
      </c>
      <c r="B322" s="27" t="str">
        <f t="shared" si="1"/>
        <v/>
      </c>
      <c r="C322" s="14" t="str">
        <f>IF($A322&lt;&gt;"",MINIFS(Merchant!$A:$A,Merchant!$B:$B,$G$2),)</f>
        <v/>
      </c>
      <c r="D322" s="14" t="str">
        <f t="shared" si="2"/>
        <v/>
      </c>
      <c r="E322" s="14" t="str">
        <f t="shared" si="3"/>
        <v/>
      </c>
      <c r="F322" s="7" t="str">
        <f>IF($A322&lt;&gt;"",MAXIFS(Token!$C:$C,Token!$A:$A,$D322),)</f>
        <v/>
      </c>
    </row>
    <row r="323">
      <c r="A323" s="39" t="str">
        <f>IF(AND($L323*1&gt;=$G$3,$L323*1&lt;=$G$4,$I323*$J323&gt;0,OR($I323&lt;&gt;$I324,$L323-$L324&gt;25),IF(ABS($I323)&gt;10,$I323/POW(10,$J323),$J323/POW(10,$I323))*MAXIFS(Token!$C:$C,Token!$A:$A,$K323)&gt;0.01),$L323/86400+DATE(1970,1,1)+$G$6,)</f>
        <v/>
      </c>
      <c r="B323" s="27" t="str">
        <f t="shared" si="1"/>
        <v/>
      </c>
      <c r="C323" s="14" t="str">
        <f>IF($A323&lt;&gt;"",MINIFS(Merchant!$A:$A,Merchant!$B:$B,$G$2),)</f>
        <v/>
      </c>
      <c r="D323" s="14" t="str">
        <f t="shared" si="2"/>
        <v/>
      </c>
      <c r="E323" s="14" t="str">
        <f t="shared" si="3"/>
        <v/>
      </c>
      <c r="F323" s="7" t="str">
        <f>IF($A323&lt;&gt;"",MAXIFS(Token!$C:$C,Token!$A:$A,$D323),)</f>
        <v/>
      </c>
    </row>
    <row r="324">
      <c r="A324" s="39" t="str">
        <f>IF(AND($L324*1&gt;=$G$3,$L324*1&lt;=$G$4,$I324*$J324&gt;0,OR($I324&lt;&gt;$I325,$L324-$L325&gt;25),IF(ABS($I324)&gt;10,$I324/POW(10,$J324),$J324/POW(10,$I324))*MAXIFS(Token!$C:$C,Token!$A:$A,$K324)&gt;0.01),$L324/86400+DATE(1970,1,1)+$G$6,)</f>
        <v/>
      </c>
      <c r="B324" s="27" t="str">
        <f t="shared" si="1"/>
        <v/>
      </c>
      <c r="C324" s="14" t="str">
        <f>IF($A324&lt;&gt;"",MINIFS(Merchant!$A:$A,Merchant!$B:$B,$G$2),)</f>
        <v/>
      </c>
      <c r="D324" s="14" t="str">
        <f t="shared" si="2"/>
        <v/>
      </c>
      <c r="E324" s="14" t="str">
        <f t="shared" si="3"/>
        <v/>
      </c>
      <c r="F324" s="7" t="str">
        <f>IF($A324&lt;&gt;"",MAXIFS(Token!$C:$C,Token!$A:$A,$D324),)</f>
        <v/>
      </c>
    </row>
    <row r="325">
      <c r="A325" s="39" t="str">
        <f>IF(AND($L325*1&gt;=$G$3,$L325*1&lt;=$G$4,$I325*$J325&gt;0,OR($I325&lt;&gt;$I326,$L325-$L326&gt;25),IF(ABS($I325)&gt;10,$I325/POW(10,$J325),$J325/POW(10,$I325))*MAXIFS(Token!$C:$C,Token!$A:$A,$K325)&gt;0.01),$L325/86400+DATE(1970,1,1)+$G$6,)</f>
        <v/>
      </c>
      <c r="B325" s="27" t="str">
        <f t="shared" si="1"/>
        <v/>
      </c>
      <c r="C325" s="14" t="str">
        <f>IF($A325&lt;&gt;"",MINIFS(Merchant!$A:$A,Merchant!$B:$B,$G$2),)</f>
        <v/>
      </c>
      <c r="D325" s="14" t="str">
        <f t="shared" si="2"/>
        <v/>
      </c>
      <c r="E325" s="14" t="str">
        <f t="shared" si="3"/>
        <v/>
      </c>
      <c r="F325" s="7" t="str">
        <f>IF($A325&lt;&gt;"",MAXIFS(Token!$C:$C,Token!$A:$A,$D325),)</f>
        <v/>
      </c>
    </row>
    <row r="326">
      <c r="A326" s="39" t="str">
        <f>IF(AND($L326*1&gt;=$G$3,$L326*1&lt;=$G$4,$I326*$J326&gt;0,OR($I326&lt;&gt;$I327,$L326-$L327&gt;25),IF(ABS($I326)&gt;10,$I326/POW(10,$J326),$J326/POW(10,$I326))*MAXIFS(Token!$C:$C,Token!$A:$A,$K326)&gt;0.01),$L326/86400+DATE(1970,1,1)+$G$6,)</f>
        <v/>
      </c>
      <c r="B326" s="27" t="str">
        <f t="shared" si="1"/>
        <v/>
      </c>
      <c r="C326" s="14" t="str">
        <f>IF($A326&lt;&gt;"",MINIFS(Merchant!$A:$A,Merchant!$B:$B,$G$2),)</f>
        <v/>
      </c>
      <c r="D326" s="14" t="str">
        <f t="shared" si="2"/>
        <v/>
      </c>
      <c r="E326" s="14" t="str">
        <f t="shared" si="3"/>
        <v/>
      </c>
      <c r="F326" s="7" t="str">
        <f>IF($A326&lt;&gt;"",MAXIFS(Token!$C:$C,Token!$A:$A,$D326),)</f>
        <v/>
      </c>
    </row>
    <row r="327">
      <c r="A327" s="39" t="str">
        <f>IF(AND($L327*1&gt;=$G$3,$L327*1&lt;=$G$4,$I327*$J327&gt;0,OR($I327&lt;&gt;$I328,$L327-$L328&gt;25),IF(ABS($I327)&gt;10,$I327/POW(10,$J327),$J327/POW(10,$I327))*MAXIFS(Token!$C:$C,Token!$A:$A,$K327)&gt;0.01),$L327/86400+DATE(1970,1,1)+$G$6,)</f>
        <v/>
      </c>
      <c r="B327" s="27" t="str">
        <f t="shared" si="1"/>
        <v/>
      </c>
      <c r="C327" s="14" t="str">
        <f>IF($A327&lt;&gt;"",MINIFS(Merchant!$A:$A,Merchant!$B:$B,$G$2),)</f>
        <v/>
      </c>
      <c r="D327" s="14" t="str">
        <f t="shared" si="2"/>
        <v/>
      </c>
      <c r="E327" s="14" t="str">
        <f t="shared" si="3"/>
        <v/>
      </c>
      <c r="F327" s="7" t="str">
        <f>IF($A327&lt;&gt;"",MAXIFS(Token!$C:$C,Token!$A:$A,$D327),)</f>
        <v/>
      </c>
    </row>
    <row r="328">
      <c r="A328" s="39" t="str">
        <f>IF(AND($L328*1&gt;=$G$3,$L328*1&lt;=$G$4,$I328*$J328&gt;0,OR($I328&lt;&gt;$I329,$L328-$L329&gt;25),IF(ABS($I328)&gt;10,$I328/POW(10,$J328),$J328/POW(10,$I328))*MAXIFS(Token!$C:$C,Token!$A:$A,$K328)&gt;0.01),$L328/86400+DATE(1970,1,1)+$G$6,)</f>
        <v/>
      </c>
      <c r="B328" s="27" t="str">
        <f t="shared" si="1"/>
        <v/>
      </c>
      <c r="C328" s="14" t="str">
        <f>IF($A328&lt;&gt;"",MINIFS(Merchant!$A:$A,Merchant!$B:$B,$G$2),)</f>
        <v/>
      </c>
      <c r="D328" s="14" t="str">
        <f t="shared" si="2"/>
        <v/>
      </c>
      <c r="E328" s="14" t="str">
        <f t="shared" si="3"/>
        <v/>
      </c>
      <c r="F328" s="7" t="str">
        <f>IF($A328&lt;&gt;"",MAXIFS(Token!$C:$C,Token!$A:$A,$D328),)</f>
        <v/>
      </c>
    </row>
    <row r="329">
      <c r="A329" s="39" t="str">
        <f>IF(AND($L329*1&gt;=$G$3,$L329*1&lt;=$G$4,$I329*$J329&gt;0,OR($I329&lt;&gt;$I330,$L329-$L330&gt;25),IF(ABS($I329)&gt;10,$I329/POW(10,$J329),$J329/POW(10,$I329))*MAXIFS(Token!$C:$C,Token!$A:$A,$K329)&gt;0.01),$L329/86400+DATE(1970,1,1)+$G$6,)</f>
        <v/>
      </c>
      <c r="B329" s="27" t="str">
        <f t="shared" si="1"/>
        <v/>
      </c>
      <c r="C329" s="14" t="str">
        <f>IF($A329&lt;&gt;"",MINIFS(Merchant!$A:$A,Merchant!$B:$B,$G$2),)</f>
        <v/>
      </c>
      <c r="D329" s="14" t="str">
        <f t="shared" si="2"/>
        <v/>
      </c>
      <c r="E329" s="14" t="str">
        <f t="shared" si="3"/>
        <v/>
      </c>
      <c r="F329" s="7" t="str">
        <f>IF($A329&lt;&gt;"",MAXIFS(Token!$C:$C,Token!$A:$A,$D329),)</f>
        <v/>
      </c>
    </row>
    <row r="330">
      <c r="A330" s="39" t="str">
        <f>IF(AND($L330*1&gt;=$G$3,$L330*1&lt;=$G$4,$I330*$J330&gt;0,OR($I330&lt;&gt;$I331,$L330-$L331&gt;25),IF(ABS($I330)&gt;10,$I330/POW(10,$J330),$J330/POW(10,$I330))*MAXIFS(Token!$C:$C,Token!$A:$A,$K330)&gt;0.01),$L330/86400+DATE(1970,1,1)+$G$6,)</f>
        <v/>
      </c>
      <c r="B330" s="27" t="str">
        <f t="shared" si="1"/>
        <v/>
      </c>
      <c r="C330" s="14" t="str">
        <f>IF($A330&lt;&gt;"",MINIFS(Merchant!$A:$A,Merchant!$B:$B,$G$2),)</f>
        <v/>
      </c>
      <c r="D330" s="14" t="str">
        <f t="shared" si="2"/>
        <v/>
      </c>
      <c r="E330" s="14" t="str">
        <f t="shared" si="3"/>
        <v/>
      </c>
      <c r="F330" s="7" t="str">
        <f>IF($A330&lt;&gt;"",MAXIFS(Token!$C:$C,Token!$A:$A,$D330),)</f>
        <v/>
      </c>
    </row>
    <row r="331">
      <c r="A331" s="39" t="str">
        <f>IF(AND($L331*1&gt;=$G$3,$L331*1&lt;=$G$4,$I331*$J331&gt;0,OR($I331&lt;&gt;$I332,$L331-$L332&gt;25),IF(ABS($I331)&gt;10,$I331/POW(10,$J331),$J331/POW(10,$I331))*MAXIFS(Token!$C:$C,Token!$A:$A,$K331)&gt;0.01),$L331/86400+DATE(1970,1,1)+$G$6,)</f>
        <v/>
      </c>
      <c r="B331" s="27" t="str">
        <f t="shared" si="1"/>
        <v/>
      </c>
      <c r="C331" s="14" t="str">
        <f>IF($A331&lt;&gt;"",MINIFS(Merchant!$A:$A,Merchant!$B:$B,$G$2),)</f>
        <v/>
      </c>
      <c r="D331" s="14" t="str">
        <f t="shared" si="2"/>
        <v/>
      </c>
      <c r="E331" s="14" t="str">
        <f t="shared" si="3"/>
        <v/>
      </c>
      <c r="F331" s="7" t="str">
        <f>IF($A331&lt;&gt;"",MAXIFS(Token!$C:$C,Token!$A:$A,$D331),)</f>
        <v/>
      </c>
    </row>
    <row r="332">
      <c r="A332" s="39" t="str">
        <f>IF(AND($L332*1&gt;=$G$3,$L332*1&lt;=$G$4,$I332*$J332&gt;0,OR($I332&lt;&gt;$I333,$L332-$L333&gt;25),IF(ABS($I332)&gt;10,$I332/POW(10,$J332),$J332/POW(10,$I332))*MAXIFS(Token!$C:$C,Token!$A:$A,$K332)&gt;0.01),$L332/86400+DATE(1970,1,1)+$G$6,)</f>
        <v/>
      </c>
      <c r="B332" s="27" t="str">
        <f t="shared" si="1"/>
        <v/>
      </c>
      <c r="C332" s="14" t="str">
        <f>IF($A332&lt;&gt;"",MINIFS(Merchant!$A:$A,Merchant!$B:$B,$G$2),)</f>
        <v/>
      </c>
      <c r="D332" s="14" t="str">
        <f t="shared" si="2"/>
        <v/>
      </c>
      <c r="E332" s="14" t="str">
        <f t="shared" si="3"/>
        <v/>
      </c>
      <c r="F332" s="7" t="str">
        <f>IF($A332&lt;&gt;"",MAXIFS(Token!$C:$C,Token!$A:$A,$D332),)</f>
        <v/>
      </c>
    </row>
    <row r="333">
      <c r="A333" s="39" t="str">
        <f>IF(AND($L333*1&gt;=$G$3,$L333*1&lt;=$G$4,$I333*$J333&gt;0,OR($I333&lt;&gt;$I334,$L333-$L334&gt;25),IF(ABS($I333)&gt;10,$I333/POW(10,$J333),$J333/POW(10,$I333))*MAXIFS(Token!$C:$C,Token!$A:$A,$K333)&gt;0.01),$L333/86400+DATE(1970,1,1)+$G$6,)</f>
        <v/>
      </c>
      <c r="B333" s="27" t="str">
        <f t="shared" si="1"/>
        <v/>
      </c>
      <c r="C333" s="14" t="str">
        <f>IF($A333&lt;&gt;"",MINIFS(Merchant!$A:$A,Merchant!$B:$B,$G$2),)</f>
        <v/>
      </c>
      <c r="D333" s="14" t="str">
        <f t="shared" si="2"/>
        <v/>
      </c>
      <c r="E333" s="14" t="str">
        <f t="shared" si="3"/>
        <v/>
      </c>
      <c r="F333" s="7" t="str">
        <f>IF($A333&lt;&gt;"",MAXIFS(Token!$C:$C,Token!$A:$A,$D333),)</f>
        <v/>
      </c>
    </row>
    <row r="334">
      <c r="A334" s="39" t="str">
        <f>IF(AND($L334*1&gt;=$G$3,$L334*1&lt;=$G$4,$I334*$J334&gt;0,OR($I334&lt;&gt;$I335,$L334-$L335&gt;25),IF(ABS($I334)&gt;10,$I334/POW(10,$J334),$J334/POW(10,$I334))*MAXIFS(Token!$C:$C,Token!$A:$A,$K334)&gt;0.01),$L334/86400+DATE(1970,1,1)+$G$6,)</f>
        <v/>
      </c>
      <c r="B334" s="27" t="str">
        <f t="shared" si="1"/>
        <v/>
      </c>
      <c r="C334" s="14" t="str">
        <f>IF($A334&lt;&gt;"",MINIFS(Merchant!$A:$A,Merchant!$B:$B,$G$2),)</f>
        <v/>
      </c>
      <c r="D334" s="14" t="str">
        <f t="shared" si="2"/>
        <v/>
      </c>
      <c r="E334" s="14" t="str">
        <f t="shared" si="3"/>
        <v/>
      </c>
      <c r="F334" s="7" t="str">
        <f>IF($A334&lt;&gt;"",MAXIFS(Token!$C:$C,Token!$A:$A,$D334),)</f>
        <v/>
      </c>
    </row>
    <row r="335">
      <c r="A335" s="39" t="str">
        <f>IF(AND($L335*1&gt;=$G$3,$L335*1&lt;=$G$4,$I335*$J335&gt;0,OR($I335&lt;&gt;$I336,$L335-$L336&gt;25),IF(ABS($I335)&gt;10,$I335/POW(10,$J335),$J335/POW(10,$I335))*MAXIFS(Token!$C:$C,Token!$A:$A,$K335)&gt;0.01),$L335/86400+DATE(1970,1,1)+$G$6,)</f>
        <v/>
      </c>
      <c r="B335" s="27" t="str">
        <f t="shared" si="1"/>
        <v/>
      </c>
      <c r="C335" s="14" t="str">
        <f>IF($A335&lt;&gt;"",MINIFS(Merchant!$A:$A,Merchant!$B:$B,$G$2),)</f>
        <v/>
      </c>
      <c r="D335" s="14" t="str">
        <f t="shared" si="2"/>
        <v/>
      </c>
      <c r="E335" s="14" t="str">
        <f t="shared" si="3"/>
        <v/>
      </c>
      <c r="F335" s="7" t="str">
        <f>IF($A335&lt;&gt;"",MAXIFS(Token!$C:$C,Token!$A:$A,$D335),)</f>
        <v/>
      </c>
    </row>
    <row r="336">
      <c r="A336" s="39" t="str">
        <f>IF(AND($L336*1&gt;=$G$3,$L336*1&lt;=$G$4,$I336*$J336&gt;0,OR($I336&lt;&gt;$I337,$L336-$L337&gt;25),IF(ABS($I336)&gt;10,$I336/POW(10,$J336),$J336/POW(10,$I336))*MAXIFS(Token!$C:$C,Token!$A:$A,$K336)&gt;0.01),$L336/86400+DATE(1970,1,1)+$G$6,)</f>
        <v/>
      </c>
      <c r="B336" s="27" t="str">
        <f t="shared" si="1"/>
        <v/>
      </c>
      <c r="C336" s="14" t="str">
        <f>IF($A336&lt;&gt;"",MINIFS(Merchant!$A:$A,Merchant!$B:$B,$G$2),)</f>
        <v/>
      </c>
      <c r="D336" s="14" t="str">
        <f t="shared" si="2"/>
        <v/>
      </c>
      <c r="E336" s="14" t="str">
        <f t="shared" si="3"/>
        <v/>
      </c>
      <c r="F336" s="7" t="str">
        <f>IF($A336&lt;&gt;"",MAXIFS(Token!$C:$C,Token!$A:$A,$D336),)</f>
        <v/>
      </c>
    </row>
    <row r="337">
      <c r="A337" s="39" t="str">
        <f>IF(AND($L337*1&gt;=$G$3,$L337*1&lt;=$G$4,$I337*$J337&gt;0,OR($I337&lt;&gt;$I338,$L337-$L338&gt;25),IF(ABS($I337)&gt;10,$I337/POW(10,$J337),$J337/POW(10,$I337))*MAXIFS(Token!$C:$C,Token!$A:$A,$K337)&gt;0.01),$L337/86400+DATE(1970,1,1)+$G$6,)</f>
        <v/>
      </c>
      <c r="B337" s="27" t="str">
        <f t="shared" si="1"/>
        <v/>
      </c>
      <c r="C337" s="14" t="str">
        <f>IF($A337&lt;&gt;"",MINIFS(Merchant!$A:$A,Merchant!$B:$B,$G$2),)</f>
        <v/>
      </c>
      <c r="D337" s="14" t="str">
        <f t="shared" si="2"/>
        <v/>
      </c>
      <c r="E337" s="14" t="str">
        <f t="shared" si="3"/>
        <v/>
      </c>
      <c r="F337" s="7" t="str">
        <f>IF($A337&lt;&gt;"",MAXIFS(Token!$C:$C,Token!$A:$A,$D337),)</f>
        <v/>
      </c>
    </row>
    <row r="338">
      <c r="A338" s="39" t="str">
        <f>IF(AND($L338*1&gt;=$G$3,$L338*1&lt;=$G$4,$I338*$J338&gt;0,OR($I338&lt;&gt;$I339,$L338-$L339&gt;25),IF(ABS($I338)&gt;10,$I338/POW(10,$J338),$J338/POW(10,$I338))*MAXIFS(Token!$C:$C,Token!$A:$A,$K338)&gt;0.01),$L338/86400+DATE(1970,1,1)+$G$6,)</f>
        <v/>
      </c>
      <c r="B338" s="27" t="str">
        <f t="shared" si="1"/>
        <v/>
      </c>
      <c r="C338" s="14" t="str">
        <f>IF($A338&lt;&gt;"",MINIFS(Merchant!$A:$A,Merchant!$B:$B,$G$2),)</f>
        <v/>
      </c>
      <c r="D338" s="14" t="str">
        <f t="shared" si="2"/>
        <v/>
      </c>
      <c r="E338" s="14" t="str">
        <f t="shared" si="3"/>
        <v/>
      </c>
      <c r="F338" s="7" t="str">
        <f>IF($A338&lt;&gt;"",MAXIFS(Token!$C:$C,Token!$A:$A,$D338),)</f>
        <v/>
      </c>
    </row>
    <row r="339">
      <c r="A339" s="39" t="str">
        <f>IF(AND($L339*1&gt;=$G$3,$L339*1&lt;=$G$4,$I339*$J339&gt;0,OR($I339&lt;&gt;$I340,$L339-$L340&gt;25),IF(ABS($I339)&gt;10,$I339/POW(10,$J339),$J339/POW(10,$I339))*MAXIFS(Token!$C:$C,Token!$A:$A,$K339)&gt;0.01),$L339/86400+DATE(1970,1,1)+$G$6,)</f>
        <v/>
      </c>
      <c r="B339" s="27" t="str">
        <f t="shared" si="1"/>
        <v/>
      </c>
      <c r="C339" s="14" t="str">
        <f>IF($A339&lt;&gt;"",MINIFS(Merchant!$A:$A,Merchant!$B:$B,$G$2),)</f>
        <v/>
      </c>
      <c r="D339" s="14" t="str">
        <f t="shared" si="2"/>
        <v/>
      </c>
      <c r="E339" s="14" t="str">
        <f t="shared" si="3"/>
        <v/>
      </c>
      <c r="F339" s="7" t="str">
        <f>IF($A339&lt;&gt;"",MAXIFS(Token!$C:$C,Token!$A:$A,$D339),)</f>
        <v/>
      </c>
    </row>
    <row r="340">
      <c r="A340" s="39" t="str">
        <f>IF(AND($L340*1&gt;=$G$3,$L340*1&lt;=$G$4,$I340*$J340&gt;0,OR($I340&lt;&gt;$I341,$L340-$L341&gt;25),IF(ABS($I340)&gt;10,$I340/POW(10,$J340),$J340/POW(10,$I340))*MAXIFS(Token!$C:$C,Token!$A:$A,$K340)&gt;0.01),$L340/86400+DATE(1970,1,1)+$G$6,)</f>
        <v/>
      </c>
      <c r="B340" s="27" t="str">
        <f t="shared" si="1"/>
        <v/>
      </c>
      <c r="C340" s="14" t="str">
        <f>IF($A340&lt;&gt;"",MINIFS(Merchant!$A:$A,Merchant!$B:$B,$G$2),)</f>
        <v/>
      </c>
      <c r="D340" s="14" t="str">
        <f t="shared" si="2"/>
        <v/>
      </c>
      <c r="E340" s="14" t="str">
        <f t="shared" si="3"/>
        <v/>
      </c>
      <c r="F340" s="7" t="str">
        <f>IF($A340&lt;&gt;"",MAXIFS(Token!$C:$C,Token!$A:$A,$D340),)</f>
        <v/>
      </c>
    </row>
    <row r="341">
      <c r="A341" s="39" t="str">
        <f>IF(AND($L341*1&gt;=$G$3,$L341*1&lt;=$G$4,$I341*$J341&gt;0,OR($I341&lt;&gt;$I342,$L341-$L342&gt;25),IF(ABS($I341)&gt;10,$I341/POW(10,$J341),$J341/POW(10,$I341))*MAXIFS(Token!$C:$C,Token!$A:$A,$K341)&gt;0.01),$L341/86400+DATE(1970,1,1)+$G$6,)</f>
        <v/>
      </c>
      <c r="B341" s="27" t="str">
        <f t="shared" si="1"/>
        <v/>
      </c>
      <c r="C341" s="14" t="str">
        <f>IF($A341&lt;&gt;"",MINIFS(Merchant!$A:$A,Merchant!$B:$B,$G$2),)</f>
        <v/>
      </c>
      <c r="D341" s="14" t="str">
        <f t="shared" si="2"/>
        <v/>
      </c>
      <c r="E341" s="14" t="str">
        <f t="shared" si="3"/>
        <v/>
      </c>
      <c r="F341" s="7" t="str">
        <f>IF($A341&lt;&gt;"",MAXIFS(Token!$C:$C,Token!$A:$A,$D341),)</f>
        <v/>
      </c>
    </row>
    <row r="342">
      <c r="A342" s="39" t="str">
        <f>IF(AND($L342*1&gt;=$G$3,$L342*1&lt;=$G$4,$I342*$J342&gt;0,OR($I342&lt;&gt;$I343,$L342-$L343&gt;25),IF(ABS($I342)&gt;10,$I342/POW(10,$J342),$J342/POW(10,$I342))*MAXIFS(Token!$C:$C,Token!$A:$A,$K342)&gt;0.01),$L342/86400+DATE(1970,1,1)+$G$6,)</f>
        <v/>
      </c>
      <c r="B342" s="27" t="str">
        <f t="shared" si="1"/>
        <v/>
      </c>
      <c r="C342" s="14" t="str">
        <f>IF($A342&lt;&gt;"",MINIFS(Merchant!$A:$A,Merchant!$B:$B,$G$2),)</f>
        <v/>
      </c>
      <c r="D342" s="14" t="str">
        <f t="shared" si="2"/>
        <v/>
      </c>
      <c r="E342" s="14" t="str">
        <f t="shared" si="3"/>
        <v/>
      </c>
      <c r="F342" s="7" t="str">
        <f>IF($A342&lt;&gt;"",MAXIFS(Token!$C:$C,Token!$A:$A,$D342),)</f>
        <v/>
      </c>
    </row>
    <row r="343">
      <c r="A343" s="39" t="str">
        <f>IF(AND($L343*1&gt;=$G$3,$L343*1&lt;=$G$4,$I343*$J343&gt;0,OR($I343&lt;&gt;$I344,$L343-$L344&gt;25),IF(ABS($I343)&gt;10,$I343/POW(10,$J343),$J343/POW(10,$I343))*MAXIFS(Token!$C:$C,Token!$A:$A,$K343)&gt;0.01),$L343/86400+DATE(1970,1,1)+$G$6,)</f>
        <v/>
      </c>
      <c r="B343" s="27" t="str">
        <f t="shared" si="1"/>
        <v/>
      </c>
      <c r="C343" s="14" t="str">
        <f>IF($A343&lt;&gt;"",MINIFS(Merchant!$A:$A,Merchant!$B:$B,$G$2),)</f>
        <v/>
      </c>
      <c r="D343" s="14" t="str">
        <f t="shared" si="2"/>
        <v/>
      </c>
      <c r="E343" s="14" t="str">
        <f t="shared" si="3"/>
        <v/>
      </c>
      <c r="F343" s="7" t="str">
        <f>IF($A343&lt;&gt;"",MAXIFS(Token!$C:$C,Token!$A:$A,$D343),)</f>
        <v/>
      </c>
    </row>
    <row r="344">
      <c r="A344" s="39" t="str">
        <f>IF(AND($L344*1&gt;=$G$3,$L344*1&lt;=$G$4,$I344*$J344&gt;0,OR($I344&lt;&gt;$I345,$L344-$L345&gt;25),IF(ABS($I344)&gt;10,$I344/POW(10,$J344),$J344/POW(10,$I344))*MAXIFS(Token!$C:$C,Token!$A:$A,$K344)&gt;0.01),$L344/86400+DATE(1970,1,1)+$G$6,)</f>
        <v/>
      </c>
      <c r="B344" s="27" t="str">
        <f t="shared" si="1"/>
        <v/>
      </c>
      <c r="C344" s="14" t="str">
        <f>IF($A344&lt;&gt;"",MINIFS(Merchant!$A:$A,Merchant!$B:$B,$G$2),)</f>
        <v/>
      </c>
      <c r="D344" s="14" t="str">
        <f t="shared" si="2"/>
        <v/>
      </c>
      <c r="E344" s="14" t="str">
        <f t="shared" si="3"/>
        <v/>
      </c>
      <c r="F344" s="7" t="str">
        <f>IF($A344&lt;&gt;"",MAXIFS(Token!$C:$C,Token!$A:$A,$D344),)</f>
        <v/>
      </c>
    </row>
    <row r="345">
      <c r="A345" s="39" t="str">
        <f>IF(AND($L345*1&gt;=$G$3,$L345*1&lt;=$G$4,$I345*$J345&gt;0,OR($I345&lt;&gt;$I346,$L345-$L346&gt;25),IF(ABS($I345)&gt;10,$I345/POW(10,$J345),$J345/POW(10,$I345))*MAXIFS(Token!$C:$C,Token!$A:$A,$K345)&gt;0.01),$L345/86400+DATE(1970,1,1)+$G$6,)</f>
        <v/>
      </c>
      <c r="B345" s="27" t="str">
        <f t="shared" si="1"/>
        <v/>
      </c>
      <c r="C345" s="14" t="str">
        <f>IF($A345&lt;&gt;"",MINIFS(Merchant!$A:$A,Merchant!$B:$B,$G$2),)</f>
        <v/>
      </c>
      <c r="D345" s="14" t="str">
        <f t="shared" si="2"/>
        <v/>
      </c>
      <c r="E345" s="14" t="str">
        <f t="shared" si="3"/>
        <v/>
      </c>
      <c r="F345" s="7" t="str">
        <f>IF($A345&lt;&gt;"",MAXIFS(Token!$C:$C,Token!$A:$A,$D345),)</f>
        <v/>
      </c>
    </row>
    <row r="346">
      <c r="A346" s="39" t="str">
        <f>IF(AND($L346*1&gt;=$G$3,$L346*1&lt;=$G$4,$I346*$J346&gt;0,OR($I346&lt;&gt;$I347,$L346-$L347&gt;25),IF(ABS($I346)&gt;10,$I346/POW(10,$J346),$J346/POW(10,$I346))*MAXIFS(Token!$C:$C,Token!$A:$A,$K346)&gt;0.01),$L346/86400+DATE(1970,1,1)+$G$6,)</f>
        <v/>
      </c>
      <c r="B346" s="27" t="str">
        <f t="shared" si="1"/>
        <v/>
      </c>
      <c r="C346" s="14" t="str">
        <f>IF($A346&lt;&gt;"",MINIFS(Merchant!$A:$A,Merchant!$B:$B,$G$2),)</f>
        <v/>
      </c>
      <c r="D346" s="14" t="str">
        <f t="shared" si="2"/>
        <v/>
      </c>
      <c r="E346" s="14" t="str">
        <f t="shared" si="3"/>
        <v/>
      </c>
      <c r="F346" s="7" t="str">
        <f>IF($A346&lt;&gt;"",MAXIFS(Token!$C:$C,Token!$A:$A,$D346),)</f>
        <v/>
      </c>
    </row>
    <row r="347">
      <c r="A347" s="39" t="str">
        <f>IF(AND($L347*1&gt;=$G$3,$L347*1&lt;=$G$4,$I347*$J347&gt;0,OR($I347&lt;&gt;$I348,$L347-$L348&gt;25),IF(ABS($I347)&gt;10,$I347/POW(10,$J347),$J347/POW(10,$I347))*MAXIFS(Token!$C:$C,Token!$A:$A,$K347)&gt;0.01),$L347/86400+DATE(1970,1,1)+$G$6,)</f>
        <v/>
      </c>
      <c r="B347" s="27" t="str">
        <f t="shared" si="1"/>
        <v/>
      </c>
      <c r="C347" s="14" t="str">
        <f>IF($A347&lt;&gt;"",MINIFS(Merchant!$A:$A,Merchant!$B:$B,$G$2),)</f>
        <v/>
      </c>
      <c r="D347" s="14" t="str">
        <f t="shared" si="2"/>
        <v/>
      </c>
      <c r="E347" s="14" t="str">
        <f t="shared" si="3"/>
        <v/>
      </c>
      <c r="F347" s="7" t="str">
        <f>IF($A347&lt;&gt;"",MAXIFS(Token!$C:$C,Token!$A:$A,$D347),)</f>
        <v/>
      </c>
    </row>
    <row r="348">
      <c r="A348" s="39" t="str">
        <f>IF(AND($L348*1&gt;=$G$3,$L348*1&lt;=$G$4,$I348*$J348&gt;0,OR($I348&lt;&gt;$I349,$L348-$L349&gt;25),IF(ABS($I348)&gt;10,$I348/POW(10,$J348),$J348/POW(10,$I348))*MAXIFS(Token!$C:$C,Token!$A:$A,$K348)&gt;0.01),$L348/86400+DATE(1970,1,1)+$G$6,)</f>
        <v/>
      </c>
      <c r="B348" s="27" t="str">
        <f t="shared" si="1"/>
        <v/>
      </c>
      <c r="C348" s="14" t="str">
        <f>IF($A348&lt;&gt;"",MINIFS(Merchant!$A:$A,Merchant!$B:$B,$G$2),)</f>
        <v/>
      </c>
      <c r="D348" s="14" t="str">
        <f t="shared" si="2"/>
        <v/>
      </c>
      <c r="E348" s="14" t="str">
        <f t="shared" si="3"/>
        <v/>
      </c>
      <c r="F348" s="7" t="str">
        <f>IF($A348&lt;&gt;"",MAXIFS(Token!$C:$C,Token!$A:$A,$D348),)</f>
        <v/>
      </c>
    </row>
    <row r="349">
      <c r="A349" s="39" t="str">
        <f>IF(AND($L349*1&gt;=$G$3,$L349*1&lt;=$G$4,$I349*$J349&gt;0,OR($I349&lt;&gt;$I350,$L349-$L350&gt;25),IF(ABS($I349)&gt;10,$I349/POW(10,$J349),$J349/POW(10,$I349))*MAXIFS(Token!$C:$C,Token!$A:$A,$K349)&gt;0.01),$L349/86400+DATE(1970,1,1)+$G$6,)</f>
        <v/>
      </c>
      <c r="B349" s="27" t="str">
        <f t="shared" si="1"/>
        <v/>
      </c>
      <c r="C349" s="14" t="str">
        <f>IF($A349&lt;&gt;"",MINIFS(Merchant!$A:$A,Merchant!$B:$B,$G$2),)</f>
        <v/>
      </c>
      <c r="D349" s="14" t="str">
        <f t="shared" si="2"/>
        <v/>
      </c>
      <c r="E349" s="14" t="str">
        <f t="shared" si="3"/>
        <v/>
      </c>
      <c r="F349" s="7" t="str">
        <f>IF($A349&lt;&gt;"",MAXIFS(Token!$C:$C,Token!$A:$A,$D349),)</f>
        <v/>
      </c>
    </row>
    <row r="350">
      <c r="A350" s="39" t="str">
        <f>IF(AND($L350*1&gt;=$G$3,$L350*1&lt;=$G$4,$I350*$J350&gt;0,OR($I350&lt;&gt;$I351,$L350-$L351&gt;25),IF(ABS($I350)&gt;10,$I350/POW(10,$J350),$J350/POW(10,$I350))*MAXIFS(Token!$C:$C,Token!$A:$A,$K350)&gt;0.01),$L350/86400+DATE(1970,1,1)+$G$6,)</f>
        <v/>
      </c>
      <c r="B350" s="27" t="str">
        <f t="shared" si="1"/>
        <v/>
      </c>
      <c r="C350" s="14" t="str">
        <f>IF($A350&lt;&gt;"",MINIFS(Merchant!$A:$A,Merchant!$B:$B,$G$2),)</f>
        <v/>
      </c>
      <c r="D350" s="14" t="str">
        <f t="shared" si="2"/>
        <v/>
      </c>
      <c r="E350" s="14" t="str">
        <f t="shared" si="3"/>
        <v/>
      </c>
      <c r="F350" s="7" t="str">
        <f>IF($A350&lt;&gt;"",MAXIFS(Token!$C:$C,Token!$A:$A,$D350),)</f>
        <v/>
      </c>
    </row>
    <row r="351">
      <c r="A351" s="39" t="str">
        <f>IF(AND($L351*1&gt;=$G$3,$L351*1&lt;=$G$4,$I351*$J351&gt;0,OR($I351&lt;&gt;$I352,$L351-$L352&gt;25),IF(ABS($I351)&gt;10,$I351/POW(10,$J351),$J351/POW(10,$I351))*MAXIFS(Token!$C:$C,Token!$A:$A,$K351)&gt;0.01),$L351/86400+DATE(1970,1,1)+$G$6,)</f>
        <v/>
      </c>
      <c r="B351" s="27" t="str">
        <f t="shared" si="1"/>
        <v/>
      </c>
      <c r="C351" s="14" t="str">
        <f>IF($A351&lt;&gt;"",MINIFS(Merchant!$A:$A,Merchant!$B:$B,$G$2),)</f>
        <v/>
      </c>
      <c r="D351" s="14" t="str">
        <f t="shared" si="2"/>
        <v/>
      </c>
      <c r="E351" s="14" t="str">
        <f t="shared" si="3"/>
        <v/>
      </c>
      <c r="F351" s="7" t="str">
        <f>IF($A351&lt;&gt;"",MAXIFS(Token!$C:$C,Token!$A:$A,$D351),)</f>
        <v/>
      </c>
    </row>
    <row r="352">
      <c r="A352" s="39" t="str">
        <f>IF(AND($L352*1&gt;=$G$3,$L352*1&lt;=$G$4,$I352*$J352&gt;0,OR($I352&lt;&gt;$I353,$L352-$L353&gt;25),IF(ABS($I352)&gt;10,$I352/POW(10,$J352),$J352/POW(10,$I352))*MAXIFS(Token!$C:$C,Token!$A:$A,$K352)&gt;0.01),$L352/86400+DATE(1970,1,1)+$G$6,)</f>
        <v/>
      </c>
      <c r="B352" s="27" t="str">
        <f t="shared" si="1"/>
        <v/>
      </c>
      <c r="C352" s="14" t="str">
        <f>IF($A352&lt;&gt;"",MINIFS(Merchant!$A:$A,Merchant!$B:$B,$G$2),)</f>
        <v/>
      </c>
      <c r="D352" s="14" t="str">
        <f t="shared" si="2"/>
        <v/>
      </c>
      <c r="E352" s="14" t="str">
        <f t="shared" si="3"/>
        <v/>
      </c>
      <c r="F352" s="7" t="str">
        <f>IF($A352&lt;&gt;"",MAXIFS(Token!$C:$C,Token!$A:$A,$D352),)</f>
        <v/>
      </c>
    </row>
    <row r="353">
      <c r="A353" s="39" t="str">
        <f>IF(AND($L353*1&gt;=$G$3,$L353*1&lt;=$G$4,$I353*$J353&gt;0,OR($I353&lt;&gt;$I354,$L353-$L354&gt;25),IF(ABS($I353)&gt;10,$I353/POW(10,$J353),$J353/POW(10,$I353))*MAXIFS(Token!$C:$C,Token!$A:$A,$K353)&gt;0.01),$L353/86400+DATE(1970,1,1)+$G$6,)</f>
        <v/>
      </c>
      <c r="B353" s="27" t="str">
        <f t="shared" si="1"/>
        <v/>
      </c>
      <c r="C353" s="14" t="str">
        <f>IF($A353&lt;&gt;"",MINIFS(Merchant!$A:$A,Merchant!$B:$B,$G$2),)</f>
        <v/>
      </c>
      <c r="D353" s="14" t="str">
        <f t="shared" si="2"/>
        <v/>
      </c>
      <c r="E353" s="14" t="str">
        <f t="shared" si="3"/>
        <v/>
      </c>
      <c r="F353" s="7" t="str">
        <f>IF($A353&lt;&gt;"",MAXIFS(Token!$C:$C,Token!$A:$A,$D353),)</f>
        <v/>
      </c>
    </row>
    <row r="354">
      <c r="A354" s="39" t="str">
        <f>IF(AND($L354*1&gt;=$G$3,$L354*1&lt;=$G$4,$I354*$J354&gt;0,OR($I354&lt;&gt;$I355,$L354-$L355&gt;25),IF(ABS($I354)&gt;10,$I354/POW(10,$J354),$J354/POW(10,$I354))*MAXIFS(Token!$C:$C,Token!$A:$A,$K354)&gt;0.01),$L354/86400+DATE(1970,1,1)+$G$6,)</f>
        <v/>
      </c>
      <c r="B354" s="27" t="str">
        <f t="shared" si="1"/>
        <v/>
      </c>
      <c r="C354" s="14" t="str">
        <f>IF($A354&lt;&gt;"",MINIFS(Merchant!$A:$A,Merchant!$B:$B,$G$2),)</f>
        <v/>
      </c>
      <c r="D354" s="14" t="str">
        <f t="shared" si="2"/>
        <v/>
      </c>
      <c r="E354" s="14" t="str">
        <f t="shared" si="3"/>
        <v/>
      </c>
      <c r="F354" s="7" t="str">
        <f>IF($A354&lt;&gt;"",MAXIFS(Token!$C:$C,Token!$A:$A,$D354),)</f>
        <v/>
      </c>
    </row>
    <row r="355">
      <c r="A355" s="39" t="str">
        <f>IF(AND($L355*1&gt;=$G$3,$L355*1&lt;=$G$4,$I355*$J355&gt;0,OR($I355&lt;&gt;$I356,$L355-$L356&gt;25),IF(ABS($I355)&gt;10,$I355/POW(10,$J355),$J355/POW(10,$I355))*MAXIFS(Token!$C:$C,Token!$A:$A,$K355)&gt;0.01),$L355/86400+DATE(1970,1,1)+$G$6,)</f>
        <v/>
      </c>
      <c r="B355" s="27" t="str">
        <f t="shared" si="1"/>
        <v/>
      </c>
      <c r="C355" s="14" t="str">
        <f>IF($A355&lt;&gt;"",MINIFS(Merchant!$A:$A,Merchant!$B:$B,$G$2),)</f>
        <v/>
      </c>
      <c r="D355" s="14" t="str">
        <f t="shared" si="2"/>
        <v/>
      </c>
      <c r="E355" s="14" t="str">
        <f t="shared" si="3"/>
        <v/>
      </c>
      <c r="F355" s="7" t="str">
        <f>IF($A355&lt;&gt;"",MAXIFS(Token!$C:$C,Token!$A:$A,$D355),)</f>
        <v/>
      </c>
    </row>
    <row r="356">
      <c r="A356" s="39" t="str">
        <f>IF(AND($L356*1&gt;=$G$3,$L356*1&lt;=$G$4,$I356*$J356&gt;0,OR($I356&lt;&gt;$I357,$L356-$L357&gt;25),IF(ABS($I356)&gt;10,$I356/POW(10,$J356),$J356/POW(10,$I356))*MAXIFS(Token!$C:$C,Token!$A:$A,$K356)&gt;0.01),$L356/86400+DATE(1970,1,1)+$G$6,)</f>
        <v/>
      </c>
      <c r="B356" s="27" t="str">
        <f t="shared" si="1"/>
        <v/>
      </c>
      <c r="C356" s="14" t="str">
        <f>IF($A356&lt;&gt;"",MINIFS(Merchant!$A:$A,Merchant!$B:$B,$G$2),)</f>
        <v/>
      </c>
      <c r="D356" s="14" t="str">
        <f t="shared" si="2"/>
        <v/>
      </c>
      <c r="E356" s="14" t="str">
        <f t="shared" si="3"/>
        <v/>
      </c>
      <c r="F356" s="7" t="str">
        <f>IF($A356&lt;&gt;"",MAXIFS(Token!$C:$C,Token!$A:$A,$D356),)</f>
        <v/>
      </c>
    </row>
    <row r="357">
      <c r="A357" s="39" t="str">
        <f>IF(AND($L357*1&gt;=$G$3,$L357*1&lt;=$G$4,$I357*$J357&gt;0,OR($I357&lt;&gt;$I358,$L357-$L358&gt;25),IF(ABS($I357)&gt;10,$I357/POW(10,$J357),$J357/POW(10,$I357))*MAXIFS(Token!$C:$C,Token!$A:$A,$K357)&gt;0.01),$L357/86400+DATE(1970,1,1)+$G$6,)</f>
        <v/>
      </c>
      <c r="B357" s="27" t="str">
        <f t="shared" si="1"/>
        <v/>
      </c>
      <c r="C357" s="14" t="str">
        <f>IF($A357&lt;&gt;"",MINIFS(Merchant!$A:$A,Merchant!$B:$B,$G$2),)</f>
        <v/>
      </c>
      <c r="D357" s="14" t="str">
        <f t="shared" si="2"/>
        <v/>
      </c>
      <c r="E357" s="14" t="str">
        <f t="shared" si="3"/>
        <v/>
      </c>
      <c r="F357" s="7" t="str">
        <f>IF($A357&lt;&gt;"",MAXIFS(Token!$C:$C,Token!$A:$A,$D357),)</f>
        <v/>
      </c>
    </row>
    <row r="358">
      <c r="A358" s="39" t="str">
        <f>IF(AND($L358*1&gt;=$G$3,$L358*1&lt;=$G$4,$I358*$J358&gt;0,OR($I358&lt;&gt;$I359,$L358-$L359&gt;25),IF(ABS($I358)&gt;10,$I358/POW(10,$J358),$J358/POW(10,$I358))*MAXIFS(Token!$C:$C,Token!$A:$A,$K358)&gt;0.01),$L358/86400+DATE(1970,1,1)+$G$6,)</f>
        <v/>
      </c>
      <c r="B358" s="27" t="str">
        <f t="shared" si="1"/>
        <v/>
      </c>
      <c r="C358" s="14" t="str">
        <f>IF($A358&lt;&gt;"",MINIFS(Merchant!$A:$A,Merchant!$B:$B,$G$2),)</f>
        <v/>
      </c>
      <c r="D358" s="14" t="str">
        <f t="shared" si="2"/>
        <v/>
      </c>
      <c r="E358" s="14" t="str">
        <f t="shared" si="3"/>
        <v/>
      </c>
      <c r="F358" s="7" t="str">
        <f>IF($A358&lt;&gt;"",MAXIFS(Token!$C:$C,Token!$A:$A,$D358),)</f>
        <v/>
      </c>
    </row>
    <row r="359">
      <c r="A359" s="39" t="str">
        <f>IF(AND($L359*1&gt;=$G$3,$L359*1&lt;=$G$4,$I359*$J359&gt;0,OR($I359&lt;&gt;$I360,$L359-$L360&gt;25),IF(ABS($I359)&gt;10,$I359/POW(10,$J359),$J359/POW(10,$I359))*MAXIFS(Token!$C:$C,Token!$A:$A,$K359)&gt;0.01),$L359/86400+DATE(1970,1,1)+$G$6,)</f>
        <v/>
      </c>
      <c r="B359" s="27" t="str">
        <f t="shared" si="1"/>
        <v/>
      </c>
      <c r="C359" s="14" t="str">
        <f>IF($A359&lt;&gt;"",MINIFS(Merchant!$A:$A,Merchant!$B:$B,$G$2),)</f>
        <v/>
      </c>
      <c r="D359" s="14" t="str">
        <f t="shared" si="2"/>
        <v/>
      </c>
      <c r="E359" s="14" t="str">
        <f t="shared" si="3"/>
        <v/>
      </c>
      <c r="F359" s="7" t="str">
        <f>IF($A359&lt;&gt;"",MAXIFS(Token!$C:$C,Token!$A:$A,$D359),)</f>
        <v/>
      </c>
    </row>
    <row r="360">
      <c r="A360" s="39" t="str">
        <f>IF(AND($L360*1&gt;=$G$3,$L360*1&lt;=$G$4,$I360*$J360&gt;0,OR($I360&lt;&gt;$I361,$L360-$L361&gt;25),IF(ABS($I360)&gt;10,$I360/POW(10,$J360),$J360/POW(10,$I360))*MAXIFS(Token!$C:$C,Token!$A:$A,$K360)&gt;0.01),$L360/86400+DATE(1970,1,1)+$G$6,)</f>
        <v/>
      </c>
      <c r="B360" s="27" t="str">
        <f t="shared" si="1"/>
        <v/>
      </c>
      <c r="C360" s="14" t="str">
        <f>IF($A360&lt;&gt;"",MINIFS(Merchant!$A:$A,Merchant!$B:$B,$G$2),)</f>
        <v/>
      </c>
      <c r="D360" s="14" t="str">
        <f t="shared" si="2"/>
        <v/>
      </c>
      <c r="E360" s="14" t="str">
        <f t="shared" si="3"/>
        <v/>
      </c>
      <c r="F360" s="7" t="str">
        <f>IF($A360&lt;&gt;"",MAXIFS(Token!$C:$C,Token!$A:$A,$D360),)</f>
        <v/>
      </c>
    </row>
    <row r="361">
      <c r="A361" s="39" t="str">
        <f>IF(AND($L361*1&gt;=$G$3,$L361*1&lt;=$G$4,$I361*$J361&gt;0,OR($I361&lt;&gt;$I362,$L361-$L362&gt;25),IF(ABS($I361)&gt;10,$I361/POW(10,$J361),$J361/POW(10,$I361))*MAXIFS(Token!$C:$C,Token!$A:$A,$K361)&gt;0.01),$L361/86400+DATE(1970,1,1)+$G$6,)</f>
        <v/>
      </c>
      <c r="B361" s="27" t="str">
        <f t="shared" si="1"/>
        <v/>
      </c>
      <c r="C361" s="14" t="str">
        <f>IF($A361&lt;&gt;"",MINIFS(Merchant!$A:$A,Merchant!$B:$B,$G$2),)</f>
        <v/>
      </c>
      <c r="D361" s="14" t="str">
        <f t="shared" si="2"/>
        <v/>
      </c>
      <c r="E361" s="14" t="str">
        <f t="shared" si="3"/>
        <v/>
      </c>
      <c r="F361" s="7" t="str">
        <f>IF($A361&lt;&gt;"",MAXIFS(Token!$C:$C,Token!$A:$A,$D361),)</f>
        <v/>
      </c>
    </row>
    <row r="362">
      <c r="A362" s="39" t="str">
        <f>IF(AND($L362*1&gt;=$G$3,$L362*1&lt;=$G$4,$I362*$J362&gt;0,OR($I362&lt;&gt;$I363,$L362-$L363&gt;25),IF(ABS($I362)&gt;10,$I362/POW(10,$J362),$J362/POW(10,$I362))*MAXIFS(Token!$C:$C,Token!$A:$A,$K362)&gt;0.01),$L362/86400+DATE(1970,1,1)+$G$6,)</f>
        <v/>
      </c>
      <c r="B362" s="27" t="str">
        <f t="shared" si="1"/>
        <v/>
      </c>
      <c r="C362" s="14" t="str">
        <f>IF($A362&lt;&gt;"",MINIFS(Merchant!$A:$A,Merchant!$B:$B,$G$2),)</f>
        <v/>
      </c>
      <c r="D362" s="14" t="str">
        <f t="shared" si="2"/>
        <v/>
      </c>
      <c r="E362" s="14" t="str">
        <f t="shared" si="3"/>
        <v/>
      </c>
      <c r="F362" s="7" t="str">
        <f>IF($A362&lt;&gt;"",MAXIFS(Token!$C:$C,Token!$A:$A,$D362),)</f>
        <v/>
      </c>
    </row>
    <row r="363">
      <c r="A363" s="39" t="str">
        <f>IF(AND($L363*1&gt;=$G$3,$L363*1&lt;=$G$4,$I363*$J363&gt;0,OR($I363&lt;&gt;$I364,$L363-$L364&gt;25),IF(ABS($I363)&gt;10,$I363/POW(10,$J363),$J363/POW(10,$I363))*MAXIFS(Token!$C:$C,Token!$A:$A,$K363)&gt;0.01),$L363/86400+DATE(1970,1,1)+$G$6,)</f>
        <v/>
      </c>
      <c r="B363" s="27" t="str">
        <f t="shared" si="1"/>
        <v/>
      </c>
      <c r="C363" s="14" t="str">
        <f>IF($A363&lt;&gt;"",MINIFS(Merchant!$A:$A,Merchant!$B:$B,$G$2),)</f>
        <v/>
      </c>
      <c r="D363" s="14" t="str">
        <f t="shared" si="2"/>
        <v/>
      </c>
      <c r="E363" s="14" t="str">
        <f t="shared" si="3"/>
        <v/>
      </c>
      <c r="F363" s="7" t="str">
        <f>IF($A363&lt;&gt;"",MAXIFS(Token!$C:$C,Token!$A:$A,$D363),)</f>
        <v/>
      </c>
    </row>
    <row r="364">
      <c r="A364" s="39" t="str">
        <f>IF(AND($L364*1&gt;=$G$3,$L364*1&lt;=$G$4,$I364*$J364&gt;0,OR($I364&lt;&gt;$I365,$L364-$L365&gt;25),IF(ABS($I364)&gt;10,$I364/POW(10,$J364),$J364/POW(10,$I364))*MAXIFS(Token!$C:$C,Token!$A:$A,$K364)&gt;0.01),$L364/86400+DATE(1970,1,1)+$G$6,)</f>
        <v/>
      </c>
      <c r="B364" s="27" t="str">
        <f t="shared" si="1"/>
        <v/>
      </c>
      <c r="C364" s="14" t="str">
        <f>IF($A364&lt;&gt;"",MINIFS(Merchant!$A:$A,Merchant!$B:$B,$G$2),)</f>
        <v/>
      </c>
      <c r="D364" s="14" t="str">
        <f t="shared" si="2"/>
        <v/>
      </c>
      <c r="E364" s="14" t="str">
        <f t="shared" si="3"/>
        <v/>
      </c>
      <c r="F364" s="7" t="str">
        <f>IF($A364&lt;&gt;"",MAXIFS(Token!$C:$C,Token!$A:$A,$D364),)</f>
        <v/>
      </c>
    </row>
    <row r="365">
      <c r="A365" s="39" t="str">
        <f>IF(AND($L365*1&gt;=$G$3,$L365*1&lt;=$G$4,$I365*$J365&gt;0,OR($I365&lt;&gt;$I366,$L365-$L366&gt;25),IF(ABS($I365)&gt;10,$I365/POW(10,$J365),$J365/POW(10,$I365))*MAXIFS(Token!$C:$C,Token!$A:$A,$K365)&gt;0.01),$L365/86400+DATE(1970,1,1)+$G$6,)</f>
        <v/>
      </c>
      <c r="B365" s="27" t="str">
        <f t="shared" si="1"/>
        <v/>
      </c>
      <c r="C365" s="14" t="str">
        <f>IF($A365&lt;&gt;"",MINIFS(Merchant!$A:$A,Merchant!$B:$B,$G$2),)</f>
        <v/>
      </c>
      <c r="D365" s="14" t="str">
        <f t="shared" si="2"/>
        <v/>
      </c>
      <c r="E365" s="14" t="str">
        <f t="shared" si="3"/>
        <v/>
      </c>
      <c r="F365" s="7" t="str">
        <f>IF($A365&lt;&gt;"",MAXIFS(Token!$C:$C,Token!$A:$A,$D365),)</f>
        <v/>
      </c>
    </row>
    <row r="366">
      <c r="A366" s="39" t="str">
        <f>IF(AND($L366*1&gt;=$G$3,$L366*1&lt;=$G$4,$I366*$J366&gt;0,OR($I366&lt;&gt;$I367,$L366-$L367&gt;25),IF(ABS($I366)&gt;10,$I366/POW(10,$J366),$J366/POW(10,$I366))*MAXIFS(Token!$C:$C,Token!$A:$A,$K366)&gt;0.01),$L366/86400+DATE(1970,1,1)+$G$6,)</f>
        <v/>
      </c>
      <c r="B366" s="27" t="str">
        <f t="shared" si="1"/>
        <v/>
      </c>
      <c r="C366" s="14" t="str">
        <f>IF($A366&lt;&gt;"",MINIFS(Merchant!$A:$A,Merchant!$B:$B,$G$2),)</f>
        <v/>
      </c>
      <c r="D366" s="14" t="str">
        <f t="shared" si="2"/>
        <v/>
      </c>
      <c r="E366" s="14" t="str">
        <f t="shared" si="3"/>
        <v/>
      </c>
      <c r="F366" s="7" t="str">
        <f>IF($A366&lt;&gt;"",MAXIFS(Token!$C:$C,Token!$A:$A,$D366),)</f>
        <v/>
      </c>
    </row>
    <row r="367">
      <c r="A367" s="39" t="str">
        <f>IF(AND($L367*1&gt;=$G$3,$L367*1&lt;=$G$4,$I367*$J367&gt;0,OR($I367&lt;&gt;$I368,$L367-$L368&gt;25),IF(ABS($I367)&gt;10,$I367/POW(10,$J367),$J367/POW(10,$I367))*MAXIFS(Token!$C:$C,Token!$A:$A,$K367)&gt;0.01),$L367/86400+DATE(1970,1,1)+$G$6,)</f>
        <v/>
      </c>
      <c r="B367" s="27" t="str">
        <f t="shared" si="1"/>
        <v/>
      </c>
      <c r="C367" s="14" t="str">
        <f>IF($A367&lt;&gt;"",MINIFS(Merchant!$A:$A,Merchant!$B:$B,$G$2),)</f>
        <v/>
      </c>
      <c r="D367" s="14" t="str">
        <f t="shared" si="2"/>
        <v/>
      </c>
      <c r="E367" s="14" t="str">
        <f t="shared" si="3"/>
        <v/>
      </c>
      <c r="F367" s="7" t="str">
        <f>IF($A367&lt;&gt;"",MAXIFS(Token!$C:$C,Token!$A:$A,$D367),)</f>
        <v/>
      </c>
    </row>
    <row r="368">
      <c r="A368" s="39" t="str">
        <f>IF(AND($L368*1&gt;=$G$3,$L368*1&lt;=$G$4,$I368*$J368&gt;0,OR($I368&lt;&gt;$I369,$L368-$L369&gt;25),IF(ABS($I368)&gt;10,$I368/POW(10,$J368),$J368/POW(10,$I368))*MAXIFS(Token!$C:$C,Token!$A:$A,$K368)&gt;0.01),$L368/86400+DATE(1970,1,1)+$G$6,)</f>
        <v/>
      </c>
      <c r="B368" s="27" t="str">
        <f t="shared" si="1"/>
        <v/>
      </c>
      <c r="C368" s="14" t="str">
        <f>IF($A368&lt;&gt;"",MINIFS(Merchant!$A:$A,Merchant!$B:$B,$G$2),)</f>
        <v/>
      </c>
      <c r="D368" s="14" t="str">
        <f t="shared" si="2"/>
        <v/>
      </c>
      <c r="E368" s="14" t="str">
        <f t="shared" si="3"/>
        <v/>
      </c>
      <c r="F368" s="7" t="str">
        <f>IF($A368&lt;&gt;"",MAXIFS(Token!$C:$C,Token!$A:$A,$D368),)</f>
        <v/>
      </c>
    </row>
    <row r="369">
      <c r="A369" s="39" t="str">
        <f>IF(AND($L369*1&gt;=$G$3,$L369*1&lt;=$G$4,$I369*$J369&gt;0,OR($I369&lt;&gt;$I370,$L369-$L370&gt;25),IF(ABS($I369)&gt;10,$I369/POW(10,$J369),$J369/POW(10,$I369))*MAXIFS(Token!$C:$C,Token!$A:$A,$K369)&gt;0.01),$L369/86400+DATE(1970,1,1)+$G$6,)</f>
        <v/>
      </c>
      <c r="B369" s="27" t="str">
        <f t="shared" si="1"/>
        <v/>
      </c>
      <c r="C369" s="14" t="str">
        <f>IF($A369&lt;&gt;"",MINIFS(Merchant!$A:$A,Merchant!$B:$B,$G$2),)</f>
        <v/>
      </c>
      <c r="D369" s="14" t="str">
        <f t="shared" si="2"/>
        <v/>
      </c>
      <c r="E369" s="14" t="str">
        <f t="shared" si="3"/>
        <v/>
      </c>
      <c r="F369" s="7" t="str">
        <f>IF($A369&lt;&gt;"",MAXIFS(Token!$C:$C,Token!$A:$A,$D369),)</f>
        <v/>
      </c>
    </row>
    <row r="370">
      <c r="A370" s="39" t="str">
        <f>IF(AND($L370*1&gt;=$G$3,$L370*1&lt;=$G$4,$I370*$J370&gt;0,OR($I370&lt;&gt;$I371,$L370-$L371&gt;25),IF(ABS($I370)&gt;10,$I370/POW(10,$J370),$J370/POW(10,$I370))*MAXIFS(Token!$C:$C,Token!$A:$A,$K370)&gt;0.01),$L370/86400+DATE(1970,1,1)+$G$6,)</f>
        <v/>
      </c>
      <c r="B370" s="27" t="str">
        <f t="shared" si="1"/>
        <v/>
      </c>
      <c r="C370" s="14" t="str">
        <f>IF($A370&lt;&gt;"",MINIFS(Merchant!$A:$A,Merchant!$B:$B,$G$2),)</f>
        <v/>
      </c>
      <c r="D370" s="14" t="str">
        <f t="shared" si="2"/>
        <v/>
      </c>
      <c r="E370" s="14" t="str">
        <f t="shared" si="3"/>
        <v/>
      </c>
      <c r="F370" s="7" t="str">
        <f>IF($A370&lt;&gt;"",MAXIFS(Token!$C:$C,Token!$A:$A,$D370),)</f>
        <v/>
      </c>
    </row>
    <row r="371">
      <c r="A371" s="39" t="str">
        <f>IF(AND($L371*1&gt;=$G$3,$L371*1&lt;=$G$4,$I371*$J371&gt;0,OR($I371&lt;&gt;$I372,$L371-$L372&gt;25),IF(ABS($I371)&gt;10,$I371/POW(10,$J371),$J371/POW(10,$I371))*MAXIFS(Token!$C:$C,Token!$A:$A,$K371)&gt;0.01),$L371/86400+DATE(1970,1,1)+$G$6,)</f>
        <v/>
      </c>
      <c r="B371" s="27" t="str">
        <f t="shared" si="1"/>
        <v/>
      </c>
      <c r="C371" s="14" t="str">
        <f>IF($A371&lt;&gt;"",MINIFS(Merchant!$A:$A,Merchant!$B:$B,$G$2),)</f>
        <v/>
      </c>
      <c r="D371" s="14" t="str">
        <f t="shared" si="2"/>
        <v/>
      </c>
      <c r="E371" s="14" t="str">
        <f t="shared" si="3"/>
        <v/>
      </c>
      <c r="F371" s="7" t="str">
        <f>IF($A371&lt;&gt;"",MAXIFS(Token!$C:$C,Token!$A:$A,$D371),)</f>
        <v/>
      </c>
    </row>
    <row r="372">
      <c r="A372" s="39" t="str">
        <f>IF(AND($L372*1&gt;=$G$3,$L372*1&lt;=$G$4,$I372*$J372&gt;0,OR($I372&lt;&gt;$I373,$L372-$L373&gt;25),IF(ABS($I372)&gt;10,$I372/POW(10,$J372),$J372/POW(10,$I372))*MAXIFS(Token!$C:$C,Token!$A:$A,$K372)&gt;0.01),$L372/86400+DATE(1970,1,1)+$G$6,)</f>
        <v/>
      </c>
      <c r="B372" s="27" t="str">
        <f t="shared" si="1"/>
        <v/>
      </c>
      <c r="C372" s="14" t="str">
        <f>IF($A372&lt;&gt;"",MINIFS(Merchant!$A:$A,Merchant!$B:$B,$G$2),)</f>
        <v/>
      </c>
      <c r="D372" s="14" t="str">
        <f t="shared" si="2"/>
        <v/>
      </c>
      <c r="E372" s="14" t="str">
        <f t="shared" si="3"/>
        <v/>
      </c>
      <c r="F372" s="7" t="str">
        <f>IF($A372&lt;&gt;"",MAXIFS(Token!$C:$C,Token!$A:$A,$D372),)</f>
        <v/>
      </c>
    </row>
    <row r="373">
      <c r="A373" s="39" t="str">
        <f>IF(AND($L373*1&gt;=$G$3,$L373*1&lt;=$G$4,$I373*$J373&gt;0,OR($I373&lt;&gt;$I374,$L373-$L374&gt;25),IF(ABS($I373)&gt;10,$I373/POW(10,$J373),$J373/POW(10,$I373))*MAXIFS(Token!$C:$C,Token!$A:$A,$K373)&gt;0.01),$L373/86400+DATE(1970,1,1)+$G$6,)</f>
        <v/>
      </c>
      <c r="B373" s="27" t="str">
        <f t="shared" si="1"/>
        <v/>
      </c>
      <c r="C373" s="14" t="str">
        <f>IF($A373&lt;&gt;"",MINIFS(Merchant!$A:$A,Merchant!$B:$B,$G$2),)</f>
        <v/>
      </c>
      <c r="D373" s="14" t="str">
        <f t="shared" si="2"/>
        <v/>
      </c>
      <c r="E373" s="14" t="str">
        <f t="shared" si="3"/>
        <v/>
      </c>
      <c r="F373" s="7" t="str">
        <f>IF($A373&lt;&gt;"",MAXIFS(Token!$C:$C,Token!$A:$A,$D373),)</f>
        <v/>
      </c>
    </row>
    <row r="374">
      <c r="A374" s="39" t="str">
        <f>IF(AND($L374*1&gt;=$G$3,$L374*1&lt;=$G$4,$I374*$J374&gt;0,OR($I374&lt;&gt;$I375,$L374-$L375&gt;25),IF(ABS($I374)&gt;10,$I374/POW(10,$J374),$J374/POW(10,$I374))*MAXIFS(Token!$C:$C,Token!$A:$A,$K374)&gt;0.01),$L374/86400+DATE(1970,1,1)+$G$6,)</f>
        <v/>
      </c>
      <c r="B374" s="27" t="str">
        <f t="shared" si="1"/>
        <v/>
      </c>
      <c r="C374" s="14" t="str">
        <f>IF($A374&lt;&gt;"",MINIFS(Merchant!$A:$A,Merchant!$B:$B,$G$2),)</f>
        <v/>
      </c>
      <c r="D374" s="14" t="str">
        <f t="shared" si="2"/>
        <v/>
      </c>
      <c r="E374" s="14" t="str">
        <f t="shared" si="3"/>
        <v/>
      </c>
      <c r="F374" s="7" t="str">
        <f>IF($A374&lt;&gt;"",MAXIFS(Token!$C:$C,Token!$A:$A,$D374),)</f>
        <v/>
      </c>
    </row>
    <row r="375">
      <c r="A375" s="39" t="str">
        <f>IF(AND($L375*1&gt;=$G$3,$L375*1&lt;=$G$4,$I375*$J375&gt;0,OR($I375&lt;&gt;$I376,$L375-$L376&gt;25),IF(ABS($I375)&gt;10,$I375/POW(10,$J375),$J375/POW(10,$I375))*MAXIFS(Token!$C:$C,Token!$A:$A,$K375)&gt;0.01),$L375/86400+DATE(1970,1,1)+$G$6,)</f>
        <v/>
      </c>
      <c r="B375" s="27" t="str">
        <f t="shared" si="1"/>
        <v/>
      </c>
      <c r="C375" s="14" t="str">
        <f>IF($A375&lt;&gt;"",MINIFS(Merchant!$A:$A,Merchant!$B:$B,$G$2),)</f>
        <v/>
      </c>
      <c r="D375" s="14" t="str">
        <f t="shared" si="2"/>
        <v/>
      </c>
      <c r="E375" s="14" t="str">
        <f t="shared" si="3"/>
        <v/>
      </c>
      <c r="F375" s="7" t="str">
        <f>IF($A375&lt;&gt;"",MAXIFS(Token!$C:$C,Token!$A:$A,$D375),)</f>
        <v/>
      </c>
    </row>
    <row r="376">
      <c r="A376" s="39" t="str">
        <f>IF(AND($L376*1&gt;=$G$3,$L376*1&lt;=$G$4,$I376*$J376&gt;0,OR($I376&lt;&gt;$I377,$L376-$L377&gt;25),IF(ABS($I376)&gt;10,$I376/POW(10,$J376),$J376/POW(10,$I376))*MAXIFS(Token!$C:$C,Token!$A:$A,$K376)&gt;0.01),$L376/86400+DATE(1970,1,1)+$G$6,)</f>
        <v/>
      </c>
      <c r="B376" s="27" t="str">
        <f t="shared" si="1"/>
        <v/>
      </c>
      <c r="C376" s="14" t="str">
        <f>IF($A376&lt;&gt;"",MINIFS(Merchant!$A:$A,Merchant!$B:$B,$G$2),)</f>
        <v/>
      </c>
      <c r="D376" s="14" t="str">
        <f t="shared" si="2"/>
        <v/>
      </c>
      <c r="E376" s="14" t="str">
        <f t="shared" si="3"/>
        <v/>
      </c>
      <c r="F376" s="7" t="str">
        <f>IF($A376&lt;&gt;"",MAXIFS(Token!$C:$C,Token!$A:$A,$D376),)</f>
        <v/>
      </c>
    </row>
    <row r="377">
      <c r="A377" s="39" t="str">
        <f>IF(AND($L377*1&gt;=$G$3,$L377*1&lt;=$G$4,$I377*$J377&gt;0,OR($I377&lt;&gt;$I378,$L377-$L378&gt;25),IF(ABS($I377)&gt;10,$I377/POW(10,$J377),$J377/POW(10,$I377))*MAXIFS(Token!$C:$C,Token!$A:$A,$K377)&gt;0.01),$L377/86400+DATE(1970,1,1)+$G$6,)</f>
        <v/>
      </c>
      <c r="B377" s="27" t="str">
        <f t="shared" si="1"/>
        <v/>
      </c>
      <c r="C377" s="14" t="str">
        <f>IF($A377&lt;&gt;"",MINIFS(Merchant!$A:$A,Merchant!$B:$B,$G$2),)</f>
        <v/>
      </c>
      <c r="D377" s="14" t="str">
        <f t="shared" si="2"/>
        <v/>
      </c>
      <c r="E377" s="14" t="str">
        <f t="shared" si="3"/>
        <v/>
      </c>
      <c r="F377" s="7" t="str">
        <f>IF($A377&lt;&gt;"",MAXIFS(Token!$C:$C,Token!$A:$A,$D377),)</f>
        <v/>
      </c>
    </row>
    <row r="378">
      <c r="A378" s="39" t="str">
        <f>IF(AND($L378*1&gt;=$G$3,$L378*1&lt;=$G$4,$I378*$J378&gt;0,OR($I378&lt;&gt;$I379,$L378-$L379&gt;25),IF(ABS($I378)&gt;10,$I378/POW(10,$J378),$J378/POW(10,$I378))*MAXIFS(Token!$C:$C,Token!$A:$A,$K378)&gt;0.01),$L378/86400+DATE(1970,1,1)+$G$6,)</f>
        <v/>
      </c>
      <c r="B378" s="27" t="str">
        <f t="shared" si="1"/>
        <v/>
      </c>
      <c r="C378" s="14" t="str">
        <f>IF($A378&lt;&gt;"",MINIFS(Merchant!$A:$A,Merchant!$B:$B,$G$2),)</f>
        <v/>
      </c>
      <c r="D378" s="14" t="str">
        <f t="shared" si="2"/>
        <v/>
      </c>
      <c r="E378" s="14" t="str">
        <f t="shared" si="3"/>
        <v/>
      </c>
      <c r="F378" s="7" t="str">
        <f>IF($A378&lt;&gt;"",MAXIFS(Token!$C:$C,Token!$A:$A,$D378),)</f>
        <v/>
      </c>
    </row>
    <row r="379">
      <c r="A379" s="39" t="str">
        <f>IF(AND($L379*1&gt;=$G$3,$L379*1&lt;=$G$4,$I379*$J379&gt;0,OR($I379&lt;&gt;$I380,$L379-$L380&gt;25),IF(ABS($I379)&gt;10,$I379/POW(10,$J379),$J379/POW(10,$I379))*MAXIFS(Token!$C:$C,Token!$A:$A,$K379)&gt;0.01),$L379/86400+DATE(1970,1,1)+$G$6,)</f>
        <v/>
      </c>
      <c r="B379" s="27" t="str">
        <f t="shared" si="1"/>
        <v/>
      </c>
      <c r="C379" s="14" t="str">
        <f>IF($A379&lt;&gt;"",MINIFS(Merchant!$A:$A,Merchant!$B:$B,$G$2),)</f>
        <v/>
      </c>
      <c r="D379" s="14" t="str">
        <f t="shared" si="2"/>
        <v/>
      </c>
      <c r="E379" s="14" t="str">
        <f t="shared" si="3"/>
        <v/>
      </c>
      <c r="F379" s="7" t="str">
        <f>IF($A379&lt;&gt;"",MAXIFS(Token!$C:$C,Token!$A:$A,$D379),)</f>
        <v/>
      </c>
    </row>
    <row r="380">
      <c r="A380" s="39" t="str">
        <f>IF(AND($L380*1&gt;=$G$3,$L380*1&lt;=$G$4,$I380*$J380&gt;0,OR($I380&lt;&gt;$I381,$L380-$L381&gt;25),IF(ABS($I380)&gt;10,$I380/POW(10,$J380),$J380/POW(10,$I380))*MAXIFS(Token!$C:$C,Token!$A:$A,$K380)&gt;0.01),$L380/86400+DATE(1970,1,1)+$G$6,)</f>
        <v/>
      </c>
      <c r="B380" s="27" t="str">
        <f t="shared" si="1"/>
        <v/>
      </c>
      <c r="C380" s="14" t="str">
        <f>IF($A380&lt;&gt;"",MINIFS(Merchant!$A:$A,Merchant!$B:$B,$G$2),)</f>
        <v/>
      </c>
      <c r="D380" s="14" t="str">
        <f t="shared" si="2"/>
        <v/>
      </c>
      <c r="E380" s="14" t="str">
        <f t="shared" si="3"/>
        <v/>
      </c>
      <c r="F380" s="7" t="str">
        <f>IF($A380&lt;&gt;"",MAXIFS(Token!$C:$C,Token!$A:$A,$D380),)</f>
        <v/>
      </c>
    </row>
    <row r="381">
      <c r="A381" s="39" t="str">
        <f>IF(AND($L381*1&gt;=$G$3,$L381*1&lt;=$G$4,$I381*$J381&gt;0,OR($I381&lt;&gt;$I382,$L381-$L382&gt;25),IF(ABS($I381)&gt;10,$I381/POW(10,$J381),$J381/POW(10,$I381))*MAXIFS(Token!$C:$C,Token!$A:$A,$K381)&gt;0.01),$L381/86400+DATE(1970,1,1)+$G$6,)</f>
        <v/>
      </c>
      <c r="B381" s="27" t="str">
        <f t="shared" si="1"/>
        <v/>
      </c>
      <c r="C381" s="14" t="str">
        <f>IF($A381&lt;&gt;"",MINIFS(Merchant!$A:$A,Merchant!$B:$B,$G$2),)</f>
        <v/>
      </c>
      <c r="D381" s="14" t="str">
        <f t="shared" si="2"/>
        <v/>
      </c>
      <c r="E381" s="14" t="str">
        <f t="shared" si="3"/>
        <v/>
      </c>
      <c r="F381" s="7" t="str">
        <f>IF($A381&lt;&gt;"",MAXIFS(Token!$C:$C,Token!$A:$A,$D381),)</f>
        <v/>
      </c>
    </row>
    <row r="382">
      <c r="A382" s="39" t="str">
        <f>IF(AND($L382*1&gt;=$G$3,$L382*1&lt;=$G$4,$I382*$J382&gt;0,OR($I382&lt;&gt;$I383,$L382-$L383&gt;25),IF(ABS($I382)&gt;10,$I382/POW(10,$J382),$J382/POW(10,$I382))*MAXIFS(Token!$C:$C,Token!$A:$A,$K382)&gt;0.01),$L382/86400+DATE(1970,1,1)+$G$6,)</f>
        <v/>
      </c>
      <c r="B382" s="27" t="str">
        <f t="shared" si="1"/>
        <v/>
      </c>
      <c r="C382" s="14" t="str">
        <f>IF($A382&lt;&gt;"",MINIFS(Merchant!$A:$A,Merchant!$B:$B,$G$2),)</f>
        <v/>
      </c>
      <c r="D382" s="14" t="str">
        <f t="shared" si="2"/>
        <v/>
      </c>
      <c r="E382" s="14" t="str">
        <f t="shared" si="3"/>
        <v/>
      </c>
      <c r="F382" s="7" t="str">
        <f>IF($A382&lt;&gt;"",MAXIFS(Token!$C:$C,Token!$A:$A,$D382),)</f>
        <v/>
      </c>
    </row>
    <row r="383">
      <c r="A383" s="39" t="str">
        <f>IF(AND($L383*1&gt;=$G$3,$L383*1&lt;=$G$4,$I383*$J383&gt;0,OR($I383&lt;&gt;$I384,$L383-$L384&gt;25),IF(ABS($I383)&gt;10,$I383/POW(10,$J383),$J383/POW(10,$I383))*MAXIFS(Token!$C:$C,Token!$A:$A,$K383)&gt;0.01),$L383/86400+DATE(1970,1,1)+$G$6,)</f>
        <v/>
      </c>
      <c r="B383" s="27" t="str">
        <f t="shared" si="1"/>
        <v/>
      </c>
      <c r="C383" s="14" t="str">
        <f>IF($A383&lt;&gt;"",MINIFS(Merchant!$A:$A,Merchant!$B:$B,$G$2),)</f>
        <v/>
      </c>
      <c r="D383" s="14" t="str">
        <f t="shared" si="2"/>
        <v/>
      </c>
      <c r="E383" s="14" t="str">
        <f t="shared" si="3"/>
        <v/>
      </c>
      <c r="F383" s="7" t="str">
        <f>IF($A383&lt;&gt;"",MAXIFS(Token!$C:$C,Token!$A:$A,$D383),)</f>
        <v/>
      </c>
    </row>
    <row r="384">
      <c r="A384" s="39" t="str">
        <f>IF(AND($L384*1&gt;=$G$3,$L384*1&lt;=$G$4,$I384*$J384&gt;0,OR($I384&lt;&gt;$I385,$L384-$L385&gt;25),IF(ABS($I384)&gt;10,$I384/POW(10,$J384),$J384/POW(10,$I384))*MAXIFS(Token!$C:$C,Token!$A:$A,$K384)&gt;0.01),$L384/86400+DATE(1970,1,1)+$G$6,)</f>
        <v/>
      </c>
      <c r="B384" s="27" t="str">
        <f t="shared" si="1"/>
        <v/>
      </c>
      <c r="C384" s="14" t="str">
        <f>IF($A384&lt;&gt;"",MINIFS(Merchant!$A:$A,Merchant!$B:$B,$G$2),)</f>
        <v/>
      </c>
      <c r="D384" s="14" t="str">
        <f t="shared" si="2"/>
        <v/>
      </c>
      <c r="E384" s="14" t="str">
        <f t="shared" si="3"/>
        <v/>
      </c>
      <c r="F384" s="7" t="str">
        <f>IF($A384&lt;&gt;"",MAXIFS(Token!$C:$C,Token!$A:$A,$D384),)</f>
        <v/>
      </c>
    </row>
    <row r="385">
      <c r="A385" s="39" t="str">
        <f>IF(AND($L385*1&gt;=$G$3,$L385*1&lt;=$G$4,$I385*$J385&gt;0,OR($I385&lt;&gt;$I386,$L385-$L386&gt;25),IF(ABS($I385)&gt;10,$I385/POW(10,$J385),$J385/POW(10,$I385))*MAXIFS(Token!$C:$C,Token!$A:$A,$K385)&gt;0.01),$L385/86400+DATE(1970,1,1)+$G$6,)</f>
        <v/>
      </c>
      <c r="B385" s="27" t="str">
        <f t="shared" si="1"/>
        <v/>
      </c>
      <c r="C385" s="14" t="str">
        <f>IF($A385&lt;&gt;"",MINIFS(Merchant!$A:$A,Merchant!$B:$B,$G$2),)</f>
        <v/>
      </c>
      <c r="D385" s="14" t="str">
        <f t="shared" si="2"/>
        <v/>
      </c>
      <c r="E385" s="14" t="str">
        <f t="shared" si="3"/>
        <v/>
      </c>
      <c r="F385" s="7" t="str">
        <f>IF($A385&lt;&gt;"",MAXIFS(Token!$C:$C,Token!$A:$A,$D385),)</f>
        <v/>
      </c>
    </row>
    <row r="386">
      <c r="A386" s="39" t="str">
        <f>IF(AND($L386*1&gt;=$G$3,$L386*1&lt;=$G$4,$I386*$J386&gt;0,OR($I386&lt;&gt;$I387,$L386-$L387&gt;25),IF(ABS($I386)&gt;10,$I386/POW(10,$J386),$J386/POW(10,$I386))*MAXIFS(Token!$C:$C,Token!$A:$A,$K386)&gt;0.01),$L386/86400+DATE(1970,1,1)+$G$6,)</f>
        <v/>
      </c>
      <c r="B386" s="27" t="str">
        <f t="shared" si="1"/>
        <v/>
      </c>
      <c r="C386" s="14" t="str">
        <f>IF($A386&lt;&gt;"",MINIFS(Merchant!$A:$A,Merchant!$B:$B,$G$2),)</f>
        <v/>
      </c>
      <c r="D386" s="14" t="str">
        <f t="shared" si="2"/>
        <v/>
      </c>
      <c r="E386" s="14" t="str">
        <f t="shared" si="3"/>
        <v/>
      </c>
      <c r="F386" s="7" t="str">
        <f>IF($A386&lt;&gt;"",MAXIFS(Token!$C:$C,Token!$A:$A,$D386),)</f>
        <v/>
      </c>
    </row>
    <row r="387">
      <c r="A387" s="39" t="str">
        <f>IF(AND($L387*1&gt;=$G$3,$L387*1&lt;=$G$4,$I387*$J387&gt;0,OR($I387&lt;&gt;$I388,$L387-$L388&gt;25),IF(ABS($I387)&gt;10,$I387/POW(10,$J387),$J387/POW(10,$I387))*MAXIFS(Token!$C:$C,Token!$A:$A,$K387)&gt;0.01),$L387/86400+DATE(1970,1,1)+$G$6,)</f>
        <v/>
      </c>
      <c r="B387" s="27" t="str">
        <f t="shared" si="1"/>
        <v/>
      </c>
      <c r="C387" s="14" t="str">
        <f>IF($A387&lt;&gt;"",MINIFS(Merchant!$A:$A,Merchant!$B:$B,$G$2),)</f>
        <v/>
      </c>
      <c r="D387" s="14" t="str">
        <f t="shared" si="2"/>
        <v/>
      </c>
      <c r="E387" s="14" t="str">
        <f t="shared" si="3"/>
        <v/>
      </c>
      <c r="F387" s="7" t="str">
        <f>IF($A387&lt;&gt;"",MAXIFS(Token!$C:$C,Token!$A:$A,$D387),)</f>
        <v/>
      </c>
    </row>
    <row r="388">
      <c r="A388" s="39" t="str">
        <f>IF(AND($L388*1&gt;=$G$3,$L388*1&lt;=$G$4,$I388*$J388&gt;0,OR($I388&lt;&gt;$I389,$L388-$L389&gt;25),IF(ABS($I388)&gt;10,$I388/POW(10,$J388),$J388/POW(10,$I388))*MAXIFS(Token!$C:$C,Token!$A:$A,$K388)&gt;0.01),$L388/86400+DATE(1970,1,1)+$G$6,)</f>
        <v/>
      </c>
      <c r="B388" s="27" t="str">
        <f t="shared" si="1"/>
        <v/>
      </c>
      <c r="C388" s="14" t="str">
        <f>IF($A388&lt;&gt;"",MINIFS(Merchant!$A:$A,Merchant!$B:$B,$G$2),)</f>
        <v/>
      </c>
      <c r="D388" s="14" t="str">
        <f t="shared" si="2"/>
        <v/>
      </c>
      <c r="E388" s="14" t="str">
        <f t="shared" si="3"/>
        <v/>
      </c>
      <c r="F388" s="7" t="str">
        <f>IF($A388&lt;&gt;"",MAXIFS(Token!$C:$C,Token!$A:$A,$D388),)</f>
        <v/>
      </c>
    </row>
    <row r="389">
      <c r="A389" s="39" t="str">
        <f>IF(AND($L389*1&gt;=$G$3,$L389*1&lt;=$G$4,$I389*$J389&gt;0,OR($I389&lt;&gt;$I390,$L389-$L390&gt;25),IF(ABS($I389)&gt;10,$I389/POW(10,$J389),$J389/POW(10,$I389))*MAXIFS(Token!$C:$C,Token!$A:$A,$K389)&gt;0.01),$L389/86400+DATE(1970,1,1)+$G$6,)</f>
        <v/>
      </c>
      <c r="B389" s="27" t="str">
        <f t="shared" si="1"/>
        <v/>
      </c>
      <c r="C389" s="14" t="str">
        <f>IF($A389&lt;&gt;"",MINIFS(Merchant!$A:$A,Merchant!$B:$B,$G$2),)</f>
        <v/>
      </c>
      <c r="D389" s="14" t="str">
        <f t="shared" si="2"/>
        <v/>
      </c>
      <c r="E389" s="14" t="str">
        <f t="shared" si="3"/>
        <v/>
      </c>
      <c r="F389" s="7" t="str">
        <f>IF($A389&lt;&gt;"",MAXIFS(Token!$C:$C,Token!$A:$A,$D389),)</f>
        <v/>
      </c>
    </row>
    <row r="390">
      <c r="A390" s="39" t="str">
        <f>IF(AND($L390*1&gt;=$G$3,$L390*1&lt;=$G$4,$I390*$J390&gt;0,OR($I390&lt;&gt;$I391,$L390-$L391&gt;25),IF(ABS($I390)&gt;10,$I390/POW(10,$J390),$J390/POW(10,$I390))*MAXIFS(Token!$C:$C,Token!$A:$A,$K390)&gt;0.01),$L390/86400+DATE(1970,1,1)+$G$6,)</f>
        <v/>
      </c>
      <c r="B390" s="27" t="str">
        <f t="shared" si="1"/>
        <v/>
      </c>
      <c r="C390" s="14" t="str">
        <f>IF($A390&lt;&gt;"",MINIFS(Merchant!$A:$A,Merchant!$B:$B,$G$2),)</f>
        <v/>
      </c>
      <c r="D390" s="14" t="str">
        <f t="shared" si="2"/>
        <v/>
      </c>
      <c r="E390" s="14" t="str">
        <f t="shared" si="3"/>
        <v/>
      </c>
      <c r="F390" s="7" t="str">
        <f>IF($A390&lt;&gt;"",MAXIFS(Token!$C:$C,Token!$A:$A,$D390),)</f>
        <v/>
      </c>
    </row>
    <row r="391">
      <c r="A391" s="39" t="str">
        <f>IF(AND($L391*1&gt;=$G$3,$L391*1&lt;=$G$4,$I391*$J391&gt;0,OR($I391&lt;&gt;$I392,$L391-$L392&gt;25),IF(ABS($I391)&gt;10,$I391/POW(10,$J391),$J391/POW(10,$I391))*MAXIFS(Token!$C:$C,Token!$A:$A,$K391)&gt;0.01),$L391/86400+DATE(1970,1,1)+$G$6,)</f>
        <v/>
      </c>
      <c r="B391" s="27" t="str">
        <f t="shared" si="1"/>
        <v/>
      </c>
      <c r="C391" s="14" t="str">
        <f>IF($A391&lt;&gt;"",MINIFS(Merchant!$A:$A,Merchant!$B:$B,$G$2),)</f>
        <v/>
      </c>
      <c r="D391" s="14" t="str">
        <f t="shared" si="2"/>
        <v/>
      </c>
      <c r="E391" s="14" t="str">
        <f t="shared" si="3"/>
        <v/>
      </c>
      <c r="F391" s="7" t="str">
        <f>IF($A391&lt;&gt;"",MAXIFS(Token!$C:$C,Token!$A:$A,$D391),)</f>
        <v/>
      </c>
    </row>
    <row r="392">
      <c r="A392" s="39" t="str">
        <f>IF(AND($L392*1&gt;=$G$3,$L392*1&lt;=$G$4,$I392*$J392&gt;0,OR($I392&lt;&gt;$I393,$L392-$L393&gt;25),IF(ABS($I392)&gt;10,$I392/POW(10,$J392),$J392/POW(10,$I392))*MAXIFS(Token!$C:$C,Token!$A:$A,$K392)&gt;0.01),$L392/86400+DATE(1970,1,1)+$G$6,)</f>
        <v/>
      </c>
      <c r="B392" s="27" t="str">
        <f t="shared" si="1"/>
        <v/>
      </c>
      <c r="C392" s="14" t="str">
        <f>IF($A392&lt;&gt;"",MINIFS(Merchant!$A:$A,Merchant!$B:$B,$G$2),)</f>
        <v/>
      </c>
      <c r="D392" s="14" t="str">
        <f t="shared" si="2"/>
        <v/>
      </c>
      <c r="E392" s="14" t="str">
        <f t="shared" si="3"/>
        <v/>
      </c>
      <c r="F392" s="7" t="str">
        <f>IF($A392&lt;&gt;"",MAXIFS(Token!$C:$C,Token!$A:$A,$D392),)</f>
        <v/>
      </c>
    </row>
    <row r="393">
      <c r="A393" s="39" t="str">
        <f>IF(AND($L393*1&gt;=$G$3,$L393*1&lt;=$G$4,$I393*$J393&gt;0,OR($I393&lt;&gt;$I394,$L393-$L394&gt;25),IF(ABS($I393)&gt;10,$I393/POW(10,$J393),$J393/POW(10,$I393))*MAXIFS(Token!$C:$C,Token!$A:$A,$K393)&gt;0.01),$L393/86400+DATE(1970,1,1)+$G$6,)</f>
        <v/>
      </c>
      <c r="B393" s="27" t="str">
        <f t="shared" si="1"/>
        <v/>
      </c>
      <c r="C393" s="14" t="str">
        <f>IF($A393&lt;&gt;"",MINIFS(Merchant!$A:$A,Merchant!$B:$B,$G$2),)</f>
        <v/>
      </c>
      <c r="D393" s="14" t="str">
        <f t="shared" si="2"/>
        <v/>
      </c>
      <c r="E393" s="14" t="str">
        <f t="shared" si="3"/>
        <v/>
      </c>
      <c r="F393" s="7" t="str">
        <f>IF($A393&lt;&gt;"",MAXIFS(Token!$C:$C,Token!$A:$A,$D393),)</f>
        <v/>
      </c>
    </row>
    <row r="394">
      <c r="A394" s="39" t="str">
        <f>IF(AND($L394*1&gt;=$G$3,$L394*1&lt;=$G$4,$I394*$J394&gt;0,OR($I394&lt;&gt;$I395,$L394-$L395&gt;25),IF(ABS($I394)&gt;10,$I394/POW(10,$J394),$J394/POW(10,$I394))*MAXIFS(Token!$C:$C,Token!$A:$A,$K394)&gt;0.01),$L394/86400+DATE(1970,1,1)+$G$6,)</f>
        <v/>
      </c>
      <c r="B394" s="27" t="str">
        <f t="shared" si="1"/>
        <v/>
      </c>
      <c r="C394" s="14" t="str">
        <f>IF($A394&lt;&gt;"",MINIFS(Merchant!$A:$A,Merchant!$B:$B,$G$2),)</f>
        <v/>
      </c>
      <c r="D394" s="14" t="str">
        <f t="shared" si="2"/>
        <v/>
      </c>
      <c r="E394" s="14" t="str">
        <f t="shared" si="3"/>
        <v/>
      </c>
      <c r="F394" s="7" t="str">
        <f>IF($A394&lt;&gt;"",MAXIFS(Token!$C:$C,Token!$A:$A,$D394),)</f>
        <v/>
      </c>
    </row>
    <row r="395">
      <c r="A395" s="39" t="str">
        <f>IF(AND($L395*1&gt;=$G$3,$L395*1&lt;=$G$4,$I395*$J395&gt;0,OR($I395&lt;&gt;$I396,$L395-$L396&gt;25),IF(ABS($I395)&gt;10,$I395/POW(10,$J395),$J395/POW(10,$I395))*MAXIFS(Token!$C:$C,Token!$A:$A,$K395)&gt;0.01),$L395/86400+DATE(1970,1,1)+$G$6,)</f>
        <v/>
      </c>
      <c r="B395" s="27" t="str">
        <f t="shared" si="1"/>
        <v/>
      </c>
      <c r="C395" s="14" t="str">
        <f>IF($A395&lt;&gt;"",MINIFS(Merchant!$A:$A,Merchant!$B:$B,$G$2),)</f>
        <v/>
      </c>
      <c r="D395" s="14" t="str">
        <f t="shared" si="2"/>
        <v/>
      </c>
      <c r="E395" s="14" t="str">
        <f t="shared" si="3"/>
        <v/>
      </c>
      <c r="F395" s="7" t="str">
        <f>IF($A395&lt;&gt;"",MAXIFS(Token!$C:$C,Token!$A:$A,$D395),)</f>
        <v/>
      </c>
    </row>
    <row r="396">
      <c r="A396" s="39" t="str">
        <f>IF(AND($L396*1&gt;=$G$3,$L396*1&lt;=$G$4,$I396*$J396&gt;0,OR($I396&lt;&gt;$I397,$L396-$L397&gt;25),IF(ABS($I396)&gt;10,$I396/POW(10,$J396),$J396/POW(10,$I396))*MAXIFS(Token!$C:$C,Token!$A:$A,$K396)&gt;0.01),$L396/86400+DATE(1970,1,1)+$G$6,)</f>
        <v/>
      </c>
      <c r="B396" s="27" t="str">
        <f t="shared" si="1"/>
        <v/>
      </c>
      <c r="C396" s="14" t="str">
        <f>IF($A396&lt;&gt;"",MINIFS(Merchant!$A:$A,Merchant!$B:$B,$G$2),)</f>
        <v/>
      </c>
      <c r="D396" s="14" t="str">
        <f t="shared" si="2"/>
        <v/>
      </c>
      <c r="E396" s="14" t="str">
        <f t="shared" si="3"/>
        <v/>
      </c>
      <c r="F396" s="7" t="str">
        <f>IF($A396&lt;&gt;"",MAXIFS(Token!$C:$C,Token!$A:$A,$D396),)</f>
        <v/>
      </c>
    </row>
    <row r="397">
      <c r="A397" s="39" t="str">
        <f>IF(AND($L397*1&gt;=$G$3,$L397*1&lt;=$G$4,$I397*$J397&gt;0,OR($I397&lt;&gt;$I398,$L397-$L398&gt;25),IF(ABS($I397)&gt;10,$I397/POW(10,$J397),$J397/POW(10,$I397))*MAXIFS(Token!$C:$C,Token!$A:$A,$K397)&gt;0.01),$L397/86400+DATE(1970,1,1)+$G$6,)</f>
        <v/>
      </c>
      <c r="B397" s="27" t="str">
        <f t="shared" si="1"/>
        <v/>
      </c>
      <c r="C397" s="14" t="str">
        <f>IF($A397&lt;&gt;"",MINIFS(Merchant!$A:$A,Merchant!$B:$B,$G$2),)</f>
        <v/>
      </c>
      <c r="D397" s="14" t="str">
        <f t="shared" si="2"/>
        <v/>
      </c>
      <c r="E397" s="14" t="str">
        <f t="shared" si="3"/>
        <v/>
      </c>
      <c r="F397" s="7" t="str">
        <f>IF($A397&lt;&gt;"",MAXIFS(Token!$C:$C,Token!$A:$A,$D397),)</f>
        <v/>
      </c>
    </row>
    <row r="398">
      <c r="A398" s="39" t="str">
        <f>IF(AND($L398*1&gt;=$G$3,$L398*1&lt;=$G$4,$I398*$J398&gt;0,OR($I398&lt;&gt;$I399,$L398-$L399&gt;25),IF(ABS($I398)&gt;10,$I398/POW(10,$J398),$J398/POW(10,$I398))*MAXIFS(Token!$C:$C,Token!$A:$A,$K398)&gt;0.01),$L398/86400+DATE(1970,1,1)+$G$6,)</f>
        <v/>
      </c>
      <c r="B398" s="27" t="str">
        <f t="shared" si="1"/>
        <v/>
      </c>
      <c r="C398" s="14" t="str">
        <f>IF($A398&lt;&gt;"",MINIFS(Merchant!$A:$A,Merchant!$B:$B,$G$2),)</f>
        <v/>
      </c>
      <c r="D398" s="14" t="str">
        <f t="shared" si="2"/>
        <v/>
      </c>
      <c r="E398" s="14" t="str">
        <f t="shared" si="3"/>
        <v/>
      </c>
      <c r="F398" s="7" t="str">
        <f>IF($A398&lt;&gt;"",MAXIFS(Token!$C:$C,Token!$A:$A,$D398),)</f>
        <v/>
      </c>
    </row>
    <row r="399">
      <c r="A399" s="39" t="str">
        <f>IF(AND($L399*1&gt;=$G$3,$L399*1&lt;=$G$4,$I399*$J399&gt;0,OR($I399&lt;&gt;$I400,$L399-$L400&gt;25),IF(ABS($I399)&gt;10,$I399/POW(10,$J399),$J399/POW(10,$I399))*MAXIFS(Token!$C:$C,Token!$A:$A,$K399)&gt;0.01),$L399/86400+DATE(1970,1,1)+$G$6,)</f>
        <v/>
      </c>
      <c r="B399" s="27" t="str">
        <f t="shared" si="1"/>
        <v/>
      </c>
      <c r="C399" s="14" t="str">
        <f>IF($A399&lt;&gt;"",MINIFS(Merchant!$A:$A,Merchant!$B:$B,$G$2),)</f>
        <v/>
      </c>
      <c r="D399" s="14" t="str">
        <f t="shared" si="2"/>
        <v/>
      </c>
      <c r="E399" s="14" t="str">
        <f t="shared" si="3"/>
        <v/>
      </c>
      <c r="F399" s="7" t="str">
        <f>IF($A399&lt;&gt;"",MAXIFS(Token!$C:$C,Token!$A:$A,$D399),)</f>
        <v/>
      </c>
    </row>
    <row r="400">
      <c r="A400" s="39" t="str">
        <f>IF(AND($L400*1&gt;=$G$3,$L400*1&lt;=$G$4,$I400*$J400&gt;0,OR($I400&lt;&gt;$I401,$L400-$L401&gt;25),IF(ABS($I400)&gt;10,$I400/POW(10,$J400),$J400/POW(10,$I400))*MAXIFS(Token!$C:$C,Token!$A:$A,$K400)&gt;0.01),$L400/86400+DATE(1970,1,1)+$G$6,)</f>
        <v/>
      </c>
      <c r="B400" s="27" t="str">
        <f t="shared" si="1"/>
        <v/>
      </c>
      <c r="C400" s="14" t="str">
        <f>IF($A400&lt;&gt;"",MINIFS(Merchant!$A:$A,Merchant!$B:$B,$G$2),)</f>
        <v/>
      </c>
      <c r="D400" s="14" t="str">
        <f t="shared" si="2"/>
        <v/>
      </c>
      <c r="E400" s="14" t="str">
        <f t="shared" si="3"/>
        <v/>
      </c>
      <c r="F400" s="7" t="str">
        <f>IF($A400&lt;&gt;"",MAXIFS(Token!$C:$C,Token!$A:$A,$D400),)</f>
        <v/>
      </c>
    </row>
    <row r="401">
      <c r="A401" s="39" t="str">
        <f>IF(AND($L401*1&gt;=$G$3,$L401*1&lt;=$G$4,$I401*$J401&gt;0,OR($I401&lt;&gt;$I402,$L401-$L402&gt;25),IF(ABS($I401)&gt;10,$I401/POW(10,$J401),$J401/POW(10,$I401))*MAXIFS(Token!$C:$C,Token!$A:$A,$K401)&gt;0.01),$L401/86400+DATE(1970,1,1)+$G$6,)</f>
        <v/>
      </c>
      <c r="B401" s="27" t="str">
        <f t="shared" si="1"/>
        <v/>
      </c>
      <c r="C401" s="14" t="str">
        <f>IF($A401&lt;&gt;"",MINIFS(Merchant!$A:$A,Merchant!$B:$B,$G$2),)</f>
        <v/>
      </c>
      <c r="D401" s="14" t="str">
        <f t="shared" si="2"/>
        <v/>
      </c>
      <c r="E401" s="14" t="str">
        <f t="shared" si="3"/>
        <v/>
      </c>
      <c r="F401" s="7" t="str">
        <f>IF($A401&lt;&gt;"",MAXIFS(Token!$C:$C,Token!$A:$A,$D401),)</f>
        <v/>
      </c>
    </row>
    <row r="402">
      <c r="A402" s="39" t="str">
        <f>IF(AND($L402*1&gt;=$G$3,$L402*1&lt;=$G$4,$I402*$J402&gt;0,OR($I402&lt;&gt;$I403,$L402-$L403&gt;25),IF(ABS($I402)&gt;10,$I402/POW(10,$J402),$J402/POW(10,$I402))*MAXIFS(Token!$C:$C,Token!$A:$A,$K402)&gt;0.01),$L402/86400+DATE(1970,1,1)+$G$6,)</f>
        <v/>
      </c>
      <c r="B402" s="27" t="str">
        <f t="shared" si="1"/>
        <v/>
      </c>
      <c r="C402" s="14" t="str">
        <f>IF($A402&lt;&gt;"",MINIFS(Merchant!$A:$A,Merchant!$B:$B,$G$2),)</f>
        <v/>
      </c>
      <c r="D402" s="14" t="str">
        <f t="shared" si="2"/>
        <v/>
      </c>
      <c r="E402" s="14" t="str">
        <f t="shared" si="3"/>
        <v/>
      </c>
      <c r="F402" s="7" t="str">
        <f>IF($A402&lt;&gt;"",MAXIFS(Token!$C:$C,Token!$A:$A,$D402),)</f>
        <v/>
      </c>
    </row>
    <row r="403">
      <c r="A403" s="39" t="str">
        <f>IF(AND($L403*1&gt;=$G$3,$L403*1&lt;=$G$4,$I403*$J403&gt;0,OR($I403&lt;&gt;$I404,$L403-$L404&gt;25),IF(ABS($I403)&gt;10,$I403/POW(10,$J403),$J403/POW(10,$I403))*MAXIFS(Token!$C:$C,Token!$A:$A,$K403)&gt;0.01),$L403/86400+DATE(1970,1,1)+$G$6,)</f>
        <v/>
      </c>
      <c r="B403" s="27" t="str">
        <f t="shared" si="1"/>
        <v/>
      </c>
      <c r="C403" s="14" t="str">
        <f>IF($A403&lt;&gt;"",MINIFS(Merchant!$A:$A,Merchant!$B:$B,$G$2),)</f>
        <v/>
      </c>
      <c r="D403" s="14" t="str">
        <f t="shared" si="2"/>
        <v/>
      </c>
      <c r="E403" s="14" t="str">
        <f t="shared" si="3"/>
        <v/>
      </c>
      <c r="F403" s="7" t="str">
        <f>IF($A403&lt;&gt;"",MAXIFS(Token!$C:$C,Token!$A:$A,$D403),)</f>
        <v/>
      </c>
    </row>
    <row r="404">
      <c r="A404" s="39" t="str">
        <f>IF(AND($L404*1&gt;=$G$3,$L404*1&lt;=$G$4,$I404*$J404&gt;0,OR($I404&lt;&gt;$I405,$L404-$L405&gt;25),IF(ABS($I404)&gt;10,$I404/POW(10,$J404),$J404/POW(10,$I404))*MAXIFS(Token!$C:$C,Token!$A:$A,$K404)&gt;0.01),$L404/86400+DATE(1970,1,1)+$G$6,)</f>
        <v/>
      </c>
      <c r="B404" s="27" t="str">
        <f t="shared" si="1"/>
        <v/>
      </c>
      <c r="C404" s="14" t="str">
        <f>IF($A404&lt;&gt;"",MINIFS(Merchant!$A:$A,Merchant!$B:$B,$G$2),)</f>
        <v/>
      </c>
      <c r="D404" s="14" t="str">
        <f t="shared" si="2"/>
        <v/>
      </c>
      <c r="E404" s="14" t="str">
        <f t="shared" si="3"/>
        <v/>
      </c>
      <c r="F404" s="7" t="str">
        <f>IF($A404&lt;&gt;"",MAXIFS(Token!$C:$C,Token!$A:$A,$D404),)</f>
        <v/>
      </c>
    </row>
    <row r="405">
      <c r="A405" s="39" t="str">
        <f>IF(AND($L405*1&gt;=$G$3,$L405*1&lt;=$G$4,$I405*$J405&gt;0,OR($I405&lt;&gt;$I406,$L405-$L406&gt;25),IF(ABS($I405)&gt;10,$I405/POW(10,$J405),$J405/POW(10,$I405))*MAXIFS(Token!$C:$C,Token!$A:$A,$K405)&gt;0.01),$L405/86400+DATE(1970,1,1)+$G$6,)</f>
        <v/>
      </c>
      <c r="B405" s="27" t="str">
        <f t="shared" si="1"/>
        <v/>
      </c>
      <c r="C405" s="14" t="str">
        <f>IF($A405&lt;&gt;"",MINIFS(Merchant!$A:$A,Merchant!$B:$B,$G$2),)</f>
        <v/>
      </c>
      <c r="D405" s="14" t="str">
        <f t="shared" si="2"/>
        <v/>
      </c>
      <c r="E405" s="14" t="str">
        <f t="shared" si="3"/>
        <v/>
      </c>
      <c r="F405" s="7" t="str">
        <f>IF($A405&lt;&gt;"",MAXIFS(Token!$C:$C,Token!$A:$A,$D405),)</f>
        <v/>
      </c>
    </row>
    <row r="406">
      <c r="A406" s="39" t="str">
        <f>IF(AND($L406*1&gt;=$G$3,$L406*1&lt;=$G$4,$I406*$J406&gt;0,OR($I406&lt;&gt;$I407,$L406-$L407&gt;25),IF(ABS($I406)&gt;10,$I406/POW(10,$J406),$J406/POW(10,$I406))*MAXIFS(Token!$C:$C,Token!$A:$A,$K406)&gt;0.01),$L406/86400+DATE(1970,1,1)+$G$6,)</f>
        <v/>
      </c>
      <c r="B406" s="27" t="str">
        <f t="shared" si="1"/>
        <v/>
      </c>
      <c r="C406" s="14" t="str">
        <f>IF($A406&lt;&gt;"",MINIFS(Merchant!$A:$A,Merchant!$B:$B,$G$2),)</f>
        <v/>
      </c>
      <c r="D406" s="14" t="str">
        <f t="shared" si="2"/>
        <v/>
      </c>
      <c r="E406" s="14" t="str">
        <f t="shared" si="3"/>
        <v/>
      </c>
      <c r="F406" s="7" t="str">
        <f>IF($A406&lt;&gt;"",MAXIFS(Token!$C:$C,Token!$A:$A,$D406),)</f>
        <v/>
      </c>
    </row>
    <row r="407">
      <c r="A407" s="39" t="str">
        <f>IF(AND($L407*1&gt;=$G$3,$L407*1&lt;=$G$4,$I407*$J407&gt;0,OR($I407&lt;&gt;$I408,$L407-$L408&gt;25),IF(ABS($I407)&gt;10,$I407/POW(10,$J407),$J407/POW(10,$I407))*MAXIFS(Token!$C:$C,Token!$A:$A,$K407)&gt;0.01),$L407/86400+DATE(1970,1,1)+$G$6,)</f>
        <v/>
      </c>
      <c r="B407" s="27" t="str">
        <f t="shared" si="1"/>
        <v/>
      </c>
      <c r="C407" s="14" t="str">
        <f>IF($A407&lt;&gt;"",MINIFS(Merchant!$A:$A,Merchant!$B:$B,$G$2),)</f>
        <v/>
      </c>
      <c r="D407" s="14" t="str">
        <f t="shared" si="2"/>
        <v/>
      </c>
      <c r="E407" s="14" t="str">
        <f t="shared" si="3"/>
        <v/>
      </c>
      <c r="F407" s="7" t="str">
        <f>IF($A407&lt;&gt;"",MAXIFS(Token!$C:$C,Token!$A:$A,$D407),)</f>
        <v/>
      </c>
    </row>
    <row r="408">
      <c r="A408" s="39" t="str">
        <f>IF(AND($L408*1&gt;=$G$3,$L408*1&lt;=$G$4,$I408*$J408&gt;0,OR($I408&lt;&gt;$I409,$L408-$L409&gt;25),IF(ABS($I408)&gt;10,$I408/POW(10,$J408),$J408/POW(10,$I408))*MAXIFS(Token!$C:$C,Token!$A:$A,$K408)&gt;0.01),$L408/86400+DATE(1970,1,1)+$G$6,)</f>
        <v/>
      </c>
      <c r="B408" s="27" t="str">
        <f t="shared" si="1"/>
        <v/>
      </c>
      <c r="C408" s="14" t="str">
        <f>IF($A408&lt;&gt;"",MINIFS(Merchant!$A:$A,Merchant!$B:$B,$G$2),)</f>
        <v/>
      </c>
      <c r="D408" s="14" t="str">
        <f t="shared" si="2"/>
        <v/>
      </c>
      <c r="E408" s="14" t="str">
        <f t="shared" si="3"/>
        <v/>
      </c>
      <c r="F408" s="7" t="str">
        <f>IF($A408&lt;&gt;"",MAXIFS(Token!$C:$C,Token!$A:$A,$D408),)</f>
        <v/>
      </c>
    </row>
    <row r="409">
      <c r="A409" s="39" t="str">
        <f>IF(AND($L409*1&gt;=$G$3,$L409*1&lt;=$G$4,$I409*$J409&gt;0,OR($I409&lt;&gt;$I410,$L409-$L410&gt;25),IF(ABS($I409)&gt;10,$I409/POW(10,$J409),$J409/POW(10,$I409))*MAXIFS(Token!$C:$C,Token!$A:$A,$K409)&gt;0.01),$L409/86400+DATE(1970,1,1)+$G$6,)</f>
        <v/>
      </c>
      <c r="B409" s="27" t="str">
        <f t="shared" si="1"/>
        <v/>
      </c>
      <c r="C409" s="14" t="str">
        <f>IF($A409&lt;&gt;"",MINIFS(Merchant!$A:$A,Merchant!$B:$B,$G$2),)</f>
        <v/>
      </c>
      <c r="D409" s="14" t="str">
        <f t="shared" si="2"/>
        <v/>
      </c>
      <c r="E409" s="14" t="str">
        <f t="shared" si="3"/>
        <v/>
      </c>
      <c r="F409" s="7" t="str">
        <f>IF($A409&lt;&gt;"",MAXIFS(Token!$C:$C,Token!$A:$A,$D409),)</f>
        <v/>
      </c>
    </row>
    <row r="410">
      <c r="A410" s="39" t="str">
        <f>IF(AND($L410*1&gt;=$G$3,$L410*1&lt;=$G$4,$I410*$J410&gt;0,OR($I410&lt;&gt;$I411,$L410-$L411&gt;25),IF(ABS($I410)&gt;10,$I410/POW(10,$J410),$J410/POW(10,$I410))*MAXIFS(Token!$C:$C,Token!$A:$A,$K410)&gt;0.01),$L410/86400+DATE(1970,1,1)+$G$6,)</f>
        <v/>
      </c>
      <c r="B410" s="27" t="str">
        <f t="shared" si="1"/>
        <v/>
      </c>
      <c r="C410" s="14" t="str">
        <f>IF($A410&lt;&gt;"",MINIFS(Merchant!$A:$A,Merchant!$B:$B,$G$2),)</f>
        <v/>
      </c>
      <c r="D410" s="14" t="str">
        <f t="shared" si="2"/>
        <v/>
      </c>
      <c r="E410" s="14" t="str">
        <f t="shared" si="3"/>
        <v/>
      </c>
      <c r="F410" s="7" t="str">
        <f>IF($A410&lt;&gt;"",MAXIFS(Token!$C:$C,Token!$A:$A,$D410),)</f>
        <v/>
      </c>
    </row>
    <row r="411">
      <c r="A411" s="39" t="str">
        <f>IF(AND($L411*1&gt;=$G$3,$L411*1&lt;=$G$4,$I411*$J411&gt;0,OR($I411&lt;&gt;$I412,$L411-$L412&gt;25),IF(ABS($I411)&gt;10,$I411/POW(10,$J411),$J411/POW(10,$I411))*MAXIFS(Token!$C:$C,Token!$A:$A,$K411)&gt;0.01),$L411/86400+DATE(1970,1,1)+$G$6,)</f>
        <v/>
      </c>
      <c r="B411" s="27" t="str">
        <f t="shared" si="1"/>
        <v/>
      </c>
      <c r="C411" s="14" t="str">
        <f>IF($A411&lt;&gt;"",MINIFS(Merchant!$A:$A,Merchant!$B:$B,$G$2),)</f>
        <v/>
      </c>
      <c r="D411" s="14" t="str">
        <f t="shared" si="2"/>
        <v/>
      </c>
      <c r="E411" s="14" t="str">
        <f t="shared" si="3"/>
        <v/>
      </c>
      <c r="F411" s="7" t="str">
        <f>IF($A411&lt;&gt;"",MAXIFS(Token!$C:$C,Token!$A:$A,$D411),)</f>
        <v/>
      </c>
    </row>
    <row r="412">
      <c r="A412" s="39" t="str">
        <f>IF(AND($L412*1&gt;=$G$3,$L412*1&lt;=$G$4,$I412*$J412&gt;0,OR($I412&lt;&gt;$I413,$L412-$L413&gt;25),IF(ABS($I412)&gt;10,$I412/POW(10,$J412),$J412/POW(10,$I412))*MAXIFS(Token!$C:$C,Token!$A:$A,$K412)&gt;0.01),$L412/86400+DATE(1970,1,1)+$G$6,)</f>
        <v/>
      </c>
      <c r="B412" s="27" t="str">
        <f t="shared" si="1"/>
        <v/>
      </c>
      <c r="C412" s="14" t="str">
        <f>IF($A412&lt;&gt;"",MINIFS(Merchant!$A:$A,Merchant!$B:$B,$G$2),)</f>
        <v/>
      </c>
      <c r="D412" s="14" t="str">
        <f t="shared" si="2"/>
        <v/>
      </c>
      <c r="E412" s="14" t="str">
        <f t="shared" si="3"/>
        <v/>
      </c>
      <c r="F412" s="7" t="str">
        <f>IF($A412&lt;&gt;"",MAXIFS(Token!$C:$C,Token!$A:$A,$D412),)</f>
        <v/>
      </c>
    </row>
    <row r="413">
      <c r="A413" s="39" t="str">
        <f>IF(AND($L413*1&gt;=$G$3,$L413*1&lt;=$G$4,$I413*$J413&gt;0,OR($I413&lt;&gt;$I414,$L413-$L414&gt;25),IF(ABS($I413)&gt;10,$I413/POW(10,$J413),$J413/POW(10,$I413))*MAXIFS(Token!$C:$C,Token!$A:$A,$K413)&gt;0.01),$L413/86400+DATE(1970,1,1)+$G$6,)</f>
        <v/>
      </c>
      <c r="B413" s="27" t="str">
        <f t="shared" si="1"/>
        <v/>
      </c>
      <c r="C413" s="14" t="str">
        <f>IF($A413&lt;&gt;"",MINIFS(Merchant!$A:$A,Merchant!$B:$B,$G$2),)</f>
        <v/>
      </c>
      <c r="D413" s="14" t="str">
        <f t="shared" si="2"/>
        <v/>
      </c>
      <c r="E413" s="14" t="str">
        <f t="shared" si="3"/>
        <v/>
      </c>
      <c r="F413" s="7" t="str">
        <f>IF($A413&lt;&gt;"",MAXIFS(Token!$C:$C,Token!$A:$A,$D413),)</f>
        <v/>
      </c>
    </row>
    <row r="414">
      <c r="A414" s="39" t="str">
        <f>IF(AND($L414*1&gt;=$G$3,$L414*1&lt;=$G$4,$I414*$J414&gt;0,OR($I414&lt;&gt;$I415,$L414-$L415&gt;25),IF(ABS($I414)&gt;10,$I414/POW(10,$J414),$J414/POW(10,$I414))*MAXIFS(Token!$C:$C,Token!$A:$A,$K414)&gt;0.01),$L414/86400+DATE(1970,1,1)+$G$6,)</f>
        <v/>
      </c>
      <c r="B414" s="27" t="str">
        <f t="shared" si="1"/>
        <v/>
      </c>
      <c r="C414" s="14" t="str">
        <f>IF($A414&lt;&gt;"",MINIFS(Merchant!$A:$A,Merchant!$B:$B,$G$2),)</f>
        <v/>
      </c>
      <c r="D414" s="14" t="str">
        <f t="shared" si="2"/>
        <v/>
      </c>
      <c r="E414" s="14" t="str">
        <f t="shared" si="3"/>
        <v/>
      </c>
      <c r="F414" s="7" t="str">
        <f>IF($A414&lt;&gt;"",MAXIFS(Token!$C:$C,Token!$A:$A,$D414),)</f>
        <v/>
      </c>
    </row>
    <row r="415">
      <c r="A415" s="39" t="str">
        <f>IF(AND($L415*1&gt;=$G$3,$L415*1&lt;=$G$4,$I415*$J415&gt;0,OR($I415&lt;&gt;$I416,$L415-$L416&gt;25),IF(ABS($I415)&gt;10,$I415/POW(10,$J415),$J415/POW(10,$I415))*MAXIFS(Token!$C:$C,Token!$A:$A,$K415)&gt;0.01),$L415/86400+DATE(1970,1,1)+$G$6,)</f>
        <v/>
      </c>
      <c r="B415" s="27" t="str">
        <f t="shared" si="1"/>
        <v/>
      </c>
      <c r="C415" s="14" t="str">
        <f>IF($A415&lt;&gt;"",MINIFS(Merchant!$A:$A,Merchant!$B:$B,$G$2),)</f>
        <v/>
      </c>
      <c r="D415" s="14" t="str">
        <f t="shared" si="2"/>
        <v/>
      </c>
      <c r="E415" s="14" t="str">
        <f t="shared" si="3"/>
        <v/>
      </c>
      <c r="F415" s="7" t="str">
        <f>IF($A415&lt;&gt;"",MAXIFS(Token!$C:$C,Token!$A:$A,$D415),)</f>
        <v/>
      </c>
    </row>
    <row r="416">
      <c r="A416" s="39" t="str">
        <f>IF(AND($L416*1&gt;=$G$3,$L416*1&lt;=$G$4,$I416*$J416&gt;0,OR($I416&lt;&gt;$I417,$L416-$L417&gt;25),IF(ABS($I416)&gt;10,$I416/POW(10,$J416),$J416/POW(10,$I416))*MAXIFS(Token!$C:$C,Token!$A:$A,$K416)&gt;0.01),$L416/86400+DATE(1970,1,1)+$G$6,)</f>
        <v/>
      </c>
      <c r="B416" s="27" t="str">
        <f t="shared" si="1"/>
        <v/>
      </c>
      <c r="C416" s="14" t="str">
        <f>IF($A416&lt;&gt;"",MINIFS(Merchant!$A:$A,Merchant!$B:$B,$G$2),)</f>
        <v/>
      </c>
      <c r="D416" s="14" t="str">
        <f t="shared" si="2"/>
        <v/>
      </c>
      <c r="E416" s="14" t="str">
        <f t="shared" si="3"/>
        <v/>
      </c>
      <c r="F416" s="7" t="str">
        <f>IF($A416&lt;&gt;"",MAXIFS(Token!$C:$C,Token!$A:$A,$D416),)</f>
        <v/>
      </c>
    </row>
    <row r="417">
      <c r="A417" s="39" t="str">
        <f>IF(AND($L417*1&gt;=$G$3,$L417*1&lt;=$G$4,$I417*$J417&gt;0,OR($I417&lt;&gt;$I418,$L417-$L418&gt;25),IF(ABS($I417)&gt;10,$I417/POW(10,$J417),$J417/POW(10,$I417))*MAXIFS(Token!$C:$C,Token!$A:$A,$K417)&gt;0.01),$L417/86400+DATE(1970,1,1)+$G$6,)</f>
        <v/>
      </c>
      <c r="B417" s="27" t="str">
        <f t="shared" si="1"/>
        <v/>
      </c>
      <c r="C417" s="14" t="str">
        <f>IF($A417&lt;&gt;"",MINIFS(Merchant!$A:$A,Merchant!$B:$B,$G$2),)</f>
        <v/>
      </c>
      <c r="D417" s="14" t="str">
        <f t="shared" si="2"/>
        <v/>
      </c>
      <c r="E417" s="14" t="str">
        <f t="shared" si="3"/>
        <v/>
      </c>
      <c r="F417" s="7" t="str">
        <f>IF($A417&lt;&gt;"",MAXIFS(Token!$C:$C,Token!$A:$A,$D417),)</f>
        <v/>
      </c>
    </row>
    <row r="418">
      <c r="A418" s="39" t="str">
        <f>IF(AND($L418*1&gt;=$G$3,$L418*1&lt;=$G$4,$I418*$J418&gt;0,OR($I418&lt;&gt;$I419,$L418-$L419&gt;25),IF(ABS($I418)&gt;10,$I418/POW(10,$J418),$J418/POW(10,$I418))*MAXIFS(Token!$C:$C,Token!$A:$A,$K418)&gt;0.01),$L418/86400+DATE(1970,1,1)+$G$6,)</f>
        <v/>
      </c>
      <c r="B418" s="27" t="str">
        <f t="shared" si="1"/>
        <v/>
      </c>
      <c r="C418" s="14" t="str">
        <f>IF($A418&lt;&gt;"",MINIFS(Merchant!$A:$A,Merchant!$B:$B,$G$2),)</f>
        <v/>
      </c>
      <c r="D418" s="14" t="str">
        <f t="shared" si="2"/>
        <v/>
      </c>
      <c r="E418" s="14" t="str">
        <f t="shared" si="3"/>
        <v/>
      </c>
      <c r="F418" s="7" t="str">
        <f>IF($A418&lt;&gt;"",MAXIFS(Token!$C:$C,Token!$A:$A,$D418),)</f>
        <v/>
      </c>
    </row>
    <row r="419">
      <c r="A419" s="39" t="str">
        <f>IF(AND($L419*1&gt;=$G$3,$L419*1&lt;=$G$4,$I419*$J419&gt;0,OR($I419&lt;&gt;$I420,$L419-$L420&gt;25),IF(ABS($I419)&gt;10,$I419/POW(10,$J419),$J419/POW(10,$I419))*MAXIFS(Token!$C:$C,Token!$A:$A,$K419)&gt;0.01),$L419/86400+DATE(1970,1,1)+$G$6,)</f>
        <v/>
      </c>
      <c r="B419" s="27" t="str">
        <f t="shared" si="1"/>
        <v/>
      </c>
      <c r="C419" s="14" t="str">
        <f>IF($A419&lt;&gt;"",MINIFS(Merchant!$A:$A,Merchant!$B:$B,$G$2),)</f>
        <v/>
      </c>
      <c r="D419" s="14" t="str">
        <f t="shared" si="2"/>
        <v/>
      </c>
      <c r="E419" s="14" t="str">
        <f t="shared" si="3"/>
        <v/>
      </c>
      <c r="F419" s="7" t="str">
        <f>IF($A419&lt;&gt;"",MAXIFS(Token!$C:$C,Token!$A:$A,$D419),)</f>
        <v/>
      </c>
    </row>
    <row r="420">
      <c r="A420" s="39" t="str">
        <f>IF(AND($L420*1&gt;=$G$3,$L420*1&lt;=$G$4,$I420*$J420&gt;0,OR($I420&lt;&gt;$I421,$L420-$L421&gt;25),IF(ABS($I420)&gt;10,$I420/POW(10,$J420),$J420/POW(10,$I420))*MAXIFS(Token!$C:$C,Token!$A:$A,$K420)&gt;0.01),$L420/86400+DATE(1970,1,1)+$G$6,)</f>
        <v/>
      </c>
      <c r="B420" s="27" t="str">
        <f t="shared" si="1"/>
        <v/>
      </c>
      <c r="C420" s="14" t="str">
        <f>IF($A420&lt;&gt;"",MINIFS(Merchant!$A:$A,Merchant!$B:$B,$G$2),)</f>
        <v/>
      </c>
      <c r="D420" s="14" t="str">
        <f t="shared" si="2"/>
        <v/>
      </c>
      <c r="E420" s="14" t="str">
        <f t="shared" si="3"/>
        <v/>
      </c>
      <c r="F420" s="7" t="str">
        <f>IF($A420&lt;&gt;"",MAXIFS(Token!$C:$C,Token!$A:$A,$D420),)</f>
        <v/>
      </c>
    </row>
    <row r="421">
      <c r="A421" s="39" t="str">
        <f>IF(AND($L421*1&gt;=$G$3,$L421*1&lt;=$G$4,$I421*$J421&gt;0,OR($I421&lt;&gt;$I422,$L421-$L422&gt;25),IF(ABS($I421)&gt;10,$I421/POW(10,$J421),$J421/POW(10,$I421))*MAXIFS(Token!$C:$C,Token!$A:$A,$K421)&gt;0.01),$L421/86400+DATE(1970,1,1)+$G$6,)</f>
        <v/>
      </c>
      <c r="B421" s="27" t="str">
        <f t="shared" si="1"/>
        <v/>
      </c>
      <c r="C421" s="14" t="str">
        <f>IF($A421&lt;&gt;"",MINIFS(Merchant!$A:$A,Merchant!$B:$B,$G$2),)</f>
        <v/>
      </c>
      <c r="D421" s="14" t="str">
        <f t="shared" si="2"/>
        <v/>
      </c>
      <c r="E421" s="14" t="str">
        <f t="shared" si="3"/>
        <v/>
      </c>
      <c r="F421" s="7" t="str">
        <f>IF($A421&lt;&gt;"",MAXIFS(Token!$C:$C,Token!$A:$A,$D421),)</f>
        <v/>
      </c>
    </row>
    <row r="422">
      <c r="A422" s="39" t="str">
        <f>IF(AND($L422*1&gt;=$G$3,$L422*1&lt;=$G$4,$I422*$J422&gt;0,OR($I422&lt;&gt;$I423,$L422-$L423&gt;25),IF(ABS($I422)&gt;10,$I422/POW(10,$J422),$J422/POW(10,$I422))*MAXIFS(Token!$C:$C,Token!$A:$A,$K422)&gt;0.01),$L422/86400+DATE(1970,1,1)+$G$6,)</f>
        <v/>
      </c>
      <c r="B422" s="27" t="str">
        <f t="shared" si="1"/>
        <v/>
      </c>
      <c r="C422" s="14" t="str">
        <f>IF($A422&lt;&gt;"",MINIFS(Merchant!$A:$A,Merchant!$B:$B,$G$2),)</f>
        <v/>
      </c>
      <c r="D422" s="14" t="str">
        <f t="shared" si="2"/>
        <v/>
      </c>
      <c r="E422" s="14" t="str">
        <f t="shared" si="3"/>
        <v/>
      </c>
      <c r="F422" s="7" t="str">
        <f>IF($A422&lt;&gt;"",MAXIFS(Token!$C:$C,Token!$A:$A,$D422),)</f>
        <v/>
      </c>
    </row>
    <row r="423">
      <c r="A423" s="39" t="str">
        <f>IF(AND($L423*1&gt;=$G$3,$L423*1&lt;=$G$4,$I423*$J423&gt;0,OR($I423&lt;&gt;$I424,$L423-$L424&gt;25),IF(ABS($I423)&gt;10,$I423/POW(10,$J423),$J423/POW(10,$I423))*MAXIFS(Token!$C:$C,Token!$A:$A,$K423)&gt;0.01),$L423/86400+DATE(1970,1,1)+$G$6,)</f>
        <v/>
      </c>
      <c r="B423" s="27" t="str">
        <f t="shared" si="1"/>
        <v/>
      </c>
      <c r="C423" s="14" t="str">
        <f>IF($A423&lt;&gt;"",MINIFS(Merchant!$A:$A,Merchant!$B:$B,$G$2),)</f>
        <v/>
      </c>
      <c r="D423" s="14" t="str">
        <f t="shared" si="2"/>
        <v/>
      </c>
      <c r="E423" s="14" t="str">
        <f t="shared" si="3"/>
        <v/>
      </c>
      <c r="F423" s="7" t="str">
        <f>IF($A423&lt;&gt;"",MAXIFS(Token!$C:$C,Token!$A:$A,$D423),)</f>
        <v/>
      </c>
    </row>
    <row r="424">
      <c r="A424" s="39" t="str">
        <f>IF(AND($L424*1&gt;=$G$3,$L424*1&lt;=$G$4,$I424*$J424&gt;0,OR($I424&lt;&gt;$I425,$L424-$L425&gt;25),IF(ABS($I424)&gt;10,$I424/POW(10,$J424),$J424/POW(10,$I424))*MAXIFS(Token!$C:$C,Token!$A:$A,$K424)&gt;0.01),$L424/86400+DATE(1970,1,1)+$G$6,)</f>
        <v/>
      </c>
      <c r="B424" s="27" t="str">
        <f t="shared" si="1"/>
        <v/>
      </c>
      <c r="C424" s="14" t="str">
        <f>IF($A424&lt;&gt;"",MINIFS(Merchant!$A:$A,Merchant!$B:$B,$G$2),)</f>
        <v/>
      </c>
      <c r="D424" s="14" t="str">
        <f t="shared" si="2"/>
        <v/>
      </c>
      <c r="E424" s="14" t="str">
        <f t="shared" si="3"/>
        <v/>
      </c>
      <c r="F424" s="7" t="str">
        <f>IF($A424&lt;&gt;"",MAXIFS(Token!$C:$C,Token!$A:$A,$D424),)</f>
        <v/>
      </c>
    </row>
    <row r="425">
      <c r="A425" s="39" t="str">
        <f>IF(AND($L425*1&gt;=$G$3,$L425*1&lt;=$G$4,$I425*$J425&gt;0,OR($I425&lt;&gt;$I426,$L425-$L426&gt;25),IF(ABS($I425)&gt;10,$I425/POW(10,$J425),$J425/POW(10,$I425))*MAXIFS(Token!$C:$C,Token!$A:$A,$K425)&gt;0.01),$L425/86400+DATE(1970,1,1)+$G$6,)</f>
        <v/>
      </c>
      <c r="B425" s="27" t="str">
        <f t="shared" si="1"/>
        <v/>
      </c>
      <c r="C425" s="14" t="str">
        <f>IF($A425&lt;&gt;"",MINIFS(Merchant!$A:$A,Merchant!$B:$B,$G$2),)</f>
        <v/>
      </c>
      <c r="D425" s="14" t="str">
        <f t="shared" si="2"/>
        <v/>
      </c>
      <c r="E425" s="14" t="str">
        <f t="shared" si="3"/>
        <v/>
      </c>
      <c r="F425" s="7" t="str">
        <f>IF($A425&lt;&gt;"",MAXIFS(Token!$C:$C,Token!$A:$A,$D425),)</f>
        <v/>
      </c>
    </row>
    <row r="426">
      <c r="A426" s="39" t="str">
        <f>IF(AND($L426*1&gt;=$G$3,$L426*1&lt;=$G$4,$I426*$J426&gt;0,OR($I426&lt;&gt;$I427,$L426-$L427&gt;25),IF(ABS($I426)&gt;10,$I426/POW(10,$J426),$J426/POW(10,$I426))*MAXIFS(Token!$C:$C,Token!$A:$A,$K426)&gt;0.01),$L426/86400+DATE(1970,1,1)+$G$6,)</f>
        <v/>
      </c>
      <c r="B426" s="27" t="str">
        <f t="shared" si="1"/>
        <v/>
      </c>
      <c r="C426" s="14" t="str">
        <f>IF($A426&lt;&gt;"",MINIFS(Merchant!$A:$A,Merchant!$B:$B,$G$2),)</f>
        <v/>
      </c>
      <c r="D426" s="14" t="str">
        <f t="shared" si="2"/>
        <v/>
      </c>
      <c r="E426" s="14" t="str">
        <f t="shared" si="3"/>
        <v/>
      </c>
      <c r="F426" s="7" t="str">
        <f>IF($A426&lt;&gt;"",MAXIFS(Token!$C:$C,Token!$A:$A,$D426),)</f>
        <v/>
      </c>
    </row>
    <row r="427">
      <c r="A427" s="39" t="str">
        <f>IF(AND($L427*1&gt;=$G$3,$L427*1&lt;=$G$4,$I427*$J427&gt;0,OR($I427&lt;&gt;$I428,$L427-$L428&gt;25),IF(ABS($I427)&gt;10,$I427/POW(10,$J427),$J427/POW(10,$I427))*MAXIFS(Token!$C:$C,Token!$A:$A,$K427)&gt;0.01),$L427/86400+DATE(1970,1,1)+$G$6,)</f>
        <v/>
      </c>
      <c r="B427" s="27" t="str">
        <f t="shared" si="1"/>
        <v/>
      </c>
      <c r="C427" s="14" t="str">
        <f>IF($A427&lt;&gt;"",MINIFS(Merchant!$A:$A,Merchant!$B:$B,$G$2),)</f>
        <v/>
      </c>
      <c r="D427" s="14" t="str">
        <f t="shared" si="2"/>
        <v/>
      </c>
      <c r="E427" s="14" t="str">
        <f t="shared" si="3"/>
        <v/>
      </c>
      <c r="F427" s="7" t="str">
        <f>IF($A427&lt;&gt;"",MAXIFS(Token!$C:$C,Token!$A:$A,$D427),)</f>
        <v/>
      </c>
    </row>
    <row r="428">
      <c r="A428" s="39" t="str">
        <f>IF(AND($L428*1&gt;=$G$3,$L428*1&lt;=$G$4,$I428*$J428&gt;0,OR($I428&lt;&gt;$I429,$L428-$L429&gt;25),IF(ABS($I428)&gt;10,$I428/POW(10,$J428),$J428/POW(10,$I428))*MAXIFS(Token!$C:$C,Token!$A:$A,$K428)&gt;0.01),$L428/86400+DATE(1970,1,1)+$G$6,)</f>
        <v/>
      </c>
      <c r="B428" s="27" t="str">
        <f t="shared" si="1"/>
        <v/>
      </c>
      <c r="C428" s="14" t="str">
        <f>IF($A428&lt;&gt;"",MINIFS(Merchant!$A:$A,Merchant!$B:$B,$G$2),)</f>
        <v/>
      </c>
      <c r="D428" s="14" t="str">
        <f t="shared" si="2"/>
        <v/>
      </c>
      <c r="E428" s="14" t="str">
        <f t="shared" si="3"/>
        <v/>
      </c>
      <c r="F428" s="7" t="str">
        <f>IF($A428&lt;&gt;"",MAXIFS(Token!$C:$C,Token!$A:$A,$D428),)</f>
        <v/>
      </c>
    </row>
    <row r="429">
      <c r="A429" s="39" t="str">
        <f>IF(AND($L429*1&gt;=$G$3,$L429*1&lt;=$G$4,$I429*$J429&gt;0,OR($I429&lt;&gt;$I430,$L429-$L430&gt;25),IF(ABS($I429)&gt;10,$I429/POW(10,$J429),$J429/POW(10,$I429))*MAXIFS(Token!$C:$C,Token!$A:$A,$K429)&gt;0.01),$L429/86400+DATE(1970,1,1)+$G$6,)</f>
        <v/>
      </c>
      <c r="B429" s="27" t="str">
        <f t="shared" si="1"/>
        <v/>
      </c>
      <c r="C429" s="14" t="str">
        <f>IF($A429&lt;&gt;"",MINIFS(Merchant!$A:$A,Merchant!$B:$B,$G$2),)</f>
        <v/>
      </c>
      <c r="D429" s="14" t="str">
        <f t="shared" si="2"/>
        <v/>
      </c>
      <c r="E429" s="14" t="str">
        <f t="shared" si="3"/>
        <v/>
      </c>
      <c r="F429" s="7" t="str">
        <f>IF($A429&lt;&gt;"",MAXIFS(Token!$C:$C,Token!$A:$A,$D429),)</f>
        <v/>
      </c>
    </row>
    <row r="430">
      <c r="A430" s="39" t="str">
        <f>IF(AND($L430*1&gt;=$G$3,$L430*1&lt;=$G$4,$I430*$J430&gt;0,OR($I430&lt;&gt;$I431,$L430-$L431&gt;25),IF(ABS($I430)&gt;10,$I430/POW(10,$J430),$J430/POW(10,$I430))*MAXIFS(Token!$C:$C,Token!$A:$A,$K430)&gt;0.01),$L430/86400+DATE(1970,1,1)+$G$6,)</f>
        <v/>
      </c>
      <c r="B430" s="27" t="str">
        <f t="shared" si="1"/>
        <v/>
      </c>
      <c r="C430" s="14" t="str">
        <f>IF($A430&lt;&gt;"",MINIFS(Merchant!$A:$A,Merchant!$B:$B,$G$2),)</f>
        <v/>
      </c>
      <c r="D430" s="14" t="str">
        <f t="shared" si="2"/>
        <v/>
      </c>
      <c r="E430" s="14" t="str">
        <f t="shared" si="3"/>
        <v/>
      </c>
      <c r="F430" s="7" t="str">
        <f>IF($A430&lt;&gt;"",MAXIFS(Token!$C:$C,Token!$A:$A,$D430),)</f>
        <v/>
      </c>
    </row>
    <row r="431">
      <c r="A431" s="39" t="str">
        <f>IF(AND($L431*1&gt;=$G$3,$L431*1&lt;=$G$4,$I431*$J431&gt;0,OR($I431&lt;&gt;$I432,$L431-$L432&gt;25),IF(ABS($I431)&gt;10,$I431/POW(10,$J431),$J431/POW(10,$I431))*MAXIFS(Token!$C:$C,Token!$A:$A,$K431)&gt;0.01),$L431/86400+DATE(1970,1,1)+$G$6,)</f>
        <v/>
      </c>
      <c r="B431" s="27" t="str">
        <f t="shared" si="1"/>
        <v/>
      </c>
      <c r="C431" s="14" t="str">
        <f>IF($A431&lt;&gt;"",MINIFS(Merchant!$A:$A,Merchant!$B:$B,$G$2),)</f>
        <v/>
      </c>
      <c r="D431" s="14" t="str">
        <f t="shared" si="2"/>
        <v/>
      </c>
      <c r="E431" s="14" t="str">
        <f t="shared" si="3"/>
        <v/>
      </c>
      <c r="F431" s="7" t="str">
        <f>IF($A431&lt;&gt;"",MAXIFS(Token!$C:$C,Token!$A:$A,$D431),)</f>
        <v/>
      </c>
    </row>
    <row r="432">
      <c r="A432" s="39" t="str">
        <f>IF(AND($L432*1&gt;=$G$3,$L432*1&lt;=$G$4,$I432*$J432&gt;0,OR($I432&lt;&gt;$I433,$L432-$L433&gt;25),IF(ABS($I432)&gt;10,$I432/POW(10,$J432),$J432/POW(10,$I432))*MAXIFS(Token!$C:$C,Token!$A:$A,$K432)&gt;0.01),$L432/86400+DATE(1970,1,1)+$G$6,)</f>
        <v/>
      </c>
      <c r="B432" s="27" t="str">
        <f t="shared" si="1"/>
        <v/>
      </c>
      <c r="C432" s="14" t="str">
        <f>IF($A432&lt;&gt;"",MINIFS(Merchant!$A:$A,Merchant!$B:$B,$G$2),)</f>
        <v/>
      </c>
      <c r="D432" s="14" t="str">
        <f t="shared" si="2"/>
        <v/>
      </c>
      <c r="E432" s="14" t="str">
        <f t="shared" si="3"/>
        <v/>
      </c>
      <c r="F432" s="7" t="str">
        <f>IF($A432&lt;&gt;"",MAXIFS(Token!$C:$C,Token!$A:$A,$D432),)</f>
        <v/>
      </c>
    </row>
    <row r="433">
      <c r="A433" s="39" t="str">
        <f>IF(AND($L433*1&gt;=$G$3,$L433*1&lt;=$G$4,$I433*$J433&gt;0,OR($I433&lt;&gt;$I434,$L433-$L434&gt;25),IF(ABS($I433)&gt;10,$I433/POW(10,$J433),$J433/POW(10,$I433))*MAXIFS(Token!$C:$C,Token!$A:$A,$K433)&gt;0.01),$L433/86400+DATE(1970,1,1)+$G$6,)</f>
        <v/>
      </c>
      <c r="B433" s="27" t="str">
        <f t="shared" si="1"/>
        <v/>
      </c>
      <c r="C433" s="14" t="str">
        <f>IF($A433&lt;&gt;"",MINIFS(Merchant!$A:$A,Merchant!$B:$B,$G$2),)</f>
        <v/>
      </c>
      <c r="D433" s="14" t="str">
        <f t="shared" si="2"/>
        <v/>
      </c>
      <c r="E433" s="14" t="str">
        <f t="shared" si="3"/>
        <v/>
      </c>
      <c r="F433" s="7" t="str">
        <f>IF($A433&lt;&gt;"",MAXIFS(Token!$C:$C,Token!$A:$A,$D433),)</f>
        <v/>
      </c>
    </row>
    <row r="434">
      <c r="A434" s="39" t="str">
        <f>IF(AND($L434*1&gt;=$G$3,$L434*1&lt;=$G$4,$I434*$J434&gt;0,OR($I434&lt;&gt;$I435,$L434-$L435&gt;25),IF(ABS($I434)&gt;10,$I434/POW(10,$J434),$J434/POW(10,$I434))*MAXIFS(Token!$C:$C,Token!$A:$A,$K434)&gt;0.01),$L434/86400+DATE(1970,1,1)+$G$6,)</f>
        <v/>
      </c>
      <c r="B434" s="27" t="str">
        <f t="shared" si="1"/>
        <v/>
      </c>
      <c r="C434" s="14" t="str">
        <f>IF($A434&lt;&gt;"",MINIFS(Merchant!$A:$A,Merchant!$B:$B,$G$2),)</f>
        <v/>
      </c>
      <c r="D434" s="14" t="str">
        <f t="shared" si="2"/>
        <v/>
      </c>
      <c r="E434" s="14" t="str">
        <f t="shared" si="3"/>
        <v/>
      </c>
      <c r="F434" s="7" t="str">
        <f>IF($A434&lt;&gt;"",MAXIFS(Token!$C:$C,Token!$A:$A,$D434),)</f>
        <v/>
      </c>
    </row>
    <row r="435">
      <c r="A435" s="39" t="str">
        <f>IF(AND($L435*1&gt;=$G$3,$L435*1&lt;=$G$4,$I435*$J435&gt;0,OR($I435&lt;&gt;$I436,$L435-$L436&gt;25),IF(ABS($I435)&gt;10,$I435/POW(10,$J435),$J435/POW(10,$I435))*MAXIFS(Token!$C:$C,Token!$A:$A,$K435)&gt;0.01),$L435/86400+DATE(1970,1,1)+$G$6,)</f>
        <v/>
      </c>
      <c r="B435" s="27" t="str">
        <f t="shared" si="1"/>
        <v/>
      </c>
      <c r="C435" s="14" t="str">
        <f>IF($A435&lt;&gt;"",MINIFS(Merchant!$A:$A,Merchant!$B:$B,$G$2),)</f>
        <v/>
      </c>
      <c r="D435" s="14" t="str">
        <f t="shared" si="2"/>
        <v/>
      </c>
      <c r="E435" s="14" t="str">
        <f t="shared" si="3"/>
        <v/>
      </c>
      <c r="F435" s="7" t="str">
        <f>IF($A435&lt;&gt;"",MAXIFS(Token!$C:$C,Token!$A:$A,$D435),)</f>
        <v/>
      </c>
    </row>
    <row r="436">
      <c r="A436" s="39" t="str">
        <f>IF(AND($L436*1&gt;=$G$3,$L436*1&lt;=$G$4,$I436*$J436&gt;0,OR($I436&lt;&gt;$I437,$L436-$L437&gt;25),IF(ABS($I436)&gt;10,$I436/POW(10,$J436),$J436/POW(10,$I436))*MAXIFS(Token!$C:$C,Token!$A:$A,$K436)&gt;0.01),$L436/86400+DATE(1970,1,1)+$G$6,)</f>
        <v/>
      </c>
      <c r="B436" s="27" t="str">
        <f t="shared" si="1"/>
        <v/>
      </c>
      <c r="C436" s="14" t="str">
        <f>IF($A436&lt;&gt;"",MINIFS(Merchant!$A:$A,Merchant!$B:$B,$G$2),)</f>
        <v/>
      </c>
      <c r="D436" s="14" t="str">
        <f t="shared" si="2"/>
        <v/>
      </c>
      <c r="E436" s="14" t="str">
        <f t="shared" si="3"/>
        <v/>
      </c>
      <c r="F436" s="7" t="str">
        <f>IF($A436&lt;&gt;"",MAXIFS(Token!$C:$C,Token!$A:$A,$D436),)</f>
        <v/>
      </c>
    </row>
    <row r="437">
      <c r="A437" s="39" t="str">
        <f>IF(AND($L437*1&gt;=$G$3,$L437*1&lt;=$G$4,$I437*$J437&gt;0,OR($I437&lt;&gt;$I438,$L437-$L438&gt;25),IF(ABS($I437)&gt;10,$I437/POW(10,$J437),$J437/POW(10,$I437))*MAXIFS(Token!$C:$C,Token!$A:$A,$K437)&gt;0.01),$L437/86400+DATE(1970,1,1)+$G$6,)</f>
        <v/>
      </c>
      <c r="B437" s="27" t="str">
        <f t="shared" si="1"/>
        <v/>
      </c>
      <c r="C437" s="14" t="str">
        <f>IF($A437&lt;&gt;"",MINIFS(Merchant!$A:$A,Merchant!$B:$B,$G$2),)</f>
        <v/>
      </c>
      <c r="D437" s="14" t="str">
        <f t="shared" si="2"/>
        <v/>
      </c>
      <c r="E437" s="14" t="str">
        <f t="shared" si="3"/>
        <v/>
      </c>
      <c r="F437" s="7" t="str">
        <f>IF($A437&lt;&gt;"",MAXIFS(Token!$C:$C,Token!$A:$A,$D437),)</f>
        <v/>
      </c>
    </row>
    <row r="438">
      <c r="A438" s="39" t="str">
        <f>IF(AND($L438*1&gt;=$G$3,$L438*1&lt;=$G$4,$I438*$J438&gt;0,OR($I438&lt;&gt;$I439,$L438-$L439&gt;25),IF(ABS($I438)&gt;10,$I438/POW(10,$J438),$J438/POW(10,$I438))*MAXIFS(Token!$C:$C,Token!$A:$A,$K438)&gt;0.01),$L438/86400+DATE(1970,1,1)+$G$6,)</f>
        <v/>
      </c>
      <c r="B438" s="27" t="str">
        <f t="shared" si="1"/>
        <v/>
      </c>
      <c r="C438" s="14" t="str">
        <f>IF($A438&lt;&gt;"",MINIFS(Merchant!$A:$A,Merchant!$B:$B,$G$2),)</f>
        <v/>
      </c>
      <c r="D438" s="14" t="str">
        <f t="shared" si="2"/>
        <v/>
      </c>
      <c r="E438" s="14" t="str">
        <f t="shared" si="3"/>
        <v/>
      </c>
      <c r="F438" s="7" t="str">
        <f>IF($A438&lt;&gt;"",MAXIFS(Token!$C:$C,Token!$A:$A,$D438),)</f>
        <v/>
      </c>
    </row>
    <row r="439">
      <c r="A439" s="39" t="str">
        <f>IF(AND($L439*1&gt;=$G$3,$L439*1&lt;=$G$4,$I439*$J439&gt;0,OR($I439&lt;&gt;$I440,$L439-$L440&gt;25),IF(ABS($I439)&gt;10,$I439/POW(10,$J439),$J439/POW(10,$I439))*MAXIFS(Token!$C:$C,Token!$A:$A,$K439)&gt;0.01),$L439/86400+DATE(1970,1,1)+$G$6,)</f>
        <v/>
      </c>
      <c r="B439" s="27" t="str">
        <f t="shared" si="1"/>
        <v/>
      </c>
      <c r="C439" s="14" t="str">
        <f>IF($A439&lt;&gt;"",MINIFS(Merchant!$A:$A,Merchant!$B:$B,$G$2),)</f>
        <v/>
      </c>
      <c r="D439" s="14" t="str">
        <f t="shared" si="2"/>
        <v/>
      </c>
      <c r="E439" s="14" t="str">
        <f t="shared" si="3"/>
        <v/>
      </c>
      <c r="F439" s="7" t="str">
        <f>IF($A439&lt;&gt;"",MAXIFS(Token!$C:$C,Token!$A:$A,$D439),)</f>
        <v/>
      </c>
    </row>
    <row r="440">
      <c r="A440" s="39" t="str">
        <f>IF(AND($L440*1&gt;=$G$3,$L440*1&lt;=$G$4,$I440*$J440&gt;0,OR($I440&lt;&gt;$I441,$L440-$L441&gt;25),IF(ABS($I440)&gt;10,$I440/POW(10,$J440),$J440/POW(10,$I440))*MAXIFS(Token!$C:$C,Token!$A:$A,$K440)&gt;0.01),$L440/86400+DATE(1970,1,1)+$G$6,)</f>
        <v/>
      </c>
      <c r="B440" s="27" t="str">
        <f t="shared" si="1"/>
        <v/>
      </c>
      <c r="C440" s="14" t="str">
        <f>IF($A440&lt;&gt;"",MINIFS(Merchant!$A:$A,Merchant!$B:$B,$G$2),)</f>
        <v/>
      </c>
      <c r="D440" s="14" t="str">
        <f t="shared" si="2"/>
        <v/>
      </c>
      <c r="E440" s="14" t="str">
        <f t="shared" si="3"/>
        <v/>
      </c>
      <c r="F440" s="7" t="str">
        <f>IF($A440&lt;&gt;"",MAXIFS(Token!$C:$C,Token!$A:$A,$D440),)</f>
        <v/>
      </c>
    </row>
    <row r="441">
      <c r="A441" s="39" t="str">
        <f>IF(AND($L441*1&gt;=$G$3,$L441*1&lt;=$G$4,$I441*$J441&gt;0,OR($I441&lt;&gt;$I442,$L441-$L442&gt;25),IF(ABS($I441)&gt;10,$I441/POW(10,$J441),$J441/POW(10,$I441))*MAXIFS(Token!$C:$C,Token!$A:$A,$K441)&gt;0.01),$L441/86400+DATE(1970,1,1)+$G$6,)</f>
        <v/>
      </c>
      <c r="B441" s="27" t="str">
        <f t="shared" si="1"/>
        <v/>
      </c>
      <c r="C441" s="14" t="str">
        <f>IF($A441&lt;&gt;"",MINIFS(Merchant!$A:$A,Merchant!$B:$B,$G$2),)</f>
        <v/>
      </c>
      <c r="D441" s="14" t="str">
        <f t="shared" si="2"/>
        <v/>
      </c>
      <c r="E441" s="14" t="str">
        <f t="shared" si="3"/>
        <v/>
      </c>
      <c r="F441" s="7" t="str">
        <f>IF($A441&lt;&gt;"",MAXIFS(Token!$C:$C,Token!$A:$A,$D441),)</f>
        <v/>
      </c>
    </row>
    <row r="442">
      <c r="A442" s="39" t="str">
        <f>IF(AND($L442*1&gt;=$G$3,$L442*1&lt;=$G$4,$I442*$J442&gt;0,OR($I442&lt;&gt;$I443,$L442-$L443&gt;25),IF(ABS($I442)&gt;10,$I442/POW(10,$J442),$J442/POW(10,$I442))*MAXIFS(Token!$C:$C,Token!$A:$A,$K442)&gt;0.01),$L442/86400+DATE(1970,1,1)+$G$6,)</f>
        <v/>
      </c>
      <c r="B442" s="27" t="str">
        <f t="shared" si="1"/>
        <v/>
      </c>
      <c r="C442" s="14" t="str">
        <f>IF($A442&lt;&gt;"",MINIFS(Merchant!$A:$A,Merchant!$B:$B,$G$2),)</f>
        <v/>
      </c>
      <c r="D442" s="14" t="str">
        <f t="shared" si="2"/>
        <v/>
      </c>
      <c r="E442" s="14" t="str">
        <f t="shared" si="3"/>
        <v/>
      </c>
      <c r="F442" s="7" t="str">
        <f>IF($A442&lt;&gt;"",MAXIFS(Token!$C:$C,Token!$A:$A,$D442),)</f>
        <v/>
      </c>
    </row>
    <row r="443">
      <c r="A443" s="39" t="str">
        <f>IF(AND($L443*1&gt;=$G$3,$L443*1&lt;=$G$4,$I443*$J443&gt;0,OR($I443&lt;&gt;$I444,$L443-$L444&gt;25),IF(ABS($I443)&gt;10,$I443/POW(10,$J443),$J443/POW(10,$I443))*MAXIFS(Token!$C:$C,Token!$A:$A,$K443)&gt;0.01),$L443/86400+DATE(1970,1,1)+$G$6,)</f>
        <v/>
      </c>
      <c r="B443" s="27" t="str">
        <f t="shared" si="1"/>
        <v/>
      </c>
      <c r="C443" s="14" t="str">
        <f>IF($A443&lt;&gt;"",MINIFS(Merchant!$A:$A,Merchant!$B:$B,$G$2),)</f>
        <v/>
      </c>
      <c r="D443" s="14" t="str">
        <f t="shared" si="2"/>
        <v/>
      </c>
      <c r="E443" s="14" t="str">
        <f t="shared" si="3"/>
        <v/>
      </c>
      <c r="F443" s="7" t="str">
        <f>IF($A443&lt;&gt;"",MAXIFS(Token!$C:$C,Token!$A:$A,$D443),)</f>
        <v/>
      </c>
    </row>
    <row r="444">
      <c r="A444" s="39" t="str">
        <f>IF(AND($L444*1&gt;=$G$3,$L444*1&lt;=$G$4,$I444*$J444&gt;0,OR($I444&lt;&gt;$I445,$L444-$L445&gt;25),IF(ABS($I444)&gt;10,$I444/POW(10,$J444),$J444/POW(10,$I444))*MAXIFS(Token!$C:$C,Token!$A:$A,$K444)&gt;0.01),$L444/86400+DATE(1970,1,1)+$G$6,)</f>
        <v/>
      </c>
      <c r="B444" s="27" t="str">
        <f t="shared" si="1"/>
        <v/>
      </c>
      <c r="C444" s="14" t="str">
        <f>IF($A444&lt;&gt;"",MINIFS(Merchant!$A:$A,Merchant!$B:$B,$G$2),)</f>
        <v/>
      </c>
      <c r="D444" s="14" t="str">
        <f t="shared" si="2"/>
        <v/>
      </c>
      <c r="E444" s="14" t="str">
        <f t="shared" si="3"/>
        <v/>
      </c>
      <c r="F444" s="7" t="str">
        <f>IF($A444&lt;&gt;"",MAXIFS(Token!$C:$C,Token!$A:$A,$D444),)</f>
        <v/>
      </c>
    </row>
    <row r="445">
      <c r="A445" s="39" t="str">
        <f>IF(AND($L445*1&gt;=$G$3,$L445*1&lt;=$G$4,$I445*$J445&gt;0,OR($I445&lt;&gt;$I446,$L445-$L446&gt;25),IF(ABS($I445)&gt;10,$I445/POW(10,$J445),$J445/POW(10,$I445))*MAXIFS(Token!$C:$C,Token!$A:$A,$K445)&gt;0.01),$L445/86400+DATE(1970,1,1)+$G$6,)</f>
        <v/>
      </c>
      <c r="B445" s="27" t="str">
        <f t="shared" si="1"/>
        <v/>
      </c>
      <c r="C445" s="14" t="str">
        <f>IF($A445&lt;&gt;"",MINIFS(Merchant!$A:$A,Merchant!$B:$B,$G$2),)</f>
        <v/>
      </c>
      <c r="D445" s="14" t="str">
        <f t="shared" si="2"/>
        <v/>
      </c>
      <c r="E445" s="14" t="str">
        <f t="shared" si="3"/>
        <v/>
      </c>
      <c r="F445" s="7" t="str">
        <f>IF($A445&lt;&gt;"",MAXIFS(Token!$C:$C,Token!$A:$A,$D445),)</f>
        <v/>
      </c>
    </row>
    <row r="446">
      <c r="A446" s="39" t="str">
        <f>IF(AND($L446*1&gt;=$G$3,$L446*1&lt;=$G$4,$I446*$J446&gt;0,OR($I446&lt;&gt;$I447,$L446-$L447&gt;25),IF(ABS($I446)&gt;10,$I446/POW(10,$J446),$J446/POW(10,$I446))*MAXIFS(Token!$C:$C,Token!$A:$A,$K446)&gt;0.01),$L446/86400+DATE(1970,1,1)+$G$6,)</f>
        <v/>
      </c>
      <c r="B446" s="27" t="str">
        <f t="shared" si="1"/>
        <v/>
      </c>
      <c r="C446" s="14" t="str">
        <f>IF($A446&lt;&gt;"",MINIFS(Merchant!$A:$A,Merchant!$B:$B,$G$2),)</f>
        <v/>
      </c>
      <c r="D446" s="14" t="str">
        <f t="shared" si="2"/>
        <v/>
      </c>
      <c r="E446" s="14" t="str">
        <f t="shared" si="3"/>
        <v/>
      </c>
      <c r="F446" s="7" t="str">
        <f>IF($A446&lt;&gt;"",MAXIFS(Token!$C:$C,Token!$A:$A,$D446),)</f>
        <v/>
      </c>
    </row>
    <row r="447">
      <c r="A447" s="39" t="str">
        <f>IF(AND($L447*1&gt;=$G$3,$L447*1&lt;=$G$4,$I447*$J447&gt;0,OR($I447&lt;&gt;$I448,$L447-$L448&gt;25),IF(ABS($I447)&gt;10,$I447/POW(10,$J447),$J447/POW(10,$I447))*MAXIFS(Token!$C:$C,Token!$A:$A,$K447)&gt;0.01),$L447/86400+DATE(1970,1,1)+$G$6,)</f>
        <v/>
      </c>
      <c r="B447" s="27" t="str">
        <f t="shared" si="1"/>
        <v/>
      </c>
      <c r="C447" s="14" t="str">
        <f>IF($A447&lt;&gt;"",MINIFS(Merchant!$A:$A,Merchant!$B:$B,$G$2),)</f>
        <v/>
      </c>
      <c r="D447" s="14" t="str">
        <f t="shared" si="2"/>
        <v/>
      </c>
      <c r="E447" s="14" t="str">
        <f t="shared" si="3"/>
        <v/>
      </c>
      <c r="F447" s="7" t="str">
        <f>IF($A447&lt;&gt;"",MAXIFS(Token!$C:$C,Token!$A:$A,$D447),)</f>
        <v/>
      </c>
    </row>
    <row r="448">
      <c r="A448" s="39" t="str">
        <f>IF(AND($L448*1&gt;=$G$3,$L448*1&lt;=$G$4,$I448*$J448&gt;0,OR($I448&lt;&gt;$I449,$L448-$L449&gt;25),IF(ABS($I448)&gt;10,$I448/POW(10,$J448),$J448/POW(10,$I448))*MAXIFS(Token!$C:$C,Token!$A:$A,$K448)&gt;0.01),$L448/86400+DATE(1970,1,1)+$G$6,)</f>
        <v/>
      </c>
      <c r="B448" s="27" t="str">
        <f t="shared" si="1"/>
        <v/>
      </c>
      <c r="C448" s="14" t="str">
        <f>IF($A448&lt;&gt;"",MINIFS(Merchant!$A:$A,Merchant!$B:$B,$G$2),)</f>
        <v/>
      </c>
      <c r="D448" s="14" t="str">
        <f t="shared" si="2"/>
        <v/>
      </c>
      <c r="E448" s="14" t="str">
        <f t="shared" si="3"/>
        <v/>
      </c>
      <c r="F448" s="7" t="str">
        <f>IF($A448&lt;&gt;"",MAXIFS(Token!$C:$C,Token!$A:$A,$D448),)</f>
        <v/>
      </c>
    </row>
    <row r="449">
      <c r="A449" s="39" t="str">
        <f>IF(AND($L449*1&gt;=$G$3,$L449*1&lt;=$G$4,$I449*$J449&gt;0,OR($I449&lt;&gt;$I450,$L449-$L450&gt;25),IF(ABS($I449)&gt;10,$I449/POW(10,$J449),$J449/POW(10,$I449))*MAXIFS(Token!$C:$C,Token!$A:$A,$K449)&gt;0.01),$L449/86400+DATE(1970,1,1)+$G$6,)</f>
        <v/>
      </c>
      <c r="B449" s="27" t="str">
        <f t="shared" si="1"/>
        <v/>
      </c>
      <c r="C449" s="14" t="str">
        <f>IF($A449&lt;&gt;"",MINIFS(Merchant!$A:$A,Merchant!$B:$B,$G$2),)</f>
        <v/>
      </c>
      <c r="D449" s="14" t="str">
        <f t="shared" si="2"/>
        <v/>
      </c>
      <c r="E449" s="14" t="str">
        <f t="shared" si="3"/>
        <v/>
      </c>
      <c r="F449" s="7" t="str">
        <f>IF($A449&lt;&gt;"",MAXIFS(Token!$C:$C,Token!$A:$A,$D449),)</f>
        <v/>
      </c>
    </row>
    <row r="450">
      <c r="A450" s="39" t="str">
        <f>IF(AND($L450*1&gt;=$G$3,$L450*1&lt;=$G$4,$I450*$J450&gt;0,OR($I450&lt;&gt;$I451,$L450-$L451&gt;25),IF(ABS($I450)&gt;10,$I450/POW(10,$J450),$J450/POW(10,$I450))*MAXIFS(Token!$C:$C,Token!$A:$A,$K450)&gt;0.01),$L450/86400+DATE(1970,1,1)+$G$6,)</f>
        <v/>
      </c>
      <c r="B450" s="27" t="str">
        <f t="shared" si="1"/>
        <v/>
      </c>
      <c r="C450" s="14" t="str">
        <f>IF($A450&lt;&gt;"",MINIFS(Merchant!$A:$A,Merchant!$B:$B,$G$2),)</f>
        <v/>
      </c>
      <c r="D450" s="14" t="str">
        <f t="shared" si="2"/>
        <v/>
      </c>
      <c r="E450" s="14" t="str">
        <f t="shared" si="3"/>
        <v/>
      </c>
      <c r="F450" s="7" t="str">
        <f>IF($A450&lt;&gt;"",MAXIFS(Token!$C:$C,Token!$A:$A,$D450),)</f>
        <v/>
      </c>
    </row>
    <row r="451">
      <c r="A451" s="39" t="str">
        <f>IF(AND($L451*1&gt;=$G$3,$L451*1&lt;=$G$4,$I451*$J451&gt;0,OR($I451&lt;&gt;$I452,$L451-$L452&gt;25),IF(ABS($I451)&gt;10,$I451/POW(10,$J451),$J451/POW(10,$I451))*MAXIFS(Token!$C:$C,Token!$A:$A,$K451)&gt;0.01),$L451/86400+DATE(1970,1,1)+$G$6,)</f>
        <v/>
      </c>
      <c r="B451" s="27" t="str">
        <f t="shared" si="1"/>
        <v/>
      </c>
      <c r="C451" s="14" t="str">
        <f>IF($A451&lt;&gt;"",MINIFS(Merchant!$A:$A,Merchant!$B:$B,$G$2),)</f>
        <v/>
      </c>
      <c r="D451" s="14" t="str">
        <f t="shared" si="2"/>
        <v/>
      </c>
      <c r="E451" s="14" t="str">
        <f t="shared" si="3"/>
        <v/>
      </c>
      <c r="F451" s="7" t="str">
        <f>IF($A451&lt;&gt;"",MAXIFS(Token!$C:$C,Token!$A:$A,$D451),)</f>
        <v/>
      </c>
    </row>
    <row r="452">
      <c r="A452" s="39" t="str">
        <f>IF(AND($L452*1&gt;=$G$3,$L452*1&lt;=$G$4,$I452*$J452&gt;0,OR($I452&lt;&gt;$I453,$L452-$L453&gt;25),IF(ABS($I452)&gt;10,$I452/POW(10,$J452),$J452/POW(10,$I452))*MAXIFS(Token!$C:$C,Token!$A:$A,$K452)&gt;0.01),$L452/86400+DATE(1970,1,1)+$G$6,)</f>
        <v/>
      </c>
      <c r="B452" s="27" t="str">
        <f t="shared" si="1"/>
        <v/>
      </c>
      <c r="C452" s="14" t="str">
        <f>IF($A452&lt;&gt;"",MINIFS(Merchant!$A:$A,Merchant!$B:$B,$G$2),)</f>
        <v/>
      </c>
      <c r="D452" s="14" t="str">
        <f t="shared" si="2"/>
        <v/>
      </c>
      <c r="E452" s="14" t="str">
        <f t="shared" si="3"/>
        <v/>
      </c>
      <c r="F452" s="7" t="str">
        <f>IF($A452&lt;&gt;"",MAXIFS(Token!$C:$C,Token!$A:$A,$D452),)</f>
        <v/>
      </c>
    </row>
    <row r="453">
      <c r="A453" s="39" t="str">
        <f>IF(AND($L453*1&gt;=$G$3,$L453*1&lt;=$G$4,$I453*$J453&gt;0,OR($I453&lt;&gt;$I454,$L453-$L454&gt;25),IF(ABS($I453)&gt;10,$I453/POW(10,$J453),$J453/POW(10,$I453))*MAXIFS(Token!$C:$C,Token!$A:$A,$K453)&gt;0.01),$L453/86400+DATE(1970,1,1)+$G$6,)</f>
        <v/>
      </c>
      <c r="B453" s="27" t="str">
        <f t="shared" si="1"/>
        <v/>
      </c>
      <c r="C453" s="14" t="str">
        <f>IF($A453&lt;&gt;"",MINIFS(Merchant!$A:$A,Merchant!$B:$B,$G$2),)</f>
        <v/>
      </c>
      <c r="D453" s="14" t="str">
        <f t="shared" si="2"/>
        <v/>
      </c>
      <c r="E453" s="14" t="str">
        <f t="shared" si="3"/>
        <v/>
      </c>
      <c r="F453" s="7" t="str">
        <f>IF($A453&lt;&gt;"",MAXIFS(Token!$C:$C,Token!$A:$A,$D453),)</f>
        <v/>
      </c>
    </row>
    <row r="454">
      <c r="A454" s="39" t="str">
        <f>IF(AND($L454*1&gt;=$G$3,$L454*1&lt;=$G$4,$I454*$J454&gt;0,OR($I454&lt;&gt;$I455,$L454-$L455&gt;25),IF(ABS($I454)&gt;10,$I454/POW(10,$J454),$J454/POW(10,$I454))*MAXIFS(Token!$C:$C,Token!$A:$A,$K454)&gt;0.01),$L454/86400+DATE(1970,1,1)+$G$6,)</f>
        <v/>
      </c>
      <c r="B454" s="27" t="str">
        <f t="shared" si="1"/>
        <v/>
      </c>
      <c r="C454" s="14" t="str">
        <f>IF($A454&lt;&gt;"",MINIFS(Merchant!$A:$A,Merchant!$B:$B,$G$2),)</f>
        <v/>
      </c>
      <c r="D454" s="14" t="str">
        <f t="shared" si="2"/>
        <v/>
      </c>
      <c r="E454" s="14" t="str">
        <f t="shared" si="3"/>
        <v/>
      </c>
      <c r="F454" s="7" t="str">
        <f>IF($A454&lt;&gt;"",MAXIFS(Token!$C:$C,Token!$A:$A,$D454),)</f>
        <v/>
      </c>
    </row>
    <row r="455">
      <c r="A455" s="39" t="str">
        <f>IF(AND($L455*1&gt;=$G$3,$L455*1&lt;=$G$4,$I455*$J455&gt;0,OR($I455&lt;&gt;$I456,$L455-$L456&gt;25),IF(ABS($I455)&gt;10,$I455/POW(10,$J455),$J455/POW(10,$I455))*MAXIFS(Token!$C:$C,Token!$A:$A,$K455)&gt;0.01),$L455/86400+DATE(1970,1,1)+$G$6,)</f>
        <v/>
      </c>
      <c r="B455" s="27" t="str">
        <f t="shared" si="1"/>
        <v/>
      </c>
      <c r="C455" s="14" t="str">
        <f>IF($A455&lt;&gt;"",MINIFS(Merchant!$A:$A,Merchant!$B:$B,$G$2),)</f>
        <v/>
      </c>
      <c r="D455" s="14" t="str">
        <f t="shared" si="2"/>
        <v/>
      </c>
      <c r="E455" s="14" t="str">
        <f t="shared" si="3"/>
        <v/>
      </c>
      <c r="F455" s="7" t="str">
        <f>IF($A455&lt;&gt;"",MAXIFS(Token!$C:$C,Token!$A:$A,$D455),)</f>
        <v/>
      </c>
    </row>
    <row r="456">
      <c r="A456" s="39" t="str">
        <f>IF(AND($L456*1&gt;=$G$3,$L456*1&lt;=$G$4,$I456*$J456&gt;0,OR($I456&lt;&gt;$I457,$L456-$L457&gt;25),IF(ABS($I456)&gt;10,$I456/POW(10,$J456),$J456/POW(10,$I456))*MAXIFS(Token!$C:$C,Token!$A:$A,$K456)&gt;0.01),$L456/86400+DATE(1970,1,1)+$G$6,)</f>
        <v/>
      </c>
      <c r="B456" s="27" t="str">
        <f t="shared" si="1"/>
        <v/>
      </c>
      <c r="C456" s="14" t="str">
        <f>IF($A456&lt;&gt;"",MINIFS(Merchant!$A:$A,Merchant!$B:$B,$G$2),)</f>
        <v/>
      </c>
      <c r="D456" s="14" t="str">
        <f t="shared" si="2"/>
        <v/>
      </c>
      <c r="E456" s="14" t="str">
        <f t="shared" si="3"/>
        <v/>
      </c>
      <c r="F456" s="7" t="str">
        <f>IF($A456&lt;&gt;"",MAXIFS(Token!$C:$C,Token!$A:$A,$D456),)</f>
        <v/>
      </c>
    </row>
    <row r="457">
      <c r="A457" s="39" t="str">
        <f>IF(AND($L457*1&gt;=$G$3,$L457*1&lt;=$G$4,$I457*$J457&gt;0,OR($I457&lt;&gt;$I458,$L457-$L458&gt;25),IF(ABS($I457)&gt;10,$I457/POW(10,$J457),$J457/POW(10,$I457))*MAXIFS(Token!$C:$C,Token!$A:$A,$K457)&gt;0.01),$L457/86400+DATE(1970,1,1)+$G$6,)</f>
        <v/>
      </c>
      <c r="B457" s="27" t="str">
        <f t="shared" si="1"/>
        <v/>
      </c>
      <c r="C457" s="14" t="str">
        <f>IF($A457&lt;&gt;"",MINIFS(Merchant!$A:$A,Merchant!$B:$B,$G$2),)</f>
        <v/>
      </c>
      <c r="D457" s="14" t="str">
        <f t="shared" si="2"/>
        <v/>
      </c>
      <c r="E457" s="14" t="str">
        <f t="shared" si="3"/>
        <v/>
      </c>
      <c r="F457" s="7" t="str">
        <f>IF($A457&lt;&gt;"",MAXIFS(Token!$C:$C,Token!$A:$A,$D457),)</f>
        <v/>
      </c>
    </row>
    <row r="458">
      <c r="A458" s="39" t="str">
        <f>IF(AND($L458*1&gt;=$G$3,$L458*1&lt;=$G$4,$I458*$J458&gt;0,OR($I458&lt;&gt;$I459,$L458-$L459&gt;25),IF(ABS($I458)&gt;10,$I458/POW(10,$J458),$J458/POW(10,$I458))*MAXIFS(Token!$C:$C,Token!$A:$A,$K458)&gt;0.01),$L458/86400+DATE(1970,1,1)+$G$6,)</f>
        <v/>
      </c>
      <c r="B458" s="27" t="str">
        <f t="shared" si="1"/>
        <v/>
      </c>
      <c r="C458" s="14" t="str">
        <f>IF($A458&lt;&gt;"",MINIFS(Merchant!$A:$A,Merchant!$B:$B,$G$2),)</f>
        <v/>
      </c>
      <c r="D458" s="14" t="str">
        <f t="shared" si="2"/>
        <v/>
      </c>
      <c r="E458" s="14" t="str">
        <f t="shared" si="3"/>
        <v/>
      </c>
      <c r="F458" s="7" t="str">
        <f>IF($A458&lt;&gt;"",MAXIFS(Token!$C:$C,Token!$A:$A,$D458),)</f>
        <v/>
      </c>
    </row>
    <row r="459">
      <c r="A459" s="39" t="str">
        <f>IF(AND($L459*1&gt;=$G$3,$L459*1&lt;=$G$4,$I459*$J459&gt;0,OR($I459&lt;&gt;$I460,$L459-$L460&gt;25),IF(ABS($I459)&gt;10,$I459/POW(10,$J459),$J459/POW(10,$I459))*MAXIFS(Token!$C:$C,Token!$A:$A,$K459)&gt;0.01),$L459/86400+DATE(1970,1,1)+$G$6,)</f>
        <v/>
      </c>
      <c r="B459" s="27" t="str">
        <f t="shared" si="1"/>
        <v/>
      </c>
      <c r="C459" s="14" t="str">
        <f>IF($A459&lt;&gt;"",MINIFS(Merchant!$A:$A,Merchant!$B:$B,$G$2),)</f>
        <v/>
      </c>
      <c r="D459" s="14" t="str">
        <f t="shared" si="2"/>
        <v/>
      </c>
      <c r="E459" s="14" t="str">
        <f t="shared" si="3"/>
        <v/>
      </c>
      <c r="F459" s="7" t="str">
        <f>IF($A459&lt;&gt;"",MAXIFS(Token!$C:$C,Token!$A:$A,$D459),)</f>
        <v/>
      </c>
    </row>
    <row r="460">
      <c r="A460" s="39" t="str">
        <f>IF(AND($L460*1&gt;=$G$3,$L460*1&lt;=$G$4,$I460*$J460&gt;0,OR($I460&lt;&gt;$I461,$L460-$L461&gt;25),IF(ABS($I460)&gt;10,$I460/POW(10,$J460),$J460/POW(10,$I460))*MAXIFS(Token!$C:$C,Token!$A:$A,$K460)&gt;0.01),$L460/86400+DATE(1970,1,1)+$G$6,)</f>
        <v/>
      </c>
      <c r="B460" s="27" t="str">
        <f t="shared" si="1"/>
        <v/>
      </c>
      <c r="C460" s="14" t="str">
        <f>IF($A460&lt;&gt;"",MINIFS(Merchant!$A:$A,Merchant!$B:$B,$G$2),)</f>
        <v/>
      </c>
      <c r="D460" s="14" t="str">
        <f t="shared" si="2"/>
        <v/>
      </c>
      <c r="E460" s="14" t="str">
        <f t="shared" si="3"/>
        <v/>
      </c>
      <c r="F460" s="7" t="str">
        <f>IF($A460&lt;&gt;"",MAXIFS(Token!$C:$C,Token!$A:$A,$D460),)</f>
        <v/>
      </c>
    </row>
    <row r="461">
      <c r="A461" s="39" t="str">
        <f>IF(AND($L461*1&gt;=$G$3,$L461*1&lt;=$G$4,$I461*$J461&gt;0,OR($I461&lt;&gt;$I462,$L461-$L462&gt;25),IF(ABS($I461)&gt;10,$I461/POW(10,$J461),$J461/POW(10,$I461))*MAXIFS(Token!$C:$C,Token!$A:$A,$K461)&gt;0.01),$L461/86400+DATE(1970,1,1)+$G$6,)</f>
        <v/>
      </c>
      <c r="B461" s="27" t="str">
        <f t="shared" si="1"/>
        <v/>
      </c>
      <c r="C461" s="14" t="str">
        <f>IF($A461&lt;&gt;"",MINIFS(Merchant!$A:$A,Merchant!$B:$B,$G$2),)</f>
        <v/>
      </c>
      <c r="D461" s="14" t="str">
        <f t="shared" si="2"/>
        <v/>
      </c>
      <c r="E461" s="14" t="str">
        <f t="shared" si="3"/>
        <v/>
      </c>
      <c r="F461" s="7" t="str">
        <f>IF($A461&lt;&gt;"",MAXIFS(Token!$C:$C,Token!$A:$A,$D461),)</f>
        <v/>
      </c>
    </row>
    <row r="462">
      <c r="A462" s="39" t="str">
        <f>IF(AND($L462*1&gt;=$G$3,$L462*1&lt;=$G$4,$I462*$J462&gt;0,OR($I462&lt;&gt;$I463,$L462-$L463&gt;25),IF(ABS($I462)&gt;10,$I462/POW(10,$J462),$J462/POW(10,$I462))*MAXIFS(Token!$C:$C,Token!$A:$A,$K462)&gt;0.01),$L462/86400+DATE(1970,1,1)+$G$6,)</f>
        <v/>
      </c>
      <c r="B462" s="27" t="str">
        <f t="shared" si="1"/>
        <v/>
      </c>
      <c r="C462" s="14" t="str">
        <f>IF($A462&lt;&gt;"",MINIFS(Merchant!$A:$A,Merchant!$B:$B,$G$2),)</f>
        <v/>
      </c>
      <c r="D462" s="14" t="str">
        <f t="shared" si="2"/>
        <v/>
      </c>
      <c r="E462" s="14" t="str">
        <f t="shared" si="3"/>
        <v/>
      </c>
      <c r="F462" s="7" t="str">
        <f>IF($A462&lt;&gt;"",MAXIFS(Token!$C:$C,Token!$A:$A,$D462),)</f>
        <v/>
      </c>
    </row>
    <row r="463">
      <c r="A463" s="39" t="str">
        <f>IF(AND($L463*1&gt;=$G$3,$L463*1&lt;=$G$4,$I463*$J463&gt;0,OR($I463&lt;&gt;$I464,$L463-$L464&gt;25),IF(ABS($I463)&gt;10,$I463/POW(10,$J463),$J463/POW(10,$I463))*MAXIFS(Token!$C:$C,Token!$A:$A,$K463)&gt;0.01),$L463/86400+DATE(1970,1,1)+$G$6,)</f>
        <v/>
      </c>
      <c r="B463" s="27" t="str">
        <f t="shared" si="1"/>
        <v/>
      </c>
      <c r="C463" s="14" t="str">
        <f>IF($A463&lt;&gt;"",MINIFS(Merchant!$A:$A,Merchant!$B:$B,$G$2),)</f>
        <v/>
      </c>
      <c r="D463" s="14" t="str">
        <f t="shared" si="2"/>
        <v/>
      </c>
      <c r="E463" s="14" t="str">
        <f t="shared" si="3"/>
        <v/>
      </c>
      <c r="F463" s="7" t="str">
        <f>IF($A463&lt;&gt;"",MAXIFS(Token!$C:$C,Token!$A:$A,$D463),)</f>
        <v/>
      </c>
    </row>
    <row r="464">
      <c r="A464" s="39" t="str">
        <f>IF(AND($L464*1&gt;=$G$3,$L464*1&lt;=$G$4,$I464*$J464&gt;0,OR($I464&lt;&gt;$I465,$L464-$L465&gt;25),IF(ABS($I464)&gt;10,$I464/POW(10,$J464),$J464/POW(10,$I464))*MAXIFS(Token!$C:$C,Token!$A:$A,$K464)&gt;0.01),$L464/86400+DATE(1970,1,1)+$G$6,)</f>
        <v/>
      </c>
      <c r="B464" s="27" t="str">
        <f t="shared" si="1"/>
        <v/>
      </c>
      <c r="C464" s="14" t="str">
        <f>IF($A464&lt;&gt;"",MINIFS(Merchant!$A:$A,Merchant!$B:$B,$G$2),)</f>
        <v/>
      </c>
      <c r="D464" s="14" t="str">
        <f t="shared" si="2"/>
        <v/>
      </c>
      <c r="E464" s="14" t="str">
        <f t="shared" si="3"/>
        <v/>
      </c>
      <c r="F464" s="7" t="str">
        <f>IF($A464&lt;&gt;"",MAXIFS(Token!$C:$C,Token!$A:$A,$D464),)</f>
        <v/>
      </c>
    </row>
    <row r="465">
      <c r="A465" s="39" t="str">
        <f>IF(AND($L465*1&gt;=$G$3,$L465*1&lt;=$G$4,$I465*$J465&gt;0,OR($I465&lt;&gt;$I466,$L465-$L466&gt;25),IF(ABS($I465)&gt;10,$I465/POW(10,$J465),$J465/POW(10,$I465))*MAXIFS(Token!$C:$C,Token!$A:$A,$K465)&gt;0.01),$L465/86400+DATE(1970,1,1)+$G$6,)</f>
        <v/>
      </c>
      <c r="B465" s="27" t="str">
        <f t="shared" si="1"/>
        <v/>
      </c>
      <c r="C465" s="14" t="str">
        <f>IF($A465&lt;&gt;"",MINIFS(Merchant!$A:$A,Merchant!$B:$B,$G$2),)</f>
        <v/>
      </c>
      <c r="D465" s="14" t="str">
        <f t="shared" si="2"/>
        <v/>
      </c>
      <c r="E465" s="14" t="str">
        <f t="shared" si="3"/>
        <v/>
      </c>
      <c r="F465" s="7" t="str">
        <f>IF($A465&lt;&gt;"",MAXIFS(Token!$C:$C,Token!$A:$A,$D465),)</f>
        <v/>
      </c>
    </row>
    <row r="466">
      <c r="A466" s="39" t="str">
        <f>IF(AND($L466*1&gt;=$G$3,$L466*1&lt;=$G$4,$I466*$J466&gt;0,OR($I466&lt;&gt;$I467,$L466-$L467&gt;25),IF(ABS($I466)&gt;10,$I466/POW(10,$J466),$J466/POW(10,$I466))*MAXIFS(Token!$C:$C,Token!$A:$A,$K466)&gt;0.01),$L466/86400+DATE(1970,1,1)+$G$6,)</f>
        <v/>
      </c>
      <c r="B466" s="27" t="str">
        <f t="shared" si="1"/>
        <v/>
      </c>
      <c r="C466" s="14" t="str">
        <f>IF($A466&lt;&gt;"",MINIFS(Merchant!$A:$A,Merchant!$B:$B,$G$2),)</f>
        <v/>
      </c>
      <c r="D466" s="14" t="str">
        <f t="shared" si="2"/>
        <v/>
      </c>
      <c r="E466" s="14" t="str">
        <f t="shared" si="3"/>
        <v/>
      </c>
      <c r="F466" s="7" t="str">
        <f>IF($A466&lt;&gt;"",MAXIFS(Token!$C:$C,Token!$A:$A,$D466),)</f>
        <v/>
      </c>
    </row>
    <row r="467">
      <c r="A467" s="39" t="str">
        <f>IF(AND($L467*1&gt;=$G$3,$L467*1&lt;=$G$4,$I467*$J467&gt;0,OR($I467&lt;&gt;$I468,$L467-$L468&gt;25),IF(ABS($I467)&gt;10,$I467/POW(10,$J467),$J467/POW(10,$I467))*MAXIFS(Token!$C:$C,Token!$A:$A,$K467)&gt;0.01),$L467/86400+DATE(1970,1,1)+$G$6,)</f>
        <v/>
      </c>
      <c r="B467" s="27" t="str">
        <f t="shared" si="1"/>
        <v/>
      </c>
      <c r="C467" s="14" t="str">
        <f>IF($A467&lt;&gt;"",MINIFS(Merchant!$A:$A,Merchant!$B:$B,$G$2),)</f>
        <v/>
      </c>
      <c r="D467" s="14" t="str">
        <f t="shared" si="2"/>
        <v/>
      </c>
      <c r="E467" s="14" t="str">
        <f t="shared" si="3"/>
        <v/>
      </c>
      <c r="F467" s="7" t="str">
        <f>IF($A467&lt;&gt;"",MAXIFS(Token!$C:$C,Token!$A:$A,$D467),)</f>
        <v/>
      </c>
    </row>
    <row r="468">
      <c r="A468" s="39" t="str">
        <f>IF(AND($L468*1&gt;=$G$3,$L468*1&lt;=$G$4,$I468*$J468&gt;0,OR($I468&lt;&gt;$I469,$L468-$L469&gt;25),IF(ABS($I468)&gt;10,$I468/POW(10,$J468),$J468/POW(10,$I468))*MAXIFS(Token!$C:$C,Token!$A:$A,$K468)&gt;0.01),$L468/86400+DATE(1970,1,1)+$G$6,)</f>
        <v/>
      </c>
      <c r="B468" s="27" t="str">
        <f t="shared" si="1"/>
        <v/>
      </c>
      <c r="C468" s="14" t="str">
        <f>IF($A468&lt;&gt;"",MINIFS(Merchant!$A:$A,Merchant!$B:$B,$G$2),)</f>
        <v/>
      </c>
      <c r="D468" s="14" t="str">
        <f t="shared" si="2"/>
        <v/>
      </c>
      <c r="E468" s="14" t="str">
        <f t="shared" si="3"/>
        <v/>
      </c>
      <c r="F468" s="7" t="str">
        <f>IF($A468&lt;&gt;"",MAXIFS(Token!$C:$C,Token!$A:$A,$D468),)</f>
        <v/>
      </c>
    </row>
    <row r="469">
      <c r="A469" s="39" t="str">
        <f>IF(AND($L469*1&gt;=$G$3,$L469*1&lt;=$G$4,$I469*$J469&gt;0,OR($I469&lt;&gt;$I470,$L469-$L470&gt;25),IF(ABS($I469)&gt;10,$I469/POW(10,$J469),$J469/POW(10,$I469))*MAXIFS(Token!$C:$C,Token!$A:$A,$K469)&gt;0.01),$L469/86400+DATE(1970,1,1)+$G$6,)</f>
        <v/>
      </c>
      <c r="B469" s="27" t="str">
        <f t="shared" si="1"/>
        <v/>
      </c>
      <c r="C469" s="14" t="str">
        <f>IF($A469&lt;&gt;"",MINIFS(Merchant!$A:$A,Merchant!$B:$B,$G$2),)</f>
        <v/>
      </c>
      <c r="D469" s="14" t="str">
        <f t="shared" si="2"/>
        <v/>
      </c>
      <c r="E469" s="14" t="str">
        <f t="shared" si="3"/>
        <v/>
      </c>
      <c r="F469" s="7" t="str">
        <f>IF($A469&lt;&gt;"",MAXIFS(Token!$C:$C,Token!$A:$A,$D469),)</f>
        <v/>
      </c>
    </row>
    <row r="470">
      <c r="A470" s="39" t="str">
        <f>IF(AND($L470*1&gt;=$G$3,$L470*1&lt;=$G$4,$I470*$J470&gt;0,OR($I470&lt;&gt;$I471,$L470-$L471&gt;25),IF(ABS($I470)&gt;10,$I470/POW(10,$J470),$J470/POW(10,$I470))*MAXIFS(Token!$C:$C,Token!$A:$A,$K470)&gt;0.01),$L470/86400+DATE(1970,1,1)+$G$6,)</f>
        <v/>
      </c>
      <c r="B470" s="27" t="str">
        <f t="shared" si="1"/>
        <v/>
      </c>
      <c r="C470" s="14" t="str">
        <f>IF($A470&lt;&gt;"",MINIFS(Merchant!$A:$A,Merchant!$B:$B,$G$2),)</f>
        <v/>
      </c>
      <c r="D470" s="14" t="str">
        <f t="shared" si="2"/>
        <v/>
      </c>
      <c r="E470" s="14" t="str">
        <f t="shared" si="3"/>
        <v/>
      </c>
      <c r="F470" s="7" t="str">
        <f>IF($A470&lt;&gt;"",MAXIFS(Token!$C:$C,Token!$A:$A,$D470),)</f>
        <v/>
      </c>
    </row>
    <row r="471">
      <c r="A471" s="39" t="str">
        <f>IF(AND($L471*1&gt;=$G$3,$L471*1&lt;=$G$4,$I471*$J471&gt;0,OR($I471&lt;&gt;$I472,$L471-$L472&gt;25),IF(ABS($I471)&gt;10,$I471/POW(10,$J471),$J471/POW(10,$I471))*MAXIFS(Token!$C:$C,Token!$A:$A,$K471)&gt;0.01),$L471/86400+DATE(1970,1,1)+$G$6,)</f>
        <v/>
      </c>
      <c r="B471" s="27" t="str">
        <f t="shared" si="1"/>
        <v/>
      </c>
      <c r="C471" s="14" t="str">
        <f>IF($A471&lt;&gt;"",MINIFS(Merchant!$A:$A,Merchant!$B:$B,$G$2),)</f>
        <v/>
      </c>
      <c r="D471" s="14" t="str">
        <f t="shared" si="2"/>
        <v/>
      </c>
      <c r="E471" s="14" t="str">
        <f t="shared" si="3"/>
        <v/>
      </c>
      <c r="F471" s="7" t="str">
        <f>IF($A471&lt;&gt;"",MAXIFS(Token!$C:$C,Token!$A:$A,$D471),)</f>
        <v/>
      </c>
    </row>
    <row r="472">
      <c r="A472" s="39" t="str">
        <f>IF(AND($L472*1&gt;=$G$3,$L472*1&lt;=$G$4,$I472*$J472&gt;0,OR($I472&lt;&gt;$I473,$L472-$L473&gt;25),IF(ABS($I472)&gt;10,$I472/POW(10,$J472),$J472/POW(10,$I472))*MAXIFS(Token!$C:$C,Token!$A:$A,$K472)&gt;0.01),$L472/86400+DATE(1970,1,1)+$G$6,)</f>
        <v/>
      </c>
      <c r="B472" s="27" t="str">
        <f t="shared" si="1"/>
        <v/>
      </c>
      <c r="C472" s="14" t="str">
        <f>IF($A472&lt;&gt;"",MINIFS(Merchant!$A:$A,Merchant!$B:$B,$G$2),)</f>
        <v/>
      </c>
      <c r="D472" s="14" t="str">
        <f t="shared" si="2"/>
        <v/>
      </c>
      <c r="E472" s="14" t="str">
        <f t="shared" si="3"/>
        <v/>
      </c>
      <c r="F472" s="7" t="str">
        <f>IF($A472&lt;&gt;"",MAXIFS(Token!$C:$C,Token!$A:$A,$D472),)</f>
        <v/>
      </c>
    </row>
    <row r="473">
      <c r="A473" s="39" t="str">
        <f>IF(AND($L473*1&gt;=$G$3,$L473*1&lt;=$G$4,$I473*$J473&gt;0,OR($I473&lt;&gt;$I474,$L473-$L474&gt;25),IF(ABS($I473)&gt;10,$I473/POW(10,$J473),$J473/POW(10,$I473))*MAXIFS(Token!$C:$C,Token!$A:$A,$K473)&gt;0.01),$L473/86400+DATE(1970,1,1)+$G$6,)</f>
        <v/>
      </c>
      <c r="B473" s="27" t="str">
        <f t="shared" si="1"/>
        <v/>
      </c>
      <c r="C473" s="14" t="str">
        <f>IF($A473&lt;&gt;"",MINIFS(Merchant!$A:$A,Merchant!$B:$B,$G$2),)</f>
        <v/>
      </c>
      <c r="D473" s="14" t="str">
        <f t="shared" si="2"/>
        <v/>
      </c>
      <c r="E473" s="14" t="str">
        <f t="shared" si="3"/>
        <v/>
      </c>
      <c r="F473" s="7" t="str">
        <f>IF($A473&lt;&gt;"",MAXIFS(Token!$C:$C,Token!$A:$A,$D473),)</f>
        <v/>
      </c>
    </row>
    <row r="474">
      <c r="A474" s="39" t="str">
        <f>IF(AND($L474*1&gt;=$G$3,$L474*1&lt;=$G$4,$I474*$J474&gt;0,OR($I474&lt;&gt;$I475,$L474-$L475&gt;25),IF(ABS($I474)&gt;10,$I474/POW(10,$J474),$J474/POW(10,$I474))*MAXIFS(Token!$C:$C,Token!$A:$A,$K474)&gt;0.01),$L474/86400+DATE(1970,1,1)+$G$6,)</f>
        <v/>
      </c>
      <c r="B474" s="27" t="str">
        <f t="shared" si="1"/>
        <v/>
      </c>
      <c r="C474" s="14" t="str">
        <f>IF($A474&lt;&gt;"",MINIFS(Merchant!$A:$A,Merchant!$B:$B,$G$2),)</f>
        <v/>
      </c>
      <c r="D474" s="14" t="str">
        <f t="shared" si="2"/>
        <v/>
      </c>
      <c r="E474" s="14" t="str">
        <f t="shared" si="3"/>
        <v/>
      </c>
      <c r="F474" s="7" t="str">
        <f>IF($A474&lt;&gt;"",MAXIFS(Token!$C:$C,Token!$A:$A,$D474),)</f>
        <v/>
      </c>
    </row>
    <row r="475">
      <c r="A475" s="39" t="str">
        <f>IF(AND($L475*1&gt;=$G$3,$L475*1&lt;=$G$4,$I475*$J475&gt;0,OR($I475&lt;&gt;$I476,$L475-$L476&gt;25),IF(ABS($I475)&gt;10,$I475/POW(10,$J475),$J475/POW(10,$I475))*MAXIFS(Token!$C:$C,Token!$A:$A,$K475)&gt;0.01),$L475/86400+DATE(1970,1,1)+$G$6,)</f>
        <v/>
      </c>
      <c r="B475" s="27" t="str">
        <f t="shared" si="1"/>
        <v/>
      </c>
      <c r="C475" s="14" t="str">
        <f>IF($A475&lt;&gt;"",MINIFS(Merchant!$A:$A,Merchant!$B:$B,$G$2),)</f>
        <v/>
      </c>
      <c r="D475" s="14" t="str">
        <f t="shared" si="2"/>
        <v/>
      </c>
      <c r="E475" s="14" t="str">
        <f t="shared" si="3"/>
        <v/>
      </c>
      <c r="F475" s="7" t="str">
        <f>IF($A475&lt;&gt;"",MAXIFS(Token!$C:$C,Token!$A:$A,$D475),)</f>
        <v/>
      </c>
    </row>
    <row r="476">
      <c r="A476" s="39" t="str">
        <f>IF(AND($L476*1&gt;=$G$3,$L476*1&lt;=$G$4,$I476*$J476&gt;0,OR($I476&lt;&gt;$I477,$L476-$L477&gt;25),IF(ABS($I476)&gt;10,$I476/POW(10,$J476),$J476/POW(10,$I476))*MAXIFS(Token!$C:$C,Token!$A:$A,$K476)&gt;0.01),$L476/86400+DATE(1970,1,1)+$G$6,)</f>
        <v/>
      </c>
      <c r="B476" s="27" t="str">
        <f t="shared" si="1"/>
        <v/>
      </c>
      <c r="C476" s="14" t="str">
        <f>IF($A476&lt;&gt;"",MINIFS(Merchant!$A:$A,Merchant!$B:$B,$G$2),)</f>
        <v/>
      </c>
      <c r="D476" s="14" t="str">
        <f t="shared" si="2"/>
        <v/>
      </c>
      <c r="E476" s="14" t="str">
        <f t="shared" si="3"/>
        <v/>
      </c>
      <c r="F476" s="7" t="str">
        <f>IF($A476&lt;&gt;"",MAXIFS(Token!$C:$C,Token!$A:$A,$D476),)</f>
        <v/>
      </c>
    </row>
    <row r="477">
      <c r="A477" s="39" t="str">
        <f>IF(AND($L477*1&gt;=$G$3,$L477*1&lt;=$G$4,$I477*$J477&gt;0,OR($I477&lt;&gt;$I478,$L477-$L478&gt;25),IF(ABS($I477)&gt;10,$I477/POW(10,$J477),$J477/POW(10,$I477))*MAXIFS(Token!$C:$C,Token!$A:$A,$K477)&gt;0.01),$L477/86400+DATE(1970,1,1)+$G$6,)</f>
        <v/>
      </c>
      <c r="B477" s="27" t="str">
        <f t="shared" si="1"/>
        <v/>
      </c>
      <c r="C477" s="14" t="str">
        <f>IF($A477&lt;&gt;"",MINIFS(Merchant!$A:$A,Merchant!$B:$B,$G$2),)</f>
        <v/>
      </c>
      <c r="D477" s="14" t="str">
        <f t="shared" si="2"/>
        <v/>
      </c>
      <c r="E477" s="14" t="str">
        <f t="shared" si="3"/>
        <v/>
      </c>
      <c r="F477" s="7" t="str">
        <f>IF($A477&lt;&gt;"",MAXIFS(Token!$C:$C,Token!$A:$A,$D477),)</f>
        <v/>
      </c>
    </row>
    <row r="478">
      <c r="A478" s="39" t="str">
        <f>IF(AND($L478*1&gt;=$G$3,$L478*1&lt;=$G$4,$I478*$J478&gt;0,OR($I478&lt;&gt;$I479,$L478-$L479&gt;25),IF(ABS($I478)&gt;10,$I478/POW(10,$J478),$J478/POW(10,$I478))*MAXIFS(Token!$C:$C,Token!$A:$A,$K478)&gt;0.01),$L478/86400+DATE(1970,1,1)+$G$6,)</f>
        <v/>
      </c>
      <c r="B478" s="27" t="str">
        <f t="shared" si="1"/>
        <v/>
      </c>
      <c r="C478" s="14" t="str">
        <f>IF($A478&lt;&gt;"",MINIFS(Merchant!$A:$A,Merchant!$B:$B,$G$2),)</f>
        <v/>
      </c>
      <c r="D478" s="14" t="str">
        <f t="shared" si="2"/>
        <v/>
      </c>
      <c r="E478" s="14" t="str">
        <f t="shared" si="3"/>
        <v/>
      </c>
      <c r="F478" s="7" t="str">
        <f>IF($A478&lt;&gt;"",MAXIFS(Token!$C:$C,Token!$A:$A,$D478),)</f>
        <v/>
      </c>
    </row>
    <row r="479">
      <c r="A479" s="39" t="str">
        <f>IF(AND($L479*1&gt;=$G$3,$L479*1&lt;=$G$4,$I479*$J479&gt;0,OR($I479&lt;&gt;$I480,$L479-$L480&gt;25),IF(ABS($I479)&gt;10,$I479/POW(10,$J479),$J479/POW(10,$I479))*MAXIFS(Token!$C:$C,Token!$A:$A,$K479)&gt;0.01),$L479/86400+DATE(1970,1,1)+$G$6,)</f>
        <v/>
      </c>
      <c r="B479" s="27" t="str">
        <f t="shared" si="1"/>
        <v/>
      </c>
      <c r="C479" s="14" t="str">
        <f>IF($A479&lt;&gt;"",MINIFS(Merchant!$A:$A,Merchant!$B:$B,$G$2),)</f>
        <v/>
      </c>
      <c r="D479" s="14" t="str">
        <f t="shared" si="2"/>
        <v/>
      </c>
      <c r="E479" s="14" t="str">
        <f t="shared" si="3"/>
        <v/>
      </c>
      <c r="F479" s="7" t="str">
        <f>IF($A479&lt;&gt;"",MAXIFS(Token!$C:$C,Token!$A:$A,$D479),)</f>
        <v/>
      </c>
    </row>
    <row r="480">
      <c r="A480" s="39" t="str">
        <f>IF(AND($L480*1&gt;=$G$3,$L480*1&lt;=$G$4,$I480*$J480&gt;0,OR($I480&lt;&gt;$I481,$L480-$L481&gt;25),IF(ABS($I480)&gt;10,$I480/POW(10,$J480),$J480/POW(10,$I480))*MAXIFS(Token!$C:$C,Token!$A:$A,$K480)&gt;0.01),$L480/86400+DATE(1970,1,1)+$G$6,)</f>
        <v/>
      </c>
      <c r="B480" s="27" t="str">
        <f t="shared" si="1"/>
        <v/>
      </c>
      <c r="C480" s="14" t="str">
        <f>IF($A480&lt;&gt;"",MINIFS(Merchant!$A:$A,Merchant!$B:$B,$G$2),)</f>
        <v/>
      </c>
      <c r="D480" s="14" t="str">
        <f t="shared" si="2"/>
        <v/>
      </c>
      <c r="E480" s="14" t="str">
        <f t="shared" si="3"/>
        <v/>
      </c>
      <c r="F480" s="7" t="str">
        <f>IF($A480&lt;&gt;"",MAXIFS(Token!$C:$C,Token!$A:$A,$D480),)</f>
        <v/>
      </c>
    </row>
    <row r="481">
      <c r="A481" s="39" t="str">
        <f>IF(AND($L481*1&gt;=$G$3,$L481*1&lt;=$G$4,$I481*$J481&gt;0,OR($I481&lt;&gt;$I482,$L481-$L482&gt;25),IF(ABS($I481)&gt;10,$I481/POW(10,$J481),$J481/POW(10,$I481))*MAXIFS(Token!$C:$C,Token!$A:$A,$K481)&gt;0.01),$L481/86400+DATE(1970,1,1)+$G$6,)</f>
        <v/>
      </c>
      <c r="B481" s="27" t="str">
        <f t="shared" si="1"/>
        <v/>
      </c>
      <c r="C481" s="14" t="str">
        <f>IF($A481&lt;&gt;"",MINIFS(Merchant!$A:$A,Merchant!$B:$B,$G$2),)</f>
        <v/>
      </c>
      <c r="D481" s="14" t="str">
        <f t="shared" si="2"/>
        <v/>
      </c>
      <c r="E481" s="14" t="str">
        <f t="shared" si="3"/>
        <v/>
      </c>
      <c r="F481" s="7" t="str">
        <f>IF($A481&lt;&gt;"",MAXIFS(Token!$C:$C,Token!$A:$A,$D481),)</f>
        <v/>
      </c>
    </row>
    <row r="482">
      <c r="A482" s="39" t="str">
        <f>IF(AND($L482*1&gt;=$G$3,$L482*1&lt;=$G$4,$I482*$J482&gt;0,OR($I482&lt;&gt;$I483,$L482-$L483&gt;25),IF(ABS($I482)&gt;10,$I482/POW(10,$J482),$J482/POW(10,$I482))*MAXIFS(Token!$C:$C,Token!$A:$A,$K482)&gt;0.01),$L482/86400+DATE(1970,1,1)+$G$6,)</f>
        <v/>
      </c>
      <c r="B482" s="27" t="str">
        <f t="shared" si="1"/>
        <v/>
      </c>
      <c r="C482" s="14" t="str">
        <f>IF($A482&lt;&gt;"",MINIFS(Merchant!$A:$A,Merchant!$B:$B,$G$2),)</f>
        <v/>
      </c>
      <c r="D482" s="14" t="str">
        <f t="shared" si="2"/>
        <v/>
      </c>
      <c r="E482" s="14" t="str">
        <f t="shared" si="3"/>
        <v/>
      </c>
      <c r="F482" s="7" t="str">
        <f>IF($A482&lt;&gt;"",MAXIFS(Token!$C:$C,Token!$A:$A,$D482),)</f>
        <v/>
      </c>
    </row>
    <row r="483">
      <c r="A483" s="39" t="str">
        <f>IF(AND($L483*1&gt;=$G$3,$L483*1&lt;=$G$4,$I483*$J483&gt;0,OR($I483&lt;&gt;$I484,$L483-$L484&gt;25),IF(ABS($I483)&gt;10,$I483/POW(10,$J483),$J483/POW(10,$I483))*MAXIFS(Token!$C:$C,Token!$A:$A,$K483)&gt;0.01),$L483/86400+DATE(1970,1,1)+$G$6,)</f>
        <v/>
      </c>
      <c r="B483" s="27" t="str">
        <f t="shared" si="1"/>
        <v/>
      </c>
      <c r="C483" s="14" t="str">
        <f>IF($A483&lt;&gt;"",MINIFS(Merchant!$A:$A,Merchant!$B:$B,$G$2),)</f>
        <v/>
      </c>
      <c r="D483" s="14" t="str">
        <f t="shared" si="2"/>
        <v/>
      </c>
      <c r="E483" s="14" t="str">
        <f t="shared" si="3"/>
        <v/>
      </c>
      <c r="F483" s="7" t="str">
        <f>IF($A483&lt;&gt;"",MAXIFS(Token!$C:$C,Token!$A:$A,$D483),)</f>
        <v/>
      </c>
    </row>
    <row r="484">
      <c r="A484" s="39" t="str">
        <f>IF(AND($L484*1&gt;=$G$3,$L484*1&lt;=$G$4,$I484*$J484&gt;0,OR($I484&lt;&gt;$I485,$L484-$L485&gt;25),IF(ABS($I484)&gt;10,$I484/POW(10,$J484),$J484/POW(10,$I484))*MAXIFS(Token!$C:$C,Token!$A:$A,$K484)&gt;0.01),$L484/86400+DATE(1970,1,1)+$G$6,)</f>
        <v/>
      </c>
      <c r="B484" s="27" t="str">
        <f t="shared" si="1"/>
        <v/>
      </c>
      <c r="C484" s="14" t="str">
        <f>IF($A484&lt;&gt;"",MINIFS(Merchant!$A:$A,Merchant!$B:$B,$G$2),)</f>
        <v/>
      </c>
      <c r="D484" s="14" t="str">
        <f t="shared" si="2"/>
        <v/>
      </c>
      <c r="E484" s="14" t="str">
        <f t="shared" si="3"/>
        <v/>
      </c>
      <c r="F484" s="7" t="str">
        <f>IF($A484&lt;&gt;"",MAXIFS(Token!$C:$C,Token!$A:$A,$D484),)</f>
        <v/>
      </c>
    </row>
    <row r="485">
      <c r="A485" s="39" t="str">
        <f>IF(AND($L485*1&gt;=$G$3,$L485*1&lt;=$G$4,$I485*$J485&gt;0,OR($I485&lt;&gt;$I486,$L485-$L486&gt;25),IF(ABS($I485)&gt;10,$I485/POW(10,$J485),$J485/POW(10,$I485))*MAXIFS(Token!$C:$C,Token!$A:$A,$K485)&gt;0.01),$L485/86400+DATE(1970,1,1)+$G$6,)</f>
        <v/>
      </c>
      <c r="B485" s="27" t="str">
        <f t="shared" si="1"/>
        <v/>
      </c>
      <c r="C485" s="14" t="str">
        <f>IF($A485&lt;&gt;"",MINIFS(Merchant!$A:$A,Merchant!$B:$B,$G$2),)</f>
        <v/>
      </c>
      <c r="D485" s="14" t="str">
        <f t="shared" si="2"/>
        <v/>
      </c>
      <c r="E485" s="14" t="str">
        <f t="shared" si="3"/>
        <v/>
      </c>
      <c r="F485" s="7" t="str">
        <f>IF($A485&lt;&gt;"",MAXIFS(Token!$C:$C,Token!$A:$A,$D485),)</f>
        <v/>
      </c>
    </row>
    <row r="486">
      <c r="A486" s="39" t="str">
        <f>IF(AND($L486*1&gt;=$G$3,$L486*1&lt;=$G$4,$I486*$J486&gt;0,OR($I486&lt;&gt;$I487,$L486-$L487&gt;25),IF(ABS($I486)&gt;10,$I486/POW(10,$J486),$J486/POW(10,$I486))*MAXIFS(Token!$C:$C,Token!$A:$A,$K486)&gt;0.01),$L486/86400+DATE(1970,1,1)+$G$6,)</f>
        <v/>
      </c>
      <c r="B486" s="27" t="str">
        <f t="shared" si="1"/>
        <v/>
      </c>
      <c r="C486" s="14" t="str">
        <f>IF($A486&lt;&gt;"",MINIFS(Merchant!$A:$A,Merchant!$B:$B,$G$2),)</f>
        <v/>
      </c>
      <c r="D486" s="14" t="str">
        <f t="shared" si="2"/>
        <v/>
      </c>
      <c r="E486" s="14" t="str">
        <f t="shared" si="3"/>
        <v/>
      </c>
      <c r="F486" s="7" t="str">
        <f>IF($A486&lt;&gt;"",MAXIFS(Token!$C:$C,Token!$A:$A,$D486),)</f>
        <v/>
      </c>
    </row>
    <row r="487">
      <c r="A487" s="39" t="str">
        <f>IF(AND($L487*1&gt;=$G$3,$L487*1&lt;=$G$4,$I487*$J487&gt;0,OR($I487&lt;&gt;$I488,$L487-$L488&gt;25),IF(ABS($I487)&gt;10,$I487/POW(10,$J487),$J487/POW(10,$I487))*MAXIFS(Token!$C:$C,Token!$A:$A,$K487)&gt;0.01),$L487/86400+DATE(1970,1,1)+$G$6,)</f>
        <v/>
      </c>
      <c r="B487" s="27" t="str">
        <f t="shared" si="1"/>
        <v/>
      </c>
      <c r="C487" s="14" t="str">
        <f>IF($A487&lt;&gt;"",MINIFS(Merchant!$A:$A,Merchant!$B:$B,$G$2),)</f>
        <v/>
      </c>
      <c r="D487" s="14" t="str">
        <f t="shared" si="2"/>
        <v/>
      </c>
      <c r="E487" s="14" t="str">
        <f t="shared" si="3"/>
        <v/>
      </c>
      <c r="F487" s="7" t="str">
        <f>IF($A487&lt;&gt;"",MAXIFS(Token!$C:$C,Token!$A:$A,$D487),)</f>
        <v/>
      </c>
    </row>
    <row r="488">
      <c r="A488" s="39" t="str">
        <f>IF(AND($L488*1&gt;=$G$3,$L488*1&lt;=$G$4,$I488*$J488&gt;0,OR($I488&lt;&gt;$I489,$L488-$L489&gt;25),IF(ABS($I488)&gt;10,$I488/POW(10,$J488),$J488/POW(10,$I488))*MAXIFS(Token!$C:$C,Token!$A:$A,$K488)&gt;0.01),$L488/86400+DATE(1970,1,1)+$G$6,)</f>
        <v/>
      </c>
      <c r="B488" s="27" t="str">
        <f t="shared" si="1"/>
        <v/>
      </c>
      <c r="C488" s="14" t="str">
        <f>IF($A488&lt;&gt;"",MINIFS(Merchant!$A:$A,Merchant!$B:$B,$G$2),)</f>
        <v/>
      </c>
      <c r="D488" s="14" t="str">
        <f t="shared" si="2"/>
        <v/>
      </c>
      <c r="E488" s="14" t="str">
        <f t="shared" si="3"/>
        <v/>
      </c>
      <c r="F488" s="7" t="str">
        <f>IF($A488&lt;&gt;"",MAXIFS(Token!$C:$C,Token!$A:$A,$D488),)</f>
        <v/>
      </c>
    </row>
    <row r="489">
      <c r="A489" s="39" t="str">
        <f>IF(AND($L489*1&gt;=$G$3,$L489*1&lt;=$G$4,$I489*$J489&gt;0,OR($I489&lt;&gt;$I490,$L489-$L490&gt;25),IF(ABS($I489)&gt;10,$I489/POW(10,$J489),$J489/POW(10,$I489))*MAXIFS(Token!$C:$C,Token!$A:$A,$K489)&gt;0.01),$L489/86400+DATE(1970,1,1)+$G$6,)</f>
        <v/>
      </c>
      <c r="B489" s="27" t="str">
        <f t="shared" si="1"/>
        <v/>
      </c>
      <c r="C489" s="14" t="str">
        <f>IF($A489&lt;&gt;"",MINIFS(Merchant!$A:$A,Merchant!$B:$B,$G$2),)</f>
        <v/>
      </c>
      <c r="D489" s="14" t="str">
        <f t="shared" si="2"/>
        <v/>
      </c>
      <c r="E489" s="14" t="str">
        <f t="shared" si="3"/>
        <v/>
      </c>
      <c r="F489" s="7" t="str">
        <f>IF($A489&lt;&gt;"",MAXIFS(Token!$C:$C,Token!$A:$A,$D489),)</f>
        <v/>
      </c>
    </row>
    <row r="490">
      <c r="A490" s="39" t="str">
        <f>IF(AND($L490*1&gt;=$G$3,$L490*1&lt;=$G$4,$I490*$J490&gt;0,OR($I490&lt;&gt;$I491,$L490-$L491&gt;25),IF(ABS($I490)&gt;10,$I490/POW(10,$J490),$J490/POW(10,$I490))*MAXIFS(Token!$C:$C,Token!$A:$A,$K490)&gt;0.01),$L490/86400+DATE(1970,1,1)+$G$6,)</f>
        <v/>
      </c>
      <c r="B490" s="27" t="str">
        <f t="shared" si="1"/>
        <v/>
      </c>
      <c r="C490" s="14" t="str">
        <f>IF($A490&lt;&gt;"",MINIFS(Merchant!$A:$A,Merchant!$B:$B,$G$2),)</f>
        <v/>
      </c>
      <c r="D490" s="14" t="str">
        <f t="shared" si="2"/>
        <v/>
      </c>
      <c r="E490" s="14" t="str">
        <f t="shared" si="3"/>
        <v/>
      </c>
      <c r="F490" s="7" t="str">
        <f>IF($A490&lt;&gt;"",MAXIFS(Token!$C:$C,Token!$A:$A,$D490),)</f>
        <v/>
      </c>
    </row>
    <row r="491">
      <c r="A491" s="39" t="str">
        <f>IF(AND($L491*1&gt;=$G$3,$L491*1&lt;=$G$4,$I491*$J491&gt;0,OR($I491&lt;&gt;$I492,$L491-$L492&gt;25),IF(ABS($I491)&gt;10,$I491/POW(10,$J491),$J491/POW(10,$I491))*MAXIFS(Token!$C:$C,Token!$A:$A,$K491)&gt;0.01),$L491/86400+DATE(1970,1,1)+$G$6,)</f>
        <v/>
      </c>
      <c r="B491" s="27" t="str">
        <f t="shared" si="1"/>
        <v/>
      </c>
      <c r="C491" s="14" t="str">
        <f>IF($A491&lt;&gt;"",MINIFS(Merchant!$A:$A,Merchant!$B:$B,$G$2),)</f>
        <v/>
      </c>
      <c r="D491" s="14" t="str">
        <f t="shared" si="2"/>
        <v/>
      </c>
      <c r="E491" s="14" t="str">
        <f t="shared" si="3"/>
        <v/>
      </c>
      <c r="F491" s="7" t="str">
        <f>IF($A491&lt;&gt;"",MAXIFS(Token!$C:$C,Token!$A:$A,$D491),)</f>
        <v/>
      </c>
    </row>
    <row r="492">
      <c r="A492" s="39" t="str">
        <f>IF(AND($L492*1&gt;=$G$3,$L492*1&lt;=$G$4,$I492*$J492&gt;0,OR($I492&lt;&gt;$I493,$L492-$L493&gt;25),IF(ABS($I492)&gt;10,$I492/POW(10,$J492),$J492/POW(10,$I492))*MAXIFS(Token!$C:$C,Token!$A:$A,$K492)&gt;0.01),$L492/86400+DATE(1970,1,1)+$G$6,)</f>
        <v/>
      </c>
      <c r="B492" s="27" t="str">
        <f t="shared" si="1"/>
        <v/>
      </c>
      <c r="C492" s="14" t="str">
        <f>IF($A492&lt;&gt;"",MINIFS(Merchant!$A:$A,Merchant!$B:$B,$G$2),)</f>
        <v/>
      </c>
      <c r="D492" s="14" t="str">
        <f t="shared" si="2"/>
        <v/>
      </c>
      <c r="E492" s="14" t="str">
        <f t="shared" si="3"/>
        <v/>
      </c>
      <c r="F492" s="7" t="str">
        <f>IF($A492&lt;&gt;"",MAXIFS(Token!$C:$C,Token!$A:$A,$D492),)</f>
        <v/>
      </c>
    </row>
    <row r="493">
      <c r="A493" s="39" t="str">
        <f>IF(AND($L493*1&gt;=$G$3,$L493*1&lt;=$G$4,$I493*$J493&gt;0,OR($I493&lt;&gt;$I494,$L493-$L494&gt;25),IF(ABS($I493)&gt;10,$I493/POW(10,$J493),$J493/POW(10,$I493))*MAXIFS(Token!$C:$C,Token!$A:$A,$K493)&gt;0.01),$L493/86400+DATE(1970,1,1)+$G$6,)</f>
        <v/>
      </c>
      <c r="B493" s="27" t="str">
        <f t="shared" si="1"/>
        <v/>
      </c>
      <c r="C493" s="14" t="str">
        <f>IF($A493&lt;&gt;"",MINIFS(Merchant!$A:$A,Merchant!$B:$B,$G$2),)</f>
        <v/>
      </c>
      <c r="D493" s="14" t="str">
        <f t="shared" si="2"/>
        <v/>
      </c>
      <c r="E493" s="14" t="str">
        <f t="shared" si="3"/>
        <v/>
      </c>
      <c r="F493" s="7" t="str">
        <f>IF($A493&lt;&gt;"",MAXIFS(Token!$C:$C,Token!$A:$A,$D493),)</f>
        <v/>
      </c>
    </row>
    <row r="494">
      <c r="A494" s="39" t="str">
        <f>IF(AND($L494*1&gt;=$G$3,$L494*1&lt;=$G$4,$I494*$J494&gt;0,OR($I494&lt;&gt;$I495,$L494-$L495&gt;25),IF(ABS($I494)&gt;10,$I494/POW(10,$J494),$J494/POW(10,$I494))*MAXIFS(Token!$C:$C,Token!$A:$A,$K494)&gt;0.01),$L494/86400+DATE(1970,1,1)+$G$6,)</f>
        <v/>
      </c>
      <c r="B494" s="27" t="str">
        <f t="shared" si="1"/>
        <v/>
      </c>
      <c r="C494" s="14" t="str">
        <f>IF($A494&lt;&gt;"",MINIFS(Merchant!$A:$A,Merchant!$B:$B,$G$2),)</f>
        <v/>
      </c>
      <c r="D494" s="14" t="str">
        <f t="shared" si="2"/>
        <v/>
      </c>
      <c r="E494" s="14" t="str">
        <f t="shared" si="3"/>
        <v/>
      </c>
      <c r="F494" s="7" t="str">
        <f>IF($A494&lt;&gt;"",MAXIFS(Token!$C:$C,Token!$A:$A,$D494),)</f>
        <v/>
      </c>
    </row>
    <row r="495">
      <c r="A495" s="39" t="str">
        <f>IF(AND($L495*1&gt;=$G$3,$L495*1&lt;=$G$4,$I495*$J495&gt;0,OR($I495&lt;&gt;$I496,$L495-$L496&gt;25),IF(ABS($I495)&gt;10,$I495/POW(10,$J495),$J495/POW(10,$I495))*MAXIFS(Token!$C:$C,Token!$A:$A,$K495)&gt;0.01),$L495/86400+DATE(1970,1,1)+$G$6,)</f>
        <v/>
      </c>
      <c r="B495" s="27" t="str">
        <f t="shared" si="1"/>
        <v/>
      </c>
      <c r="C495" s="14" t="str">
        <f>IF($A495&lt;&gt;"",MINIFS(Merchant!$A:$A,Merchant!$B:$B,$G$2),)</f>
        <v/>
      </c>
      <c r="D495" s="14" t="str">
        <f t="shared" si="2"/>
        <v/>
      </c>
      <c r="E495" s="14" t="str">
        <f t="shared" si="3"/>
        <v/>
      </c>
      <c r="F495" s="7" t="str">
        <f>IF($A495&lt;&gt;"",MAXIFS(Token!$C:$C,Token!$A:$A,$D495),)</f>
        <v/>
      </c>
    </row>
    <row r="496">
      <c r="A496" s="39" t="str">
        <f>IF(AND($L496*1&gt;=$G$3,$L496*1&lt;=$G$4,$I496*$J496&gt;0,OR($I496&lt;&gt;$I497,$L496-$L497&gt;25),IF(ABS($I496)&gt;10,$I496/POW(10,$J496),$J496/POW(10,$I496))*MAXIFS(Token!$C:$C,Token!$A:$A,$K496)&gt;0.01),$L496/86400+DATE(1970,1,1)+$G$6,)</f>
        <v/>
      </c>
      <c r="B496" s="27" t="str">
        <f t="shared" si="1"/>
        <v/>
      </c>
      <c r="C496" s="14" t="str">
        <f>IF($A496&lt;&gt;"",MINIFS(Merchant!$A:$A,Merchant!$B:$B,$G$2),)</f>
        <v/>
      </c>
      <c r="D496" s="14" t="str">
        <f t="shared" si="2"/>
        <v/>
      </c>
      <c r="E496" s="14" t="str">
        <f t="shared" si="3"/>
        <v/>
      </c>
      <c r="F496" s="7" t="str">
        <f>IF($A496&lt;&gt;"",MAXIFS(Token!$C:$C,Token!$A:$A,$D496),)</f>
        <v/>
      </c>
    </row>
    <row r="497">
      <c r="A497" s="39" t="str">
        <f>IF(AND($L497*1&gt;=$G$3,$L497*1&lt;=$G$4,$I497*$J497&gt;0,OR($I497&lt;&gt;$I498,$L497-$L498&gt;25),IF(ABS($I497)&gt;10,$I497/POW(10,$J497),$J497/POW(10,$I497))*MAXIFS(Token!$C:$C,Token!$A:$A,$K497)&gt;0.01),$L497/86400+DATE(1970,1,1)+$G$6,)</f>
        <v/>
      </c>
      <c r="B497" s="27" t="str">
        <f t="shared" si="1"/>
        <v/>
      </c>
      <c r="C497" s="14" t="str">
        <f>IF($A497&lt;&gt;"",MINIFS(Merchant!$A:$A,Merchant!$B:$B,$G$2),)</f>
        <v/>
      </c>
      <c r="D497" s="14" t="str">
        <f t="shared" si="2"/>
        <v/>
      </c>
      <c r="E497" s="14" t="str">
        <f t="shared" si="3"/>
        <v/>
      </c>
      <c r="F497" s="7" t="str">
        <f>IF($A497&lt;&gt;"",MAXIFS(Token!$C:$C,Token!$A:$A,$D497),)</f>
        <v/>
      </c>
    </row>
    <row r="498">
      <c r="A498" s="39" t="str">
        <f>IF(AND($L498*1&gt;=$G$3,$L498*1&lt;=$G$4,$I498*$J498&gt;0,OR($I498&lt;&gt;$I499,$L498-$L499&gt;25),IF(ABS($I498)&gt;10,$I498/POW(10,$J498),$J498/POW(10,$I498))*MAXIFS(Token!$C:$C,Token!$A:$A,$K498)&gt;0.01),$L498/86400+DATE(1970,1,1)+$G$6,)</f>
        <v/>
      </c>
      <c r="B498" s="27" t="str">
        <f t="shared" si="1"/>
        <v/>
      </c>
      <c r="C498" s="14" t="str">
        <f>IF($A498&lt;&gt;"",MINIFS(Merchant!$A:$A,Merchant!$B:$B,$G$2),)</f>
        <v/>
      </c>
      <c r="D498" s="14" t="str">
        <f t="shared" si="2"/>
        <v/>
      </c>
      <c r="E498" s="14" t="str">
        <f t="shared" si="3"/>
        <v/>
      </c>
      <c r="F498" s="7" t="str">
        <f>IF($A498&lt;&gt;"",MAXIFS(Token!$C:$C,Token!$A:$A,$D498),)</f>
        <v/>
      </c>
    </row>
    <row r="499">
      <c r="A499" s="39" t="str">
        <f>IF(AND($L499*1&gt;=$G$3,$L499*1&lt;=$G$4,$I499*$J499&gt;0,OR($I499&lt;&gt;$I500,$L499-$L500&gt;25),IF(ABS($I499)&gt;10,$I499/POW(10,$J499),$J499/POW(10,$I499))*MAXIFS(Token!$C:$C,Token!$A:$A,$K499)&gt;0.01),$L499/86400+DATE(1970,1,1)+$G$6,)</f>
        <v/>
      </c>
      <c r="B499" s="27" t="str">
        <f t="shared" si="1"/>
        <v/>
      </c>
      <c r="C499" s="14" t="str">
        <f>IF($A499&lt;&gt;"",MINIFS(Merchant!$A:$A,Merchant!$B:$B,$G$2),)</f>
        <v/>
      </c>
      <c r="D499" s="14" t="str">
        <f t="shared" si="2"/>
        <v/>
      </c>
      <c r="E499" s="14" t="str">
        <f t="shared" si="3"/>
        <v/>
      </c>
      <c r="F499" s="7" t="str">
        <f>IF($A499&lt;&gt;"",MAXIFS(Token!$C:$C,Token!$A:$A,$D499),)</f>
        <v/>
      </c>
    </row>
    <row r="500">
      <c r="A500" s="39" t="str">
        <f>IF(AND($L500*1&gt;=$G$3,$L500*1&lt;=$G$4,$I500*$J500&gt;0,OR($I500&lt;&gt;$I501,$L500-$L501&gt;25),IF(ABS($I500)&gt;10,$I500/POW(10,$J500),$J500/POW(10,$I500))*MAXIFS(Token!$C:$C,Token!$A:$A,$K500)&gt;0.01),$L500/86400+DATE(1970,1,1)+$G$6,)</f>
        <v/>
      </c>
      <c r="B500" s="27" t="str">
        <f t="shared" si="1"/>
        <v/>
      </c>
      <c r="C500" s="14" t="str">
        <f>IF($A500&lt;&gt;"",MINIFS(Merchant!$A:$A,Merchant!$B:$B,$G$2),)</f>
        <v/>
      </c>
      <c r="D500" s="14" t="str">
        <f t="shared" si="2"/>
        <v/>
      </c>
      <c r="E500" s="14" t="str">
        <f t="shared" si="3"/>
        <v/>
      </c>
      <c r="F500" s="7" t="str">
        <f>IF($A500&lt;&gt;"",MAXIFS(Token!$C:$C,Token!$A:$A,$D500),)</f>
        <v/>
      </c>
    </row>
    <row r="501">
      <c r="A501" s="39" t="str">
        <f>IF(AND($L501*1&gt;=$G$3,$L501*1&lt;=$G$4,$I501*$J501&gt;0,OR($I501&lt;&gt;$I502,$L501-$L502&gt;25),IF(ABS($I501)&gt;10,$I501/POW(10,$J501),$J501/POW(10,$I501))*MAXIFS(Token!$C:$C,Token!$A:$A,$K501)&gt;0.01),$L501/86400+DATE(1970,1,1)+$G$6,)</f>
        <v/>
      </c>
      <c r="B501" s="27" t="str">
        <f t="shared" si="1"/>
        <v/>
      </c>
      <c r="C501" s="14" t="str">
        <f>IF($A501&lt;&gt;"",MINIFS(Merchant!$A:$A,Merchant!$B:$B,$G$2),)</f>
        <v/>
      </c>
      <c r="D501" s="14" t="str">
        <f t="shared" si="2"/>
        <v/>
      </c>
      <c r="E501" s="14" t="str">
        <f t="shared" si="3"/>
        <v/>
      </c>
      <c r="F501" s="7" t="str">
        <f>IF($A501&lt;&gt;"",MAXIFS(Token!$C:$C,Token!$A:$A,$D501),)</f>
        <v/>
      </c>
    </row>
    <row r="502">
      <c r="A502" s="39" t="str">
        <f>IF(AND($L502*1&gt;=$G$3,$L502*1&lt;=$G$4,$I502*$J502&gt;0,OR($I502&lt;&gt;$I503,$L502-$L503&gt;25),IF(ABS($I502)&gt;10,$I502/POW(10,$J502),$J502/POW(10,$I502))*MAXIFS(Token!$C:$C,Token!$A:$A,$K502)&gt;0.01),$L502/86400+DATE(1970,1,1)+$G$6,)</f>
        <v/>
      </c>
      <c r="B502" s="27" t="str">
        <f t="shared" si="1"/>
        <v/>
      </c>
      <c r="C502" s="14" t="str">
        <f>IF($A502&lt;&gt;"",MINIFS(Merchant!$A:$A,Merchant!$B:$B,$G$2),)</f>
        <v/>
      </c>
      <c r="D502" s="14" t="str">
        <f t="shared" si="2"/>
        <v/>
      </c>
      <c r="E502" s="14" t="str">
        <f t="shared" si="3"/>
        <v/>
      </c>
      <c r="F502" s="7" t="str">
        <f>IF($A502&lt;&gt;"",MAXIFS(Token!$C:$C,Token!$A:$A,$D502),)</f>
        <v/>
      </c>
    </row>
    <row r="503">
      <c r="A503" s="39" t="str">
        <f>IF(AND($L503*1&gt;=$G$3,$L503*1&lt;=$G$4,$I503*$J503&gt;0,OR($I503&lt;&gt;$I504,$L503-$L504&gt;25),IF(ABS($I503)&gt;10,$I503/POW(10,$J503),$J503/POW(10,$I503))*MAXIFS(Token!$C:$C,Token!$A:$A,$K503)&gt;0.01),$L503/86400+DATE(1970,1,1)+$G$6,)</f>
        <v/>
      </c>
      <c r="B503" s="27" t="str">
        <f t="shared" si="1"/>
        <v/>
      </c>
      <c r="C503" s="14" t="str">
        <f>IF($A503&lt;&gt;"",MINIFS(Merchant!$A:$A,Merchant!$B:$B,$G$2),)</f>
        <v/>
      </c>
      <c r="D503" s="14" t="str">
        <f t="shared" si="2"/>
        <v/>
      </c>
      <c r="E503" s="14" t="str">
        <f t="shared" si="3"/>
        <v/>
      </c>
      <c r="F503" s="7" t="str">
        <f>IF($A503&lt;&gt;"",MAXIFS(Token!$C:$C,Token!$A:$A,$D503),)</f>
        <v/>
      </c>
    </row>
    <row r="504">
      <c r="A504" s="39" t="str">
        <f>IF(AND($L504*1&gt;=$G$3,$L504*1&lt;=$G$4,$I504*$J504&gt;0,OR($I504&lt;&gt;$I505,$L504-$L505&gt;25),IF(ABS($I504)&gt;10,$I504/POW(10,$J504),$J504/POW(10,$I504))*MAXIFS(Token!$C:$C,Token!$A:$A,$K504)&gt;0.01),$L504/86400+DATE(1970,1,1)+$G$6,)</f>
        <v/>
      </c>
      <c r="B504" s="27" t="str">
        <f t="shared" si="1"/>
        <v/>
      </c>
      <c r="C504" s="14" t="str">
        <f>IF($A504&lt;&gt;"",MINIFS(Merchant!$A:$A,Merchant!$B:$B,$G$2),)</f>
        <v/>
      </c>
      <c r="D504" s="14" t="str">
        <f t="shared" si="2"/>
        <v/>
      </c>
      <c r="E504" s="14" t="str">
        <f t="shared" si="3"/>
        <v/>
      </c>
      <c r="F504" s="7" t="str">
        <f>IF($A504&lt;&gt;"",MAXIFS(Token!$C:$C,Token!$A:$A,$D504),)</f>
        <v/>
      </c>
    </row>
    <row r="505">
      <c r="A505" s="39" t="str">
        <f>IF(AND($L505*1&gt;=$G$3,$L505*1&lt;=$G$4,$I505*$J505&gt;0,OR($I505&lt;&gt;$I506,$L505-$L506&gt;25),IF(ABS($I505)&gt;10,$I505/POW(10,$J505),$J505/POW(10,$I505))*MAXIFS(Token!$C:$C,Token!$A:$A,$K505)&gt;0.01),$L505/86400+DATE(1970,1,1)+$G$6,)</f>
        <v/>
      </c>
      <c r="B505" s="27" t="str">
        <f t="shared" si="1"/>
        <v/>
      </c>
      <c r="C505" s="14" t="str">
        <f>IF($A505&lt;&gt;"",MINIFS(Merchant!$A:$A,Merchant!$B:$B,$G$2),)</f>
        <v/>
      </c>
      <c r="D505" s="14" t="str">
        <f t="shared" si="2"/>
        <v/>
      </c>
      <c r="E505" s="14" t="str">
        <f t="shared" si="3"/>
        <v/>
      </c>
      <c r="F505" s="7" t="str">
        <f>IF($A505&lt;&gt;"",MAXIFS(Token!$C:$C,Token!$A:$A,$D505),)</f>
        <v/>
      </c>
    </row>
    <row r="506">
      <c r="A506" s="39" t="str">
        <f>IF(AND($L506*1&gt;=$G$3,$L506*1&lt;=$G$4,$I506*$J506&gt;0,OR($I506&lt;&gt;$I507,$L506-$L507&gt;25),IF(ABS($I506)&gt;10,$I506/POW(10,$J506),$J506/POW(10,$I506))*MAXIFS(Token!$C:$C,Token!$A:$A,$K506)&gt;0.01),$L506/86400+DATE(1970,1,1)+$G$6,)</f>
        <v/>
      </c>
      <c r="B506" s="27" t="str">
        <f t="shared" si="1"/>
        <v/>
      </c>
      <c r="C506" s="14" t="str">
        <f>IF($A506&lt;&gt;"",MINIFS(Merchant!$A:$A,Merchant!$B:$B,$G$2),)</f>
        <v/>
      </c>
      <c r="D506" s="14" t="str">
        <f t="shared" si="2"/>
        <v/>
      </c>
      <c r="E506" s="14" t="str">
        <f t="shared" si="3"/>
        <v/>
      </c>
      <c r="F506" s="7" t="str">
        <f>IF($A506&lt;&gt;"",MAXIFS(Token!$C:$C,Token!$A:$A,$D506),)</f>
        <v/>
      </c>
    </row>
    <row r="507">
      <c r="A507" s="39" t="str">
        <f>IF(AND($L507*1&gt;=$G$3,$L507*1&lt;=$G$4,$I507*$J507&gt;0,OR($I507&lt;&gt;$I508,$L507-$L508&gt;25),IF(ABS($I507)&gt;10,$I507/POW(10,$J507),$J507/POW(10,$I507))*MAXIFS(Token!$C:$C,Token!$A:$A,$K507)&gt;0.01),$L507/86400+DATE(1970,1,1)+$G$6,)</f>
        <v/>
      </c>
      <c r="B507" s="27" t="str">
        <f t="shared" si="1"/>
        <v/>
      </c>
      <c r="C507" s="14" t="str">
        <f>IF($A507&lt;&gt;"",MINIFS(Merchant!$A:$A,Merchant!$B:$B,$G$2),)</f>
        <v/>
      </c>
      <c r="D507" s="14" t="str">
        <f t="shared" si="2"/>
        <v/>
      </c>
      <c r="E507" s="14" t="str">
        <f t="shared" si="3"/>
        <v/>
      </c>
      <c r="F507" s="7" t="str">
        <f>IF($A507&lt;&gt;"",MAXIFS(Token!$C:$C,Token!$A:$A,$D507),)</f>
        <v/>
      </c>
    </row>
    <row r="508">
      <c r="A508" s="39" t="str">
        <f>IF(AND($L508*1&gt;=$G$3,$L508*1&lt;=$G$4,$I508*$J508&gt;0,OR($I508&lt;&gt;$I509,$L508-$L509&gt;25),IF(ABS($I508)&gt;10,$I508/POW(10,$J508),$J508/POW(10,$I508))*MAXIFS(Token!$C:$C,Token!$A:$A,$K508)&gt;0.01),$L508/86400+DATE(1970,1,1)+$G$6,)</f>
        <v/>
      </c>
      <c r="B508" s="27" t="str">
        <f t="shared" si="1"/>
        <v/>
      </c>
      <c r="C508" s="14" t="str">
        <f>IF($A508&lt;&gt;"",MINIFS(Merchant!$A:$A,Merchant!$B:$B,$G$2),)</f>
        <v/>
      </c>
      <c r="D508" s="14" t="str">
        <f t="shared" si="2"/>
        <v/>
      </c>
      <c r="E508" s="14" t="str">
        <f t="shared" si="3"/>
        <v/>
      </c>
      <c r="F508" s="7" t="str">
        <f>IF($A508&lt;&gt;"",MAXIFS(Token!$C:$C,Token!$A:$A,$D508),)</f>
        <v/>
      </c>
    </row>
    <row r="509">
      <c r="A509" s="39" t="str">
        <f>IF(AND($L509*1&gt;=$G$3,$L509*1&lt;=$G$4,$I509*$J509&gt;0,OR($I509&lt;&gt;$I510,$L509-$L510&gt;25),IF(ABS($I509)&gt;10,$I509/POW(10,$J509),$J509/POW(10,$I509))*MAXIFS(Token!$C:$C,Token!$A:$A,$K509)&gt;0.01),$L509/86400+DATE(1970,1,1)+$G$6,)</f>
        <v/>
      </c>
      <c r="B509" s="27" t="str">
        <f t="shared" si="1"/>
        <v/>
      </c>
      <c r="C509" s="14" t="str">
        <f>IF($A509&lt;&gt;"",MINIFS(Merchant!$A:$A,Merchant!$B:$B,$G$2),)</f>
        <v/>
      </c>
      <c r="D509" s="14" t="str">
        <f t="shared" si="2"/>
        <v/>
      </c>
      <c r="E509" s="14" t="str">
        <f t="shared" si="3"/>
        <v/>
      </c>
      <c r="F509" s="7" t="str">
        <f>IF($A509&lt;&gt;"",MAXIFS(Token!$C:$C,Token!$A:$A,$D509),)</f>
        <v/>
      </c>
    </row>
    <row r="510">
      <c r="A510" s="39" t="str">
        <f>IF(AND($L510*1&gt;=$G$3,$L510*1&lt;=$G$4,$I510*$J510&gt;0,OR($I510&lt;&gt;$I511,$L510-$L511&gt;25),IF(ABS($I510)&gt;10,$I510/POW(10,$J510),$J510/POW(10,$I510))*MAXIFS(Token!$C:$C,Token!$A:$A,$K510)&gt;0.01),$L510/86400+DATE(1970,1,1)+$G$6,)</f>
        <v/>
      </c>
      <c r="B510" s="27" t="str">
        <f t="shared" si="1"/>
        <v/>
      </c>
      <c r="C510" s="14" t="str">
        <f>IF($A510&lt;&gt;"",MINIFS(Merchant!$A:$A,Merchant!$B:$B,$G$2),)</f>
        <v/>
      </c>
      <c r="D510" s="14" t="str">
        <f t="shared" si="2"/>
        <v/>
      </c>
      <c r="E510" s="14" t="str">
        <f t="shared" si="3"/>
        <v/>
      </c>
      <c r="F510" s="7" t="str">
        <f>IF($A510&lt;&gt;"",MAXIFS(Token!$C:$C,Token!$A:$A,$D510),)</f>
        <v/>
      </c>
    </row>
    <row r="511">
      <c r="A511" s="39" t="str">
        <f>IF(AND($L511*1&gt;=$G$3,$L511*1&lt;=$G$4,$I511*$J511&gt;0,OR($I511&lt;&gt;$I512,$L511-$L512&gt;25),IF(ABS($I511)&gt;10,$I511/POW(10,$J511),$J511/POW(10,$I511))*MAXIFS(Token!$C:$C,Token!$A:$A,$K511)&gt;0.01),$L511/86400+DATE(1970,1,1)+$G$6,)</f>
        <v/>
      </c>
      <c r="B511" s="27" t="str">
        <f t="shared" si="1"/>
        <v/>
      </c>
      <c r="C511" s="14" t="str">
        <f>IF($A511&lt;&gt;"",MINIFS(Merchant!$A:$A,Merchant!$B:$B,$G$2),)</f>
        <v/>
      </c>
      <c r="D511" s="14" t="str">
        <f t="shared" si="2"/>
        <v/>
      </c>
      <c r="E511" s="14" t="str">
        <f t="shared" si="3"/>
        <v/>
      </c>
      <c r="F511" s="7" t="str">
        <f>IF($A511&lt;&gt;"",MAXIFS(Token!$C:$C,Token!$A:$A,$D511),)</f>
        <v/>
      </c>
    </row>
    <row r="512">
      <c r="A512" s="39" t="str">
        <f>IF(AND($L512*1&gt;=$G$3,$L512*1&lt;=$G$4,$I512*$J512&gt;0,OR($I512&lt;&gt;$I513,$L512-$L513&gt;25),IF(ABS($I512)&gt;10,$I512/POW(10,$J512),$J512/POW(10,$I512))*MAXIFS(Token!$C:$C,Token!$A:$A,$K512)&gt;0.01),$L512/86400+DATE(1970,1,1)+$G$6,)</f>
        <v/>
      </c>
      <c r="B512" s="27" t="str">
        <f t="shared" si="1"/>
        <v/>
      </c>
      <c r="C512" s="14" t="str">
        <f>IF($A512&lt;&gt;"",MINIFS(Merchant!$A:$A,Merchant!$B:$B,$G$2),)</f>
        <v/>
      </c>
      <c r="D512" s="14" t="str">
        <f t="shared" si="2"/>
        <v/>
      </c>
      <c r="E512" s="14" t="str">
        <f t="shared" si="3"/>
        <v/>
      </c>
      <c r="F512" s="7" t="str">
        <f>IF($A512&lt;&gt;"",MAXIFS(Token!$C:$C,Token!$A:$A,$D512),)</f>
        <v/>
      </c>
    </row>
    <row r="513">
      <c r="A513" s="39" t="str">
        <f>IF(AND($L513*1&gt;=$G$3,$L513*1&lt;=$G$4,$I513*$J513&gt;0,OR($I513&lt;&gt;$I514,$L513-$L514&gt;25),IF(ABS($I513)&gt;10,$I513/POW(10,$J513),$J513/POW(10,$I513))*MAXIFS(Token!$C:$C,Token!$A:$A,$K513)&gt;0.01),$L513/86400+DATE(1970,1,1)+$G$6,)</f>
        <v/>
      </c>
      <c r="B513" s="27" t="str">
        <f t="shared" si="1"/>
        <v/>
      </c>
      <c r="C513" s="14" t="str">
        <f>IF($A513&lt;&gt;"",MINIFS(Merchant!$A:$A,Merchant!$B:$B,$G$2),)</f>
        <v/>
      </c>
      <c r="D513" s="14" t="str">
        <f t="shared" si="2"/>
        <v/>
      </c>
      <c r="E513" s="14" t="str">
        <f t="shared" si="3"/>
        <v/>
      </c>
      <c r="F513" s="7" t="str">
        <f>IF($A513&lt;&gt;"",MAXIFS(Token!$C:$C,Token!$A:$A,$D513),)</f>
        <v/>
      </c>
    </row>
    <row r="514">
      <c r="A514" s="39" t="str">
        <f>IF(AND($L514*1&gt;=$G$3,$L514*1&lt;=$G$4,$I514*$J514&gt;0,OR($I514&lt;&gt;$I515,$L514-$L515&gt;25),IF(ABS($I514)&gt;10,$I514/POW(10,$J514),$J514/POW(10,$I514))*MAXIFS(Token!$C:$C,Token!$A:$A,$K514)&gt;0.01),$L514/86400+DATE(1970,1,1)+$G$6,)</f>
        <v/>
      </c>
      <c r="B514" s="27" t="str">
        <f t="shared" si="1"/>
        <v/>
      </c>
      <c r="C514" s="14" t="str">
        <f>IF($A514&lt;&gt;"",MINIFS(Merchant!$A:$A,Merchant!$B:$B,$G$2),)</f>
        <v/>
      </c>
      <c r="D514" s="14" t="str">
        <f t="shared" si="2"/>
        <v/>
      </c>
      <c r="E514" s="14" t="str">
        <f t="shared" si="3"/>
        <v/>
      </c>
      <c r="F514" s="7" t="str">
        <f>IF($A514&lt;&gt;"",MAXIFS(Token!$C:$C,Token!$A:$A,$D514),)</f>
        <v/>
      </c>
    </row>
    <row r="515">
      <c r="A515" s="39" t="str">
        <f>IF(AND($L515*1&gt;=$G$3,$L515*1&lt;=$G$4,$I515*$J515&gt;0,OR($I515&lt;&gt;$I516,$L515-$L516&gt;25),IF(ABS($I515)&gt;10,$I515/POW(10,$J515),$J515/POW(10,$I515))*MAXIFS(Token!$C:$C,Token!$A:$A,$K515)&gt;0.01),$L515/86400+DATE(1970,1,1)+$G$6,)</f>
        <v/>
      </c>
      <c r="B515" s="27" t="str">
        <f t="shared" si="1"/>
        <v/>
      </c>
      <c r="C515" s="14" t="str">
        <f>IF($A515&lt;&gt;"",MINIFS(Merchant!$A:$A,Merchant!$B:$B,$G$2),)</f>
        <v/>
      </c>
      <c r="D515" s="14" t="str">
        <f t="shared" si="2"/>
        <v/>
      </c>
      <c r="E515" s="14" t="str">
        <f t="shared" si="3"/>
        <v/>
      </c>
      <c r="F515" s="7" t="str">
        <f>IF($A515&lt;&gt;"",MAXIFS(Token!$C:$C,Token!$A:$A,$D515),)</f>
        <v/>
      </c>
    </row>
    <row r="516">
      <c r="A516" s="39" t="str">
        <f>IF(AND($L516*1&gt;=$G$3,$L516*1&lt;=$G$4,$I516*$J516&gt;0,OR($I516&lt;&gt;$I517,$L516-$L517&gt;25),IF(ABS($I516)&gt;10,$I516/POW(10,$J516),$J516/POW(10,$I516))*MAXIFS(Token!$C:$C,Token!$A:$A,$K516)&gt;0.01),$L516/86400+DATE(1970,1,1)+$G$6,)</f>
        <v/>
      </c>
      <c r="B516" s="27" t="str">
        <f t="shared" si="1"/>
        <v/>
      </c>
      <c r="C516" s="14" t="str">
        <f>IF($A516&lt;&gt;"",MINIFS(Merchant!$A:$A,Merchant!$B:$B,$G$2),)</f>
        <v/>
      </c>
      <c r="D516" s="14" t="str">
        <f t="shared" si="2"/>
        <v/>
      </c>
      <c r="E516" s="14" t="str">
        <f t="shared" si="3"/>
        <v/>
      </c>
      <c r="F516" s="7" t="str">
        <f>IF($A516&lt;&gt;"",MAXIFS(Token!$C:$C,Token!$A:$A,$D516),)</f>
        <v/>
      </c>
    </row>
    <row r="517">
      <c r="A517" s="39" t="str">
        <f>IF(AND($L517*1&gt;=$G$3,$L517*1&lt;=$G$4,$I517*$J517&gt;0,OR($I517&lt;&gt;$I518,$L517-$L518&gt;25),IF(ABS($I517)&gt;10,$I517/POW(10,$J517),$J517/POW(10,$I517))*MAXIFS(Token!$C:$C,Token!$A:$A,$K517)&gt;0.01),$L517/86400+DATE(1970,1,1)+$G$6,)</f>
        <v/>
      </c>
      <c r="B517" s="27" t="str">
        <f t="shared" si="1"/>
        <v/>
      </c>
      <c r="C517" s="14" t="str">
        <f>IF($A517&lt;&gt;"",MINIFS(Merchant!$A:$A,Merchant!$B:$B,$G$2),)</f>
        <v/>
      </c>
      <c r="D517" s="14" t="str">
        <f t="shared" si="2"/>
        <v/>
      </c>
      <c r="E517" s="14" t="str">
        <f t="shared" si="3"/>
        <v/>
      </c>
      <c r="F517" s="7" t="str">
        <f>IF($A517&lt;&gt;"",MAXIFS(Token!$C:$C,Token!$A:$A,$D517),)</f>
        <v/>
      </c>
    </row>
    <row r="518">
      <c r="A518" s="39" t="str">
        <f>IF(AND($L518*1&gt;=$G$3,$L518*1&lt;=$G$4,$I518*$J518&gt;0,OR($I518&lt;&gt;$I519,$L518-$L519&gt;25),IF(ABS($I518)&gt;10,$I518/POW(10,$J518),$J518/POW(10,$I518))*MAXIFS(Token!$C:$C,Token!$A:$A,$K518)&gt;0.01),$L518/86400+DATE(1970,1,1)+$G$6,)</f>
        <v/>
      </c>
      <c r="B518" s="27" t="str">
        <f t="shared" si="1"/>
        <v/>
      </c>
      <c r="C518" s="14" t="str">
        <f>IF($A518&lt;&gt;"",MINIFS(Merchant!$A:$A,Merchant!$B:$B,$G$2),)</f>
        <v/>
      </c>
      <c r="D518" s="14" t="str">
        <f t="shared" si="2"/>
        <v/>
      </c>
      <c r="E518" s="14" t="str">
        <f t="shared" si="3"/>
        <v/>
      </c>
      <c r="F518" s="7" t="str">
        <f>IF($A518&lt;&gt;"",MAXIFS(Token!$C:$C,Token!$A:$A,$D518),)</f>
        <v/>
      </c>
    </row>
    <row r="519">
      <c r="A519" s="39" t="str">
        <f>IF(AND($L519*1&gt;=$G$3,$L519*1&lt;=$G$4,$I519*$J519&gt;0,OR($I519&lt;&gt;$I520,$L519-$L520&gt;25),IF(ABS($I519)&gt;10,$I519/POW(10,$J519),$J519/POW(10,$I519))*MAXIFS(Token!$C:$C,Token!$A:$A,$K519)&gt;0.01),$L519/86400+DATE(1970,1,1)+$G$6,)</f>
        <v/>
      </c>
      <c r="B519" s="27" t="str">
        <f t="shared" si="1"/>
        <v/>
      </c>
      <c r="C519" s="14" t="str">
        <f>IF($A519&lt;&gt;"",MINIFS(Merchant!$A:$A,Merchant!$B:$B,$G$2),)</f>
        <v/>
      </c>
      <c r="D519" s="14" t="str">
        <f t="shared" si="2"/>
        <v/>
      </c>
      <c r="E519" s="14" t="str">
        <f t="shared" si="3"/>
        <v/>
      </c>
      <c r="F519" s="7" t="str">
        <f>IF($A519&lt;&gt;"",MAXIFS(Token!$C:$C,Token!$A:$A,$D519),)</f>
        <v/>
      </c>
    </row>
    <row r="520">
      <c r="A520" s="39" t="str">
        <f>IF(AND($L520*1&gt;=$G$3,$L520*1&lt;=$G$4,$I520*$J520&gt;0,OR($I520&lt;&gt;$I521,$L520-$L521&gt;25),IF(ABS($I520)&gt;10,$I520/POW(10,$J520),$J520/POW(10,$I520))*MAXIFS(Token!$C:$C,Token!$A:$A,$K520)&gt;0.01),$L520/86400+DATE(1970,1,1)+$G$6,)</f>
        <v/>
      </c>
      <c r="B520" s="27" t="str">
        <f t="shared" si="1"/>
        <v/>
      </c>
      <c r="C520" s="14" t="str">
        <f>IF($A520&lt;&gt;"",MINIFS(Merchant!$A:$A,Merchant!$B:$B,$G$2),)</f>
        <v/>
      </c>
      <c r="D520" s="14" t="str">
        <f t="shared" si="2"/>
        <v/>
      </c>
      <c r="E520" s="14" t="str">
        <f t="shared" si="3"/>
        <v/>
      </c>
      <c r="F520" s="7" t="str">
        <f>IF($A520&lt;&gt;"",MAXIFS(Token!$C:$C,Token!$A:$A,$D520),)</f>
        <v/>
      </c>
    </row>
    <row r="521">
      <c r="A521" s="39" t="str">
        <f>IF(AND($L521*1&gt;=$G$3,$L521*1&lt;=$G$4,$I521*$J521&gt;0,OR($I521&lt;&gt;$I522,$L521-$L522&gt;25),IF(ABS($I521)&gt;10,$I521/POW(10,$J521),$J521/POW(10,$I521))*MAXIFS(Token!$C:$C,Token!$A:$A,$K521)&gt;0.01),$L521/86400+DATE(1970,1,1)+$G$6,)</f>
        <v/>
      </c>
      <c r="B521" s="27" t="str">
        <f t="shared" si="1"/>
        <v/>
      </c>
      <c r="C521" s="14" t="str">
        <f>IF($A521&lt;&gt;"",MINIFS(Merchant!$A:$A,Merchant!$B:$B,$G$2),)</f>
        <v/>
      </c>
      <c r="D521" s="14" t="str">
        <f t="shared" si="2"/>
        <v/>
      </c>
      <c r="E521" s="14" t="str">
        <f t="shared" si="3"/>
        <v/>
      </c>
      <c r="F521" s="7" t="str">
        <f>IF($A521&lt;&gt;"",MAXIFS(Token!$C:$C,Token!$A:$A,$D521),)</f>
        <v/>
      </c>
    </row>
    <row r="522">
      <c r="A522" s="39" t="str">
        <f>IF(AND($L522*1&gt;=$G$3,$L522*1&lt;=$G$4,$I522*$J522&gt;0,OR($I522&lt;&gt;$I523,$L522-$L523&gt;25),IF(ABS($I522)&gt;10,$I522/POW(10,$J522),$J522/POW(10,$I522))*MAXIFS(Token!$C:$C,Token!$A:$A,$K522)&gt;0.01),$L522/86400+DATE(1970,1,1)+$G$6,)</f>
        <v/>
      </c>
      <c r="B522" s="27" t="str">
        <f t="shared" si="1"/>
        <v/>
      </c>
      <c r="C522" s="14" t="str">
        <f>IF($A522&lt;&gt;"",MINIFS(Merchant!$A:$A,Merchant!$B:$B,$G$2),)</f>
        <v/>
      </c>
      <c r="D522" s="14" t="str">
        <f t="shared" si="2"/>
        <v/>
      </c>
      <c r="E522" s="14" t="str">
        <f t="shared" si="3"/>
        <v/>
      </c>
      <c r="F522" s="7" t="str">
        <f>IF($A522&lt;&gt;"",MAXIFS(Token!$C:$C,Token!$A:$A,$D522),)</f>
        <v/>
      </c>
    </row>
    <row r="523">
      <c r="A523" s="39" t="str">
        <f>IF(AND($L523*1&gt;=$G$3,$L523*1&lt;=$G$4,$I523*$J523&gt;0,OR($I523&lt;&gt;$I524,$L523-$L524&gt;25),IF(ABS($I523)&gt;10,$I523/POW(10,$J523),$J523/POW(10,$I523))*MAXIFS(Token!$C:$C,Token!$A:$A,$K523)&gt;0.01),$L523/86400+DATE(1970,1,1)+$G$6,)</f>
        <v/>
      </c>
      <c r="B523" s="27" t="str">
        <f t="shared" si="1"/>
        <v/>
      </c>
      <c r="C523" s="14" t="str">
        <f>IF($A523&lt;&gt;"",MINIFS(Merchant!$A:$A,Merchant!$B:$B,$G$2),)</f>
        <v/>
      </c>
      <c r="D523" s="14" t="str">
        <f t="shared" si="2"/>
        <v/>
      </c>
      <c r="E523" s="14" t="str">
        <f t="shared" si="3"/>
        <v/>
      </c>
      <c r="F523" s="7" t="str">
        <f>IF($A523&lt;&gt;"",MAXIFS(Token!$C:$C,Token!$A:$A,$D523),)</f>
        <v/>
      </c>
    </row>
    <row r="524">
      <c r="A524" s="39" t="str">
        <f>IF(AND($L524*1&gt;=$G$3,$L524*1&lt;=$G$4,$I524*$J524&gt;0,OR($I524&lt;&gt;$I525,$L524-$L525&gt;25),IF(ABS($I524)&gt;10,$I524/POW(10,$J524),$J524/POW(10,$I524))*MAXIFS(Token!$C:$C,Token!$A:$A,$K524)&gt;0.01),$L524/86400+DATE(1970,1,1)+$G$6,)</f>
        <v/>
      </c>
      <c r="B524" s="27" t="str">
        <f t="shared" si="1"/>
        <v/>
      </c>
      <c r="C524" s="14" t="str">
        <f>IF($A524&lt;&gt;"",MINIFS(Merchant!$A:$A,Merchant!$B:$B,$G$2),)</f>
        <v/>
      </c>
      <c r="D524" s="14" t="str">
        <f t="shared" si="2"/>
        <v/>
      </c>
      <c r="E524" s="14" t="str">
        <f t="shared" si="3"/>
        <v/>
      </c>
      <c r="F524" s="7" t="str">
        <f>IF($A524&lt;&gt;"",MAXIFS(Token!$C:$C,Token!$A:$A,$D524),)</f>
        <v/>
      </c>
    </row>
    <row r="525">
      <c r="A525" s="39" t="str">
        <f>IF(AND($L525*1&gt;=$G$3,$L525*1&lt;=$G$4,$I525*$J525&gt;0,OR($I525&lt;&gt;$I526,$L525-$L526&gt;25),IF(ABS($I525)&gt;10,$I525/POW(10,$J525),$J525/POW(10,$I525))*MAXIFS(Token!$C:$C,Token!$A:$A,$K525)&gt;0.01),$L525/86400+DATE(1970,1,1)+$G$6,)</f>
        <v/>
      </c>
      <c r="B525" s="27" t="str">
        <f t="shared" si="1"/>
        <v/>
      </c>
      <c r="C525" s="14" t="str">
        <f>IF($A525&lt;&gt;"",MINIFS(Merchant!$A:$A,Merchant!$B:$B,$G$2),)</f>
        <v/>
      </c>
      <c r="D525" s="14" t="str">
        <f t="shared" si="2"/>
        <v/>
      </c>
      <c r="E525" s="14" t="str">
        <f t="shared" si="3"/>
        <v/>
      </c>
      <c r="F525" s="7" t="str">
        <f>IF($A525&lt;&gt;"",MAXIFS(Token!$C:$C,Token!$A:$A,$D525),)</f>
        <v/>
      </c>
    </row>
    <row r="526">
      <c r="A526" s="39" t="str">
        <f>IF(AND($L526*1&gt;=$G$3,$L526*1&lt;=$G$4,$I526*$J526&gt;0,OR($I526&lt;&gt;$I527,$L526-$L527&gt;25),IF(ABS($I526)&gt;10,$I526/POW(10,$J526),$J526/POW(10,$I526))*MAXIFS(Token!$C:$C,Token!$A:$A,$K526)&gt;0.01),$L526/86400+DATE(1970,1,1)+$G$6,)</f>
        <v/>
      </c>
      <c r="B526" s="27" t="str">
        <f t="shared" si="1"/>
        <v/>
      </c>
      <c r="C526" s="14" t="str">
        <f>IF($A526&lt;&gt;"",MINIFS(Merchant!$A:$A,Merchant!$B:$B,$G$2),)</f>
        <v/>
      </c>
      <c r="D526" s="14" t="str">
        <f t="shared" si="2"/>
        <v/>
      </c>
      <c r="E526" s="14" t="str">
        <f t="shared" si="3"/>
        <v/>
      </c>
      <c r="F526" s="7" t="str">
        <f>IF($A526&lt;&gt;"",MAXIFS(Token!$C:$C,Token!$A:$A,$D526),)</f>
        <v/>
      </c>
    </row>
    <row r="527">
      <c r="A527" s="39" t="str">
        <f>IF(AND($L527*1&gt;=$G$3,$L527*1&lt;=$G$4,$I527*$J527&gt;0,OR($I527&lt;&gt;$I528,$L527-$L528&gt;25),IF(ABS($I527)&gt;10,$I527/POW(10,$J527),$J527/POW(10,$I527))*MAXIFS(Token!$C:$C,Token!$A:$A,$K527)&gt;0.01),$L527/86400+DATE(1970,1,1)+$G$6,)</f>
        <v/>
      </c>
      <c r="B527" s="27" t="str">
        <f t="shared" si="1"/>
        <v/>
      </c>
      <c r="C527" s="14" t="str">
        <f>IF($A527&lt;&gt;"",MINIFS(Merchant!$A:$A,Merchant!$B:$B,$G$2),)</f>
        <v/>
      </c>
      <c r="D527" s="14" t="str">
        <f t="shared" si="2"/>
        <v/>
      </c>
      <c r="E527" s="14" t="str">
        <f t="shared" si="3"/>
        <v/>
      </c>
      <c r="F527" s="7" t="str">
        <f>IF($A527&lt;&gt;"",MAXIFS(Token!$C:$C,Token!$A:$A,$D527),)</f>
        <v/>
      </c>
    </row>
    <row r="528">
      <c r="A528" s="39" t="str">
        <f>IF(AND($L528*1&gt;=$G$3,$L528*1&lt;=$G$4,$I528*$J528&gt;0,OR($I528&lt;&gt;$I529,$L528-$L529&gt;25),IF(ABS($I528)&gt;10,$I528/POW(10,$J528),$J528/POW(10,$I528))*MAXIFS(Token!$C:$C,Token!$A:$A,$K528)&gt;0.01),$L528/86400+DATE(1970,1,1)+$G$6,)</f>
        <v/>
      </c>
      <c r="B528" s="27" t="str">
        <f t="shared" si="1"/>
        <v/>
      </c>
      <c r="C528" s="14" t="str">
        <f>IF($A528&lt;&gt;"",MINIFS(Merchant!$A:$A,Merchant!$B:$B,$G$2),)</f>
        <v/>
      </c>
      <c r="D528" s="14" t="str">
        <f t="shared" si="2"/>
        <v/>
      </c>
      <c r="E528" s="14" t="str">
        <f t="shared" si="3"/>
        <v/>
      </c>
      <c r="F528" s="7" t="str">
        <f>IF($A528&lt;&gt;"",MAXIFS(Token!$C:$C,Token!$A:$A,$D528),)</f>
        <v/>
      </c>
    </row>
    <row r="529">
      <c r="A529" s="39" t="str">
        <f>IF(AND($L529*1&gt;=$G$3,$L529*1&lt;=$G$4,$I529*$J529&gt;0,OR($I529&lt;&gt;$I530,$L529-$L530&gt;25),IF(ABS($I529)&gt;10,$I529/POW(10,$J529),$J529/POW(10,$I529))*MAXIFS(Token!$C:$C,Token!$A:$A,$K529)&gt;0.01),$L529/86400+DATE(1970,1,1)+$G$6,)</f>
        <v/>
      </c>
      <c r="B529" s="27" t="str">
        <f t="shared" si="1"/>
        <v/>
      </c>
      <c r="C529" s="14" t="str">
        <f>IF($A529&lt;&gt;"",MINIFS(Merchant!$A:$A,Merchant!$B:$B,$G$2),)</f>
        <v/>
      </c>
      <c r="D529" s="14" t="str">
        <f t="shared" si="2"/>
        <v/>
      </c>
      <c r="E529" s="14" t="str">
        <f t="shared" si="3"/>
        <v/>
      </c>
      <c r="F529" s="7" t="str">
        <f>IF($A529&lt;&gt;"",MAXIFS(Token!$C:$C,Token!$A:$A,$D529),)</f>
        <v/>
      </c>
    </row>
    <row r="530">
      <c r="A530" s="39" t="str">
        <f>IF(AND($L530*1&gt;=$G$3,$L530*1&lt;=$G$4,$I530*$J530&gt;0,OR($I530&lt;&gt;$I531,$L530-$L531&gt;25),IF(ABS($I530)&gt;10,$I530/POW(10,$J530),$J530/POW(10,$I530))*MAXIFS(Token!$C:$C,Token!$A:$A,$K530)&gt;0.01),$L530/86400+DATE(1970,1,1)+$G$6,)</f>
        <v/>
      </c>
      <c r="B530" s="27" t="str">
        <f t="shared" si="1"/>
        <v/>
      </c>
      <c r="C530" s="14" t="str">
        <f>IF($A530&lt;&gt;"",MINIFS(Merchant!$A:$A,Merchant!$B:$B,$G$2),)</f>
        <v/>
      </c>
      <c r="D530" s="14" t="str">
        <f t="shared" si="2"/>
        <v/>
      </c>
      <c r="E530" s="14" t="str">
        <f t="shared" si="3"/>
        <v/>
      </c>
      <c r="F530" s="7" t="str">
        <f>IF($A530&lt;&gt;"",MAXIFS(Token!$C:$C,Token!$A:$A,$D530),)</f>
        <v/>
      </c>
    </row>
    <row r="531">
      <c r="A531" s="39" t="str">
        <f>IF(AND($L531*1&gt;=$G$3,$L531*1&lt;=$G$4,$I531*$J531&gt;0,OR($I531&lt;&gt;$I532,$L531-$L532&gt;25),IF(ABS($I531)&gt;10,$I531/POW(10,$J531),$J531/POW(10,$I531))*MAXIFS(Token!$C:$C,Token!$A:$A,$K531)&gt;0.01),$L531/86400+DATE(1970,1,1)+$G$6,)</f>
        <v/>
      </c>
      <c r="B531" s="27" t="str">
        <f t="shared" si="1"/>
        <v/>
      </c>
      <c r="C531" s="14" t="str">
        <f>IF($A531&lt;&gt;"",MINIFS(Merchant!$A:$A,Merchant!$B:$B,$G$2),)</f>
        <v/>
      </c>
      <c r="D531" s="14" t="str">
        <f t="shared" si="2"/>
        <v/>
      </c>
      <c r="E531" s="14" t="str">
        <f t="shared" si="3"/>
        <v/>
      </c>
      <c r="F531" s="7" t="str">
        <f>IF($A531&lt;&gt;"",MAXIFS(Token!$C:$C,Token!$A:$A,$D531),)</f>
        <v/>
      </c>
    </row>
    <row r="532">
      <c r="A532" s="39" t="str">
        <f>IF(AND($L532*1&gt;=$G$3,$L532*1&lt;=$G$4,$I532*$J532&gt;0,OR($I532&lt;&gt;$I533,$L532-$L533&gt;25),IF(ABS($I532)&gt;10,$I532/POW(10,$J532),$J532/POW(10,$I532))*MAXIFS(Token!$C:$C,Token!$A:$A,$K532)&gt;0.01),$L532/86400+DATE(1970,1,1)+$G$6,)</f>
        <v/>
      </c>
      <c r="B532" s="27" t="str">
        <f t="shared" si="1"/>
        <v/>
      </c>
      <c r="C532" s="14" t="str">
        <f>IF($A532&lt;&gt;"",MINIFS(Merchant!$A:$A,Merchant!$B:$B,$G$2),)</f>
        <v/>
      </c>
      <c r="D532" s="14" t="str">
        <f t="shared" si="2"/>
        <v/>
      </c>
      <c r="E532" s="14" t="str">
        <f t="shared" si="3"/>
        <v/>
      </c>
      <c r="F532" s="7" t="str">
        <f>IF($A532&lt;&gt;"",MAXIFS(Token!$C:$C,Token!$A:$A,$D532),)</f>
        <v/>
      </c>
    </row>
    <row r="533">
      <c r="A533" s="39" t="str">
        <f>IF(AND($L533*1&gt;=$G$3,$L533*1&lt;=$G$4,$I533*$J533&gt;0,OR($I533&lt;&gt;$I534,$L533-$L534&gt;25),IF(ABS($I533)&gt;10,$I533/POW(10,$J533),$J533/POW(10,$I533))*MAXIFS(Token!$C:$C,Token!$A:$A,$K533)&gt;0.01),$L533/86400+DATE(1970,1,1)+$G$6,)</f>
        <v/>
      </c>
      <c r="B533" s="27" t="str">
        <f t="shared" si="1"/>
        <v/>
      </c>
      <c r="C533" s="14" t="str">
        <f>IF($A533&lt;&gt;"",MINIFS(Merchant!$A:$A,Merchant!$B:$B,$G$2),)</f>
        <v/>
      </c>
      <c r="D533" s="14" t="str">
        <f t="shared" si="2"/>
        <v/>
      </c>
      <c r="E533" s="14" t="str">
        <f t="shared" si="3"/>
        <v/>
      </c>
      <c r="F533" s="7" t="str">
        <f>IF($A533&lt;&gt;"",MAXIFS(Token!$C:$C,Token!$A:$A,$D533),)</f>
        <v/>
      </c>
    </row>
    <row r="534">
      <c r="A534" s="39" t="str">
        <f>IF(AND($L534*1&gt;=$G$3,$L534*1&lt;=$G$4,$I534*$J534&gt;0,OR($I534&lt;&gt;$I535,$L534-$L535&gt;25),IF(ABS($I534)&gt;10,$I534/POW(10,$J534),$J534/POW(10,$I534))*MAXIFS(Token!$C:$C,Token!$A:$A,$K534)&gt;0.01),$L534/86400+DATE(1970,1,1)+$G$6,)</f>
        <v/>
      </c>
      <c r="B534" s="27" t="str">
        <f t="shared" si="1"/>
        <v/>
      </c>
      <c r="C534" s="14" t="str">
        <f>IF($A534&lt;&gt;"",MINIFS(Merchant!$A:$A,Merchant!$B:$B,$G$2),)</f>
        <v/>
      </c>
      <c r="D534" s="14" t="str">
        <f t="shared" si="2"/>
        <v/>
      </c>
      <c r="E534" s="14" t="str">
        <f t="shared" si="3"/>
        <v/>
      </c>
      <c r="F534" s="7" t="str">
        <f>IF($A534&lt;&gt;"",MAXIFS(Token!$C:$C,Token!$A:$A,$D534),)</f>
        <v/>
      </c>
    </row>
    <row r="535">
      <c r="A535" s="39" t="str">
        <f>IF(AND($L535*1&gt;=$G$3,$L535*1&lt;=$G$4,$I535*$J535&gt;0,OR($I535&lt;&gt;$I536,$L535-$L536&gt;25),IF(ABS($I535)&gt;10,$I535/POW(10,$J535),$J535/POW(10,$I535))*MAXIFS(Token!$C:$C,Token!$A:$A,$K535)&gt;0.01),$L535/86400+DATE(1970,1,1)+$G$6,)</f>
        <v/>
      </c>
      <c r="B535" s="27" t="str">
        <f t="shared" si="1"/>
        <v/>
      </c>
      <c r="C535" s="14" t="str">
        <f>IF($A535&lt;&gt;"",MINIFS(Merchant!$A:$A,Merchant!$B:$B,$G$2),)</f>
        <v/>
      </c>
      <c r="D535" s="14" t="str">
        <f t="shared" si="2"/>
        <v/>
      </c>
      <c r="E535" s="14" t="str">
        <f t="shared" si="3"/>
        <v/>
      </c>
      <c r="F535" s="7" t="str">
        <f>IF($A535&lt;&gt;"",MAXIFS(Token!$C:$C,Token!$A:$A,$D535),)</f>
        <v/>
      </c>
    </row>
    <row r="536">
      <c r="A536" s="39" t="str">
        <f>IF(AND($L536*1&gt;=$G$3,$L536*1&lt;=$G$4,$I536*$J536&gt;0,OR($I536&lt;&gt;$I537,$L536-$L537&gt;25),IF(ABS($I536)&gt;10,$I536/POW(10,$J536),$J536/POW(10,$I536))*MAXIFS(Token!$C:$C,Token!$A:$A,$K536)&gt;0.01),$L536/86400+DATE(1970,1,1)+$G$6,)</f>
        <v/>
      </c>
      <c r="B536" s="27" t="str">
        <f t="shared" si="1"/>
        <v/>
      </c>
      <c r="C536" s="14" t="str">
        <f>IF($A536&lt;&gt;"",MINIFS(Merchant!$A:$A,Merchant!$B:$B,$G$2),)</f>
        <v/>
      </c>
      <c r="D536" s="14" t="str">
        <f t="shared" si="2"/>
        <v/>
      </c>
      <c r="E536" s="14" t="str">
        <f t="shared" si="3"/>
        <v/>
      </c>
      <c r="F536" s="7" t="str">
        <f>IF($A536&lt;&gt;"",MAXIFS(Token!$C:$C,Token!$A:$A,$D536),)</f>
        <v/>
      </c>
    </row>
    <row r="537">
      <c r="A537" s="39" t="str">
        <f>IF(AND($L537*1&gt;=$G$3,$L537*1&lt;=$G$4,$I537*$J537&gt;0,OR($I537&lt;&gt;$I538,$L537-$L538&gt;25),IF(ABS($I537)&gt;10,$I537/POW(10,$J537),$J537/POW(10,$I537))*MAXIFS(Token!$C:$C,Token!$A:$A,$K537)&gt;0.01),$L537/86400+DATE(1970,1,1)+$G$6,)</f>
        <v/>
      </c>
      <c r="B537" s="27" t="str">
        <f t="shared" si="1"/>
        <v/>
      </c>
      <c r="C537" s="14" t="str">
        <f>IF($A537&lt;&gt;"",MINIFS(Merchant!$A:$A,Merchant!$B:$B,$G$2),)</f>
        <v/>
      </c>
      <c r="D537" s="14" t="str">
        <f t="shared" si="2"/>
        <v/>
      </c>
      <c r="E537" s="14" t="str">
        <f t="shared" si="3"/>
        <v/>
      </c>
      <c r="F537" s="7" t="str">
        <f>IF($A537&lt;&gt;"",MAXIFS(Token!$C:$C,Token!$A:$A,$D537),)</f>
        <v/>
      </c>
    </row>
    <row r="538">
      <c r="A538" s="39" t="str">
        <f>IF(AND($L538*1&gt;=$G$3,$L538*1&lt;=$G$4,$I538*$J538&gt;0,OR($I538&lt;&gt;$I539,$L538-$L539&gt;25),IF(ABS($I538)&gt;10,$I538/POW(10,$J538),$J538/POW(10,$I538))*MAXIFS(Token!$C:$C,Token!$A:$A,$K538)&gt;0.01),$L538/86400+DATE(1970,1,1)+$G$6,)</f>
        <v/>
      </c>
      <c r="B538" s="27" t="str">
        <f t="shared" si="1"/>
        <v/>
      </c>
      <c r="C538" s="14" t="str">
        <f>IF($A538&lt;&gt;"",MINIFS(Merchant!$A:$A,Merchant!$B:$B,$G$2),)</f>
        <v/>
      </c>
      <c r="D538" s="14" t="str">
        <f t="shared" si="2"/>
        <v/>
      </c>
      <c r="E538" s="14" t="str">
        <f t="shared" si="3"/>
        <v/>
      </c>
      <c r="F538" s="7" t="str">
        <f>IF($A538&lt;&gt;"",MAXIFS(Token!$C:$C,Token!$A:$A,$D538),)</f>
        <v/>
      </c>
    </row>
    <row r="539">
      <c r="A539" s="39" t="str">
        <f>IF(AND($L539*1&gt;=$G$3,$L539*1&lt;=$G$4,$I539*$J539&gt;0,OR($I539&lt;&gt;$I540,$L539-$L540&gt;25),IF(ABS($I539)&gt;10,$I539/POW(10,$J539),$J539/POW(10,$I539))*MAXIFS(Token!$C:$C,Token!$A:$A,$K539)&gt;0.01),$L539/86400+DATE(1970,1,1)+$G$6,)</f>
        <v/>
      </c>
      <c r="B539" s="27" t="str">
        <f t="shared" si="1"/>
        <v/>
      </c>
      <c r="C539" s="14" t="str">
        <f>IF($A539&lt;&gt;"",MINIFS(Merchant!$A:$A,Merchant!$B:$B,$G$2),)</f>
        <v/>
      </c>
      <c r="D539" s="14" t="str">
        <f t="shared" si="2"/>
        <v/>
      </c>
      <c r="E539" s="14" t="str">
        <f t="shared" si="3"/>
        <v/>
      </c>
      <c r="F539" s="7" t="str">
        <f>IF($A539&lt;&gt;"",MAXIFS(Token!$C:$C,Token!$A:$A,$D539),)</f>
        <v/>
      </c>
    </row>
    <row r="540">
      <c r="A540" s="39" t="str">
        <f>IF(AND($L540*1&gt;=$G$3,$L540*1&lt;=$G$4,$I540*$J540&gt;0,OR($I540&lt;&gt;$I541,$L540-$L541&gt;25),IF(ABS($I540)&gt;10,$I540/POW(10,$J540),$J540/POW(10,$I540))*MAXIFS(Token!$C:$C,Token!$A:$A,$K540)&gt;0.01),$L540/86400+DATE(1970,1,1)+$G$6,)</f>
        <v/>
      </c>
      <c r="B540" s="27" t="str">
        <f t="shared" si="1"/>
        <v/>
      </c>
      <c r="C540" s="14" t="str">
        <f>IF($A540&lt;&gt;"",MINIFS(Merchant!$A:$A,Merchant!$B:$B,$G$2),)</f>
        <v/>
      </c>
      <c r="D540" s="14" t="str">
        <f t="shared" si="2"/>
        <v/>
      </c>
      <c r="E540" s="14" t="str">
        <f t="shared" si="3"/>
        <v/>
      </c>
      <c r="F540" s="7" t="str">
        <f>IF($A540&lt;&gt;"",MAXIFS(Token!$C:$C,Token!$A:$A,$D540),)</f>
        <v/>
      </c>
    </row>
    <row r="541">
      <c r="A541" s="39" t="str">
        <f>IF(AND($L541*1&gt;=$G$3,$L541*1&lt;=$G$4,$I541*$J541&gt;0,OR($I541&lt;&gt;$I542,$L541-$L542&gt;25),IF(ABS($I541)&gt;10,$I541/POW(10,$J541),$J541/POW(10,$I541))*MAXIFS(Token!$C:$C,Token!$A:$A,$K541)&gt;0.01),$L541/86400+DATE(1970,1,1)+$G$6,)</f>
        <v/>
      </c>
      <c r="B541" s="27" t="str">
        <f t="shared" si="1"/>
        <v/>
      </c>
      <c r="C541" s="14" t="str">
        <f>IF($A541&lt;&gt;"",MINIFS(Merchant!$A:$A,Merchant!$B:$B,$G$2),)</f>
        <v/>
      </c>
      <c r="D541" s="14" t="str">
        <f t="shared" si="2"/>
        <v/>
      </c>
      <c r="E541" s="14" t="str">
        <f t="shared" si="3"/>
        <v/>
      </c>
      <c r="F541" s="7" t="str">
        <f>IF($A541&lt;&gt;"",MAXIFS(Token!$C:$C,Token!$A:$A,$D541),)</f>
        <v/>
      </c>
    </row>
    <row r="542">
      <c r="A542" s="39" t="str">
        <f>IF(AND($L542*1&gt;=$G$3,$L542*1&lt;=$G$4,$I542*$J542&gt;0,OR($I542&lt;&gt;$I543,$L542-$L543&gt;25),IF(ABS($I542)&gt;10,$I542/POW(10,$J542),$J542/POW(10,$I542))*MAXIFS(Token!$C:$C,Token!$A:$A,$K542)&gt;0.01),$L542/86400+DATE(1970,1,1)+$G$6,)</f>
        <v/>
      </c>
      <c r="B542" s="27" t="str">
        <f t="shared" si="1"/>
        <v/>
      </c>
      <c r="C542" s="14" t="str">
        <f>IF($A542&lt;&gt;"",MINIFS(Merchant!$A:$A,Merchant!$B:$B,$G$2),)</f>
        <v/>
      </c>
      <c r="D542" s="14" t="str">
        <f t="shared" si="2"/>
        <v/>
      </c>
      <c r="E542" s="14" t="str">
        <f t="shared" si="3"/>
        <v/>
      </c>
      <c r="F542" s="7" t="str">
        <f>IF($A542&lt;&gt;"",MAXIFS(Token!$C:$C,Token!$A:$A,$D542),)</f>
        <v/>
      </c>
    </row>
    <row r="543">
      <c r="A543" s="39" t="str">
        <f>IF(AND($L543*1&gt;=$G$3,$L543*1&lt;=$G$4,$I543*$J543&gt;0,OR($I543&lt;&gt;$I544,$L543-$L544&gt;25),IF(ABS($I543)&gt;10,$I543/POW(10,$J543),$J543/POW(10,$I543))*MAXIFS(Token!$C:$C,Token!$A:$A,$K543)&gt;0.01),$L543/86400+DATE(1970,1,1)+$G$6,)</f>
        <v/>
      </c>
      <c r="B543" s="27" t="str">
        <f t="shared" si="1"/>
        <v/>
      </c>
      <c r="C543" s="14" t="str">
        <f>IF($A543&lt;&gt;"",MINIFS(Merchant!$A:$A,Merchant!$B:$B,$G$2),)</f>
        <v/>
      </c>
      <c r="D543" s="14" t="str">
        <f t="shared" si="2"/>
        <v/>
      </c>
      <c r="E543" s="14" t="str">
        <f t="shared" si="3"/>
        <v/>
      </c>
      <c r="F543" s="7" t="str">
        <f>IF($A543&lt;&gt;"",MAXIFS(Token!$C:$C,Token!$A:$A,$D543),)</f>
        <v/>
      </c>
    </row>
    <row r="544">
      <c r="A544" s="39" t="str">
        <f>IF(AND($L544*1&gt;=$G$3,$L544*1&lt;=$G$4,$I544*$J544&gt;0,OR($I544&lt;&gt;$I545,$L544-$L545&gt;25),IF(ABS($I544)&gt;10,$I544/POW(10,$J544),$J544/POW(10,$I544))*MAXIFS(Token!$C:$C,Token!$A:$A,$K544)&gt;0.01),$L544/86400+DATE(1970,1,1)+$G$6,)</f>
        <v/>
      </c>
      <c r="B544" s="27" t="str">
        <f t="shared" si="1"/>
        <v/>
      </c>
      <c r="C544" s="14" t="str">
        <f>IF($A544&lt;&gt;"",MINIFS(Merchant!$A:$A,Merchant!$B:$B,$G$2),)</f>
        <v/>
      </c>
      <c r="D544" s="14" t="str">
        <f t="shared" si="2"/>
        <v/>
      </c>
      <c r="E544" s="14" t="str">
        <f t="shared" si="3"/>
        <v/>
      </c>
      <c r="F544" s="7" t="str">
        <f>IF($A544&lt;&gt;"",MAXIFS(Token!$C:$C,Token!$A:$A,$D544),)</f>
        <v/>
      </c>
    </row>
    <row r="545">
      <c r="A545" s="39" t="str">
        <f>IF(AND($L545*1&gt;=$G$3,$L545*1&lt;=$G$4,$I545*$J545&gt;0,OR($I545&lt;&gt;$I546,$L545-$L546&gt;25),IF(ABS($I545)&gt;10,$I545/POW(10,$J545),$J545/POW(10,$I545))*MAXIFS(Token!$C:$C,Token!$A:$A,$K545)&gt;0.01),$L545/86400+DATE(1970,1,1)+$G$6,)</f>
        <v/>
      </c>
      <c r="B545" s="27" t="str">
        <f t="shared" si="1"/>
        <v/>
      </c>
      <c r="C545" s="14" t="str">
        <f>IF($A545&lt;&gt;"",MINIFS(Merchant!$A:$A,Merchant!$B:$B,$G$2),)</f>
        <v/>
      </c>
      <c r="D545" s="14" t="str">
        <f t="shared" si="2"/>
        <v/>
      </c>
      <c r="E545" s="14" t="str">
        <f t="shared" si="3"/>
        <v/>
      </c>
      <c r="F545" s="7" t="str">
        <f>IF($A545&lt;&gt;"",MAXIFS(Token!$C:$C,Token!$A:$A,$D545),)</f>
        <v/>
      </c>
    </row>
    <row r="546">
      <c r="A546" s="39" t="str">
        <f>IF(AND($L546*1&gt;=$G$3,$L546*1&lt;=$G$4,$I546*$J546&gt;0,OR($I546&lt;&gt;$I547,$L546-$L547&gt;25),IF(ABS($I546)&gt;10,$I546/POW(10,$J546),$J546/POW(10,$I546))*MAXIFS(Token!$C:$C,Token!$A:$A,$K546)&gt;0.01),$L546/86400+DATE(1970,1,1)+$G$6,)</f>
        <v/>
      </c>
      <c r="B546" s="27" t="str">
        <f t="shared" si="1"/>
        <v/>
      </c>
      <c r="C546" s="14" t="str">
        <f>IF($A546&lt;&gt;"",MINIFS(Merchant!$A:$A,Merchant!$B:$B,$G$2),)</f>
        <v/>
      </c>
      <c r="D546" s="14" t="str">
        <f t="shared" si="2"/>
        <v/>
      </c>
      <c r="E546" s="14" t="str">
        <f t="shared" si="3"/>
        <v/>
      </c>
      <c r="F546" s="7" t="str">
        <f>IF($A546&lt;&gt;"",MAXIFS(Token!$C:$C,Token!$A:$A,$D546),)</f>
        <v/>
      </c>
    </row>
    <row r="547">
      <c r="A547" s="39" t="str">
        <f>IF(AND($L547*1&gt;=$G$3,$L547*1&lt;=$G$4,$I547*$J547&gt;0,OR($I547&lt;&gt;$I548,$L547-$L548&gt;25),IF(ABS($I547)&gt;10,$I547/POW(10,$J547),$J547/POW(10,$I547))*MAXIFS(Token!$C:$C,Token!$A:$A,$K547)&gt;0.01),$L547/86400+DATE(1970,1,1)+$G$6,)</f>
        <v/>
      </c>
      <c r="B547" s="27" t="str">
        <f t="shared" si="1"/>
        <v/>
      </c>
      <c r="C547" s="14" t="str">
        <f>IF($A547&lt;&gt;"",MINIFS(Merchant!$A:$A,Merchant!$B:$B,$G$2),)</f>
        <v/>
      </c>
      <c r="D547" s="14" t="str">
        <f t="shared" si="2"/>
        <v/>
      </c>
      <c r="E547" s="14" t="str">
        <f t="shared" si="3"/>
        <v/>
      </c>
      <c r="F547" s="7" t="str">
        <f>IF($A547&lt;&gt;"",MAXIFS(Token!$C:$C,Token!$A:$A,$D547),)</f>
        <v/>
      </c>
    </row>
    <row r="548">
      <c r="A548" s="39" t="str">
        <f>IF(AND($L548*1&gt;=$G$3,$L548*1&lt;=$G$4,$I548*$J548&gt;0,OR($I548&lt;&gt;$I549,$L548-$L549&gt;25),IF(ABS($I548)&gt;10,$I548/POW(10,$J548),$J548/POW(10,$I548))*MAXIFS(Token!$C:$C,Token!$A:$A,$K548)&gt;0.01),$L548/86400+DATE(1970,1,1)+$G$6,)</f>
        <v/>
      </c>
      <c r="B548" s="27" t="str">
        <f t="shared" si="1"/>
        <v/>
      </c>
      <c r="C548" s="14" t="str">
        <f>IF($A548&lt;&gt;"",MINIFS(Merchant!$A:$A,Merchant!$B:$B,$G$2),)</f>
        <v/>
      </c>
      <c r="D548" s="14" t="str">
        <f t="shared" si="2"/>
        <v/>
      </c>
      <c r="E548" s="14" t="str">
        <f t="shared" si="3"/>
        <v/>
      </c>
      <c r="F548" s="7" t="str">
        <f>IF($A548&lt;&gt;"",MAXIFS(Token!$C:$C,Token!$A:$A,$D548),)</f>
        <v/>
      </c>
    </row>
    <row r="549">
      <c r="A549" s="39" t="str">
        <f>IF(AND($L549*1&gt;=$G$3,$L549*1&lt;=$G$4,$I549*$J549&gt;0,OR($I549&lt;&gt;$I550,$L549-$L550&gt;25),IF(ABS($I549)&gt;10,$I549/POW(10,$J549),$J549/POW(10,$I549))*MAXIFS(Token!$C:$C,Token!$A:$A,$K549)&gt;0.01),$L549/86400+DATE(1970,1,1)+$G$6,)</f>
        <v/>
      </c>
      <c r="B549" s="27" t="str">
        <f t="shared" si="1"/>
        <v/>
      </c>
      <c r="C549" s="14" t="str">
        <f>IF($A549&lt;&gt;"",MINIFS(Merchant!$A:$A,Merchant!$B:$B,$G$2),)</f>
        <v/>
      </c>
      <c r="D549" s="14" t="str">
        <f t="shared" si="2"/>
        <v/>
      </c>
      <c r="E549" s="14" t="str">
        <f t="shared" si="3"/>
        <v/>
      </c>
      <c r="F549" s="7" t="str">
        <f>IF($A549&lt;&gt;"",MAXIFS(Token!$C:$C,Token!$A:$A,$D549),)</f>
        <v/>
      </c>
    </row>
    <row r="550">
      <c r="A550" s="39" t="str">
        <f>IF(AND($L550*1&gt;=$G$3,$L550*1&lt;=$G$4,$I550*$J550&gt;0,OR($I550&lt;&gt;$I551,$L550-$L551&gt;25),IF(ABS($I550)&gt;10,$I550/POW(10,$J550),$J550/POW(10,$I550))*MAXIFS(Token!$C:$C,Token!$A:$A,$K550)&gt;0.01),$L550/86400+DATE(1970,1,1)+$G$6,)</f>
        <v/>
      </c>
      <c r="B550" s="27" t="str">
        <f t="shared" si="1"/>
        <v/>
      </c>
      <c r="C550" s="14" t="str">
        <f>IF($A550&lt;&gt;"",MINIFS(Merchant!$A:$A,Merchant!$B:$B,$G$2),)</f>
        <v/>
      </c>
      <c r="D550" s="14" t="str">
        <f t="shared" si="2"/>
        <v/>
      </c>
      <c r="E550" s="14" t="str">
        <f t="shared" si="3"/>
        <v/>
      </c>
      <c r="F550" s="7" t="str">
        <f>IF($A550&lt;&gt;"",MAXIFS(Token!$C:$C,Token!$A:$A,$D550),)</f>
        <v/>
      </c>
    </row>
    <row r="551">
      <c r="A551" s="39" t="str">
        <f>IF(AND($L551*1&gt;=$G$3,$L551*1&lt;=$G$4,$I551*$J551&gt;0,OR($I551&lt;&gt;$I552,$L551-$L552&gt;25),IF(ABS($I551)&gt;10,$I551/POW(10,$J551),$J551/POW(10,$I551))*MAXIFS(Token!$C:$C,Token!$A:$A,$K551)&gt;0.01),$L551/86400+DATE(1970,1,1)+$G$6,)</f>
        <v/>
      </c>
      <c r="B551" s="27" t="str">
        <f t="shared" si="1"/>
        <v/>
      </c>
      <c r="C551" s="14" t="str">
        <f>IF($A551&lt;&gt;"",MINIFS(Merchant!$A:$A,Merchant!$B:$B,$G$2),)</f>
        <v/>
      </c>
      <c r="D551" s="14" t="str">
        <f t="shared" si="2"/>
        <v/>
      </c>
      <c r="E551" s="14" t="str">
        <f t="shared" si="3"/>
        <v/>
      </c>
      <c r="F551" s="7" t="str">
        <f>IF($A551&lt;&gt;"",MAXIFS(Token!$C:$C,Token!$A:$A,$D551),)</f>
        <v/>
      </c>
    </row>
    <row r="552">
      <c r="A552" s="39" t="str">
        <f>IF(AND($L552*1&gt;=$G$3,$L552*1&lt;=$G$4,$I552*$J552&gt;0,OR($I552&lt;&gt;$I553,$L552-$L553&gt;25),IF(ABS($I552)&gt;10,$I552/POW(10,$J552),$J552/POW(10,$I552))*MAXIFS(Token!$C:$C,Token!$A:$A,$K552)&gt;0.01),$L552/86400+DATE(1970,1,1)+$G$6,)</f>
        <v/>
      </c>
      <c r="B552" s="27" t="str">
        <f t="shared" si="1"/>
        <v/>
      </c>
      <c r="C552" s="14" t="str">
        <f>IF($A552&lt;&gt;"",MINIFS(Merchant!$A:$A,Merchant!$B:$B,$G$2),)</f>
        <v/>
      </c>
      <c r="D552" s="14" t="str">
        <f t="shared" si="2"/>
        <v/>
      </c>
      <c r="E552" s="14" t="str">
        <f t="shared" si="3"/>
        <v/>
      </c>
      <c r="F552" s="7" t="str">
        <f>IF($A552&lt;&gt;"",MAXIFS(Token!$C:$C,Token!$A:$A,$D552),)</f>
        <v/>
      </c>
    </row>
    <row r="553">
      <c r="A553" s="39" t="str">
        <f>IF(AND($L553*1&gt;=$G$3,$L553*1&lt;=$G$4,$I553*$J553&gt;0,OR($I553&lt;&gt;$I554,$L553-$L554&gt;25),IF(ABS($I553)&gt;10,$I553/POW(10,$J553),$J553/POW(10,$I553))*MAXIFS(Token!$C:$C,Token!$A:$A,$K553)&gt;0.01),$L553/86400+DATE(1970,1,1)+$G$6,)</f>
        <v/>
      </c>
      <c r="B553" s="27" t="str">
        <f t="shared" si="1"/>
        <v/>
      </c>
      <c r="C553" s="14" t="str">
        <f>IF($A553&lt;&gt;"",MINIFS(Merchant!$A:$A,Merchant!$B:$B,$G$2),)</f>
        <v/>
      </c>
      <c r="D553" s="14" t="str">
        <f t="shared" si="2"/>
        <v/>
      </c>
      <c r="E553" s="14" t="str">
        <f t="shared" si="3"/>
        <v/>
      </c>
      <c r="F553" s="7" t="str">
        <f>IF($A553&lt;&gt;"",MAXIFS(Token!$C:$C,Token!$A:$A,$D553),)</f>
        <v/>
      </c>
    </row>
    <row r="554">
      <c r="A554" s="39" t="str">
        <f>IF(AND($L554*1&gt;=$G$3,$L554*1&lt;=$G$4,$I554*$J554&gt;0,OR($I554&lt;&gt;$I555,$L554-$L555&gt;25),IF(ABS($I554)&gt;10,$I554/POW(10,$J554),$J554/POW(10,$I554))*MAXIFS(Token!$C:$C,Token!$A:$A,$K554)&gt;0.01),$L554/86400+DATE(1970,1,1)+$G$6,)</f>
        <v/>
      </c>
      <c r="B554" s="27" t="str">
        <f t="shared" si="1"/>
        <v/>
      </c>
      <c r="C554" s="14" t="str">
        <f>IF($A554&lt;&gt;"",MINIFS(Merchant!$A:$A,Merchant!$B:$B,$G$2),)</f>
        <v/>
      </c>
      <c r="D554" s="14" t="str">
        <f t="shared" si="2"/>
        <v/>
      </c>
      <c r="E554" s="14" t="str">
        <f t="shared" si="3"/>
        <v/>
      </c>
      <c r="F554" s="7" t="str">
        <f>IF($A554&lt;&gt;"",MAXIFS(Token!$C:$C,Token!$A:$A,$D554),)</f>
        <v/>
      </c>
    </row>
    <row r="555">
      <c r="A555" s="39" t="str">
        <f>IF(AND($L555*1&gt;=$G$3,$L555*1&lt;=$G$4,$I555*$J555&gt;0,OR($I555&lt;&gt;$I556,$L555-$L556&gt;25),IF(ABS($I555)&gt;10,$I555/POW(10,$J555),$J555/POW(10,$I555))*MAXIFS(Token!$C:$C,Token!$A:$A,$K555)&gt;0.01),$L555/86400+DATE(1970,1,1)+$G$6,)</f>
        <v/>
      </c>
      <c r="B555" s="27" t="str">
        <f t="shared" si="1"/>
        <v/>
      </c>
      <c r="C555" s="14" t="str">
        <f>IF($A555&lt;&gt;"",MINIFS(Merchant!$A:$A,Merchant!$B:$B,$G$2),)</f>
        <v/>
      </c>
      <c r="D555" s="14" t="str">
        <f t="shared" si="2"/>
        <v/>
      </c>
      <c r="E555" s="14" t="str">
        <f t="shared" si="3"/>
        <v/>
      </c>
      <c r="F555" s="7" t="str">
        <f>IF($A555&lt;&gt;"",MAXIFS(Token!$C:$C,Token!$A:$A,$D555),)</f>
        <v/>
      </c>
    </row>
    <row r="556">
      <c r="A556" s="39" t="str">
        <f>IF(AND($L556*1&gt;=$G$3,$L556*1&lt;=$G$4,$I556*$J556&gt;0,OR($I556&lt;&gt;$I557,$L556-$L557&gt;25),IF(ABS($I556)&gt;10,$I556/POW(10,$J556),$J556/POW(10,$I556))*MAXIFS(Token!$C:$C,Token!$A:$A,$K556)&gt;0.01),$L556/86400+DATE(1970,1,1)+$G$6,)</f>
        <v/>
      </c>
      <c r="B556" s="27" t="str">
        <f t="shared" si="1"/>
        <v/>
      </c>
      <c r="C556" s="14" t="str">
        <f>IF($A556&lt;&gt;"",MINIFS(Merchant!$A:$A,Merchant!$B:$B,$G$2),)</f>
        <v/>
      </c>
      <c r="D556" s="14" t="str">
        <f t="shared" si="2"/>
        <v/>
      </c>
      <c r="E556" s="14" t="str">
        <f t="shared" si="3"/>
        <v/>
      </c>
      <c r="F556" s="7" t="str">
        <f>IF($A556&lt;&gt;"",MAXIFS(Token!$C:$C,Token!$A:$A,$D556),)</f>
        <v/>
      </c>
    </row>
    <row r="557">
      <c r="A557" s="39" t="str">
        <f>IF(AND($L557*1&gt;=$G$3,$L557*1&lt;=$G$4,$I557*$J557&gt;0,OR($I557&lt;&gt;$I558,$L557-$L558&gt;25),IF(ABS($I557)&gt;10,$I557/POW(10,$J557),$J557/POW(10,$I557))*MAXIFS(Token!$C:$C,Token!$A:$A,$K557)&gt;0.01),$L557/86400+DATE(1970,1,1)+$G$6,)</f>
        <v/>
      </c>
      <c r="B557" s="27" t="str">
        <f t="shared" si="1"/>
        <v/>
      </c>
      <c r="C557" s="14" t="str">
        <f>IF($A557&lt;&gt;"",MINIFS(Merchant!$A:$A,Merchant!$B:$B,$G$2),)</f>
        <v/>
      </c>
      <c r="D557" s="14" t="str">
        <f t="shared" si="2"/>
        <v/>
      </c>
      <c r="E557" s="14" t="str">
        <f t="shared" si="3"/>
        <v/>
      </c>
      <c r="F557" s="7" t="str">
        <f>IF($A557&lt;&gt;"",MAXIFS(Token!$C:$C,Token!$A:$A,$D557),)</f>
        <v/>
      </c>
    </row>
    <row r="558">
      <c r="A558" s="39" t="str">
        <f>IF(AND($L558*1&gt;=$G$3,$L558*1&lt;=$G$4,$I558*$J558&gt;0,OR($I558&lt;&gt;$I559,$L558-$L559&gt;25),IF(ABS($I558)&gt;10,$I558/POW(10,$J558),$J558/POW(10,$I558))*MAXIFS(Token!$C:$C,Token!$A:$A,$K558)&gt;0.01),$L558/86400+DATE(1970,1,1)+$G$6,)</f>
        <v/>
      </c>
      <c r="B558" s="27" t="str">
        <f t="shared" si="1"/>
        <v/>
      </c>
      <c r="C558" s="14" t="str">
        <f>IF($A558&lt;&gt;"",MINIFS(Merchant!$A:$A,Merchant!$B:$B,$G$2),)</f>
        <v/>
      </c>
      <c r="D558" s="14" t="str">
        <f t="shared" si="2"/>
        <v/>
      </c>
      <c r="E558" s="14" t="str">
        <f t="shared" si="3"/>
        <v/>
      </c>
      <c r="F558" s="7" t="str">
        <f>IF($A558&lt;&gt;"",MAXIFS(Token!$C:$C,Token!$A:$A,$D558),)</f>
        <v/>
      </c>
    </row>
    <row r="559">
      <c r="A559" s="39" t="str">
        <f>IF(AND($L559*1&gt;=$G$3,$L559*1&lt;=$G$4,$I559*$J559&gt;0,OR($I559&lt;&gt;$I560,$L559-$L560&gt;25),IF(ABS($I559)&gt;10,$I559/POW(10,$J559),$J559/POW(10,$I559))*MAXIFS(Token!$C:$C,Token!$A:$A,$K559)&gt;0.01),$L559/86400+DATE(1970,1,1)+$G$6,)</f>
        <v/>
      </c>
      <c r="B559" s="27" t="str">
        <f t="shared" si="1"/>
        <v/>
      </c>
      <c r="C559" s="14" t="str">
        <f>IF($A559&lt;&gt;"",MINIFS(Merchant!$A:$A,Merchant!$B:$B,$G$2),)</f>
        <v/>
      </c>
      <c r="D559" s="14" t="str">
        <f t="shared" si="2"/>
        <v/>
      </c>
      <c r="E559" s="14" t="str">
        <f t="shared" si="3"/>
        <v/>
      </c>
      <c r="F559" s="7" t="str">
        <f>IF($A559&lt;&gt;"",MAXIFS(Token!$C:$C,Token!$A:$A,$D559),)</f>
        <v/>
      </c>
    </row>
    <row r="560">
      <c r="A560" s="39" t="str">
        <f>IF(AND($L560*1&gt;=$G$3,$L560*1&lt;=$G$4,$I560*$J560&gt;0,OR($I560&lt;&gt;$I561,$L560-$L561&gt;25),IF(ABS($I560)&gt;10,$I560/POW(10,$J560),$J560/POW(10,$I560))*MAXIFS(Token!$C:$C,Token!$A:$A,$K560)&gt;0.01),$L560/86400+DATE(1970,1,1)+$G$6,)</f>
        <v/>
      </c>
      <c r="B560" s="27" t="str">
        <f t="shared" si="1"/>
        <v/>
      </c>
      <c r="C560" s="14" t="str">
        <f>IF($A560&lt;&gt;"",MINIFS(Merchant!$A:$A,Merchant!$B:$B,$G$2),)</f>
        <v/>
      </c>
      <c r="D560" s="14" t="str">
        <f t="shared" si="2"/>
        <v/>
      </c>
      <c r="E560" s="14" t="str">
        <f t="shared" si="3"/>
        <v/>
      </c>
      <c r="F560" s="7" t="str">
        <f>IF($A560&lt;&gt;"",MAXIFS(Token!$C:$C,Token!$A:$A,$D560),)</f>
        <v/>
      </c>
    </row>
    <row r="561">
      <c r="A561" s="39" t="str">
        <f>IF(AND($L561*1&gt;=$G$3,$L561*1&lt;=$G$4,$I561*$J561&gt;0,OR($I561&lt;&gt;$I562,$L561-$L562&gt;25),IF(ABS($I561)&gt;10,$I561/POW(10,$J561),$J561/POW(10,$I561))*MAXIFS(Token!$C:$C,Token!$A:$A,$K561)&gt;0.01),$L561/86400+DATE(1970,1,1)+$G$6,)</f>
        <v/>
      </c>
      <c r="B561" s="27" t="str">
        <f t="shared" si="1"/>
        <v/>
      </c>
      <c r="C561" s="14" t="str">
        <f>IF($A561&lt;&gt;"",MINIFS(Merchant!$A:$A,Merchant!$B:$B,$G$2),)</f>
        <v/>
      </c>
      <c r="D561" s="14" t="str">
        <f t="shared" si="2"/>
        <v/>
      </c>
      <c r="E561" s="14" t="str">
        <f t="shared" si="3"/>
        <v/>
      </c>
      <c r="F561" s="7" t="str">
        <f>IF($A561&lt;&gt;"",MAXIFS(Token!$C:$C,Token!$A:$A,$D561),)</f>
        <v/>
      </c>
    </row>
    <row r="562">
      <c r="A562" s="39" t="str">
        <f>IF(AND($L562*1&gt;=$G$3,$L562*1&lt;=$G$4,$I562*$J562&gt;0,OR($I562&lt;&gt;$I563,$L562-$L563&gt;25),IF(ABS($I562)&gt;10,$I562/POW(10,$J562),$J562/POW(10,$I562))*MAXIFS(Token!$C:$C,Token!$A:$A,$K562)&gt;0.01),$L562/86400+DATE(1970,1,1)+$G$6,)</f>
        <v/>
      </c>
      <c r="B562" s="27" t="str">
        <f t="shared" si="1"/>
        <v/>
      </c>
      <c r="C562" s="14" t="str">
        <f>IF($A562&lt;&gt;"",MINIFS(Merchant!$A:$A,Merchant!$B:$B,$G$2),)</f>
        <v/>
      </c>
      <c r="D562" s="14" t="str">
        <f t="shared" si="2"/>
        <v/>
      </c>
      <c r="E562" s="14" t="str">
        <f t="shared" si="3"/>
        <v/>
      </c>
      <c r="F562" s="7" t="str">
        <f>IF($A562&lt;&gt;"",MAXIFS(Token!$C:$C,Token!$A:$A,$D562),)</f>
        <v/>
      </c>
    </row>
    <row r="563">
      <c r="A563" s="39" t="str">
        <f>IF(AND($L563*1&gt;=$G$3,$L563*1&lt;=$G$4,$I563*$J563&gt;0,OR($I563&lt;&gt;$I564,$L563-$L564&gt;25),IF(ABS($I563)&gt;10,$I563/POW(10,$J563),$J563/POW(10,$I563))*MAXIFS(Token!$C:$C,Token!$A:$A,$K563)&gt;0.01),$L563/86400+DATE(1970,1,1)+$G$6,)</f>
        <v/>
      </c>
      <c r="B563" s="27" t="str">
        <f t="shared" si="1"/>
        <v/>
      </c>
      <c r="C563" s="14" t="str">
        <f>IF($A563&lt;&gt;"",MINIFS(Merchant!$A:$A,Merchant!$B:$B,$G$2),)</f>
        <v/>
      </c>
      <c r="D563" s="14" t="str">
        <f t="shared" si="2"/>
        <v/>
      </c>
      <c r="E563" s="14" t="str">
        <f t="shared" si="3"/>
        <v/>
      </c>
      <c r="F563" s="7" t="str">
        <f>IF($A563&lt;&gt;"",MAXIFS(Token!$C:$C,Token!$A:$A,$D563),)</f>
        <v/>
      </c>
    </row>
    <row r="564">
      <c r="A564" s="39" t="str">
        <f>IF(AND($L564*1&gt;=$G$3,$L564*1&lt;=$G$4,$I564*$J564&gt;0,OR($I564&lt;&gt;$I565,$L564-$L565&gt;25),IF(ABS($I564)&gt;10,$I564/POW(10,$J564),$J564/POW(10,$I564))*MAXIFS(Token!$C:$C,Token!$A:$A,$K564)&gt;0.01),$L564/86400+DATE(1970,1,1)+$G$6,)</f>
        <v/>
      </c>
      <c r="B564" s="27" t="str">
        <f t="shared" si="1"/>
        <v/>
      </c>
      <c r="C564" s="14" t="str">
        <f>IF($A564&lt;&gt;"",MINIFS(Merchant!$A:$A,Merchant!$B:$B,$G$2),)</f>
        <v/>
      </c>
      <c r="D564" s="14" t="str">
        <f t="shared" si="2"/>
        <v/>
      </c>
      <c r="E564" s="14" t="str">
        <f t="shared" si="3"/>
        <v/>
      </c>
      <c r="F564" s="7" t="str">
        <f>IF($A564&lt;&gt;"",MAXIFS(Token!$C:$C,Token!$A:$A,$D564),)</f>
        <v/>
      </c>
    </row>
    <row r="565">
      <c r="A565" s="39" t="str">
        <f>IF(AND($L565*1&gt;=$G$3,$L565*1&lt;=$G$4,$I565*$J565&gt;0,OR($I565&lt;&gt;$I566,$L565-$L566&gt;25),IF(ABS($I565)&gt;10,$I565/POW(10,$J565),$J565/POW(10,$I565))*MAXIFS(Token!$C:$C,Token!$A:$A,$K565)&gt;0.01),$L565/86400+DATE(1970,1,1)+$G$6,)</f>
        <v/>
      </c>
      <c r="B565" s="27" t="str">
        <f t="shared" si="1"/>
        <v/>
      </c>
      <c r="C565" s="14" t="str">
        <f>IF($A565&lt;&gt;"",MINIFS(Merchant!$A:$A,Merchant!$B:$B,$G$2),)</f>
        <v/>
      </c>
      <c r="D565" s="14" t="str">
        <f t="shared" si="2"/>
        <v/>
      </c>
      <c r="E565" s="14" t="str">
        <f t="shared" si="3"/>
        <v/>
      </c>
      <c r="F565" s="7" t="str">
        <f>IF($A565&lt;&gt;"",MAXIFS(Token!$C:$C,Token!$A:$A,$D565),)</f>
        <v/>
      </c>
    </row>
    <row r="566">
      <c r="A566" s="39" t="str">
        <f>IF(AND($L566*1&gt;=$G$3,$L566*1&lt;=$G$4,$I566*$J566&gt;0,OR($I566&lt;&gt;$I567,$L566-$L567&gt;25),IF(ABS($I566)&gt;10,$I566/POW(10,$J566),$J566/POW(10,$I566))*MAXIFS(Token!$C:$C,Token!$A:$A,$K566)&gt;0.01),$L566/86400+DATE(1970,1,1)+$G$6,)</f>
        <v/>
      </c>
      <c r="B566" s="27" t="str">
        <f t="shared" si="1"/>
        <v/>
      </c>
      <c r="C566" s="14" t="str">
        <f>IF($A566&lt;&gt;"",MINIFS(Merchant!$A:$A,Merchant!$B:$B,$G$2),)</f>
        <v/>
      </c>
      <c r="D566" s="14" t="str">
        <f t="shared" si="2"/>
        <v/>
      </c>
      <c r="E566" s="14" t="str">
        <f t="shared" si="3"/>
        <v/>
      </c>
      <c r="F566" s="7" t="str">
        <f>IF($A566&lt;&gt;"",MAXIFS(Token!$C:$C,Token!$A:$A,$D566),)</f>
        <v/>
      </c>
    </row>
    <row r="567">
      <c r="A567" s="39" t="str">
        <f>IF(AND($L567*1&gt;=$G$3,$L567*1&lt;=$G$4,$I567*$J567&gt;0,OR($I567&lt;&gt;$I568,$L567-$L568&gt;25),IF(ABS($I567)&gt;10,$I567/POW(10,$J567),$J567/POW(10,$I567))*MAXIFS(Token!$C:$C,Token!$A:$A,$K567)&gt;0.01),$L567/86400+DATE(1970,1,1)+$G$6,)</f>
        <v/>
      </c>
      <c r="B567" s="27" t="str">
        <f t="shared" si="1"/>
        <v/>
      </c>
      <c r="C567" s="14" t="str">
        <f>IF($A567&lt;&gt;"",MINIFS(Merchant!$A:$A,Merchant!$B:$B,$G$2),)</f>
        <v/>
      </c>
      <c r="D567" s="14" t="str">
        <f t="shared" si="2"/>
        <v/>
      </c>
      <c r="E567" s="14" t="str">
        <f t="shared" si="3"/>
        <v/>
      </c>
      <c r="F567" s="7" t="str">
        <f>IF($A567&lt;&gt;"",MAXIFS(Token!$C:$C,Token!$A:$A,$D567),)</f>
        <v/>
      </c>
    </row>
    <row r="568">
      <c r="A568" s="39" t="str">
        <f>IF(AND($L568*1&gt;=$G$3,$L568*1&lt;=$G$4,$I568*$J568&gt;0,OR($I568&lt;&gt;$I569,$L568-$L569&gt;25),IF(ABS($I568)&gt;10,$I568/POW(10,$J568),$J568/POW(10,$I568))*MAXIFS(Token!$C:$C,Token!$A:$A,$K568)&gt;0.01),$L568/86400+DATE(1970,1,1)+$G$6,)</f>
        <v/>
      </c>
      <c r="B568" s="27" t="str">
        <f t="shared" si="1"/>
        <v/>
      </c>
      <c r="C568" s="14" t="str">
        <f>IF($A568&lt;&gt;"",MINIFS(Merchant!$A:$A,Merchant!$B:$B,$G$2),)</f>
        <v/>
      </c>
      <c r="D568" s="14" t="str">
        <f t="shared" si="2"/>
        <v/>
      </c>
      <c r="E568" s="14" t="str">
        <f t="shared" si="3"/>
        <v/>
      </c>
      <c r="F568" s="7" t="str">
        <f>IF($A568&lt;&gt;"",MAXIFS(Token!$C:$C,Token!$A:$A,$D568),)</f>
        <v/>
      </c>
    </row>
    <row r="569">
      <c r="A569" s="39" t="str">
        <f>IF(AND($L569*1&gt;=$G$3,$L569*1&lt;=$G$4,$I569*$J569&gt;0,OR($I569&lt;&gt;$I570,$L569-$L570&gt;25),IF(ABS($I569)&gt;10,$I569/POW(10,$J569),$J569/POW(10,$I569))*MAXIFS(Token!$C:$C,Token!$A:$A,$K569)&gt;0.01),$L569/86400+DATE(1970,1,1)+$G$6,)</f>
        <v/>
      </c>
      <c r="B569" s="27" t="str">
        <f t="shared" si="1"/>
        <v/>
      </c>
      <c r="C569" s="14" t="str">
        <f>IF($A569&lt;&gt;"",MINIFS(Merchant!$A:$A,Merchant!$B:$B,$G$2),)</f>
        <v/>
      </c>
      <c r="D569" s="14" t="str">
        <f t="shared" si="2"/>
        <v/>
      </c>
      <c r="E569" s="14" t="str">
        <f t="shared" si="3"/>
        <v/>
      </c>
      <c r="F569" s="7" t="str">
        <f>IF($A569&lt;&gt;"",MAXIFS(Token!$C:$C,Token!$A:$A,$D569),)</f>
        <v/>
      </c>
    </row>
    <row r="570">
      <c r="A570" s="39" t="str">
        <f>IF(AND($L570*1&gt;=$G$3,$L570*1&lt;=$G$4,$I570*$J570&gt;0,OR($I570&lt;&gt;$I571,$L570-$L571&gt;25),IF(ABS($I570)&gt;10,$I570/POW(10,$J570),$J570/POW(10,$I570))*MAXIFS(Token!$C:$C,Token!$A:$A,$K570)&gt;0.01),$L570/86400+DATE(1970,1,1)+$G$6,)</f>
        <v/>
      </c>
      <c r="B570" s="27" t="str">
        <f t="shared" si="1"/>
        <v/>
      </c>
      <c r="C570" s="14" t="str">
        <f>IF($A570&lt;&gt;"",MINIFS(Merchant!$A:$A,Merchant!$B:$B,$G$2),)</f>
        <v/>
      </c>
      <c r="D570" s="14" t="str">
        <f t="shared" si="2"/>
        <v/>
      </c>
      <c r="E570" s="14" t="str">
        <f t="shared" si="3"/>
        <v/>
      </c>
      <c r="F570" s="7" t="str">
        <f>IF($A570&lt;&gt;"",MAXIFS(Token!$C:$C,Token!$A:$A,$D570),)</f>
        <v/>
      </c>
    </row>
    <row r="571">
      <c r="A571" s="39" t="str">
        <f>IF(AND($L571*1&gt;=$G$3,$L571*1&lt;=$G$4,$I571*$J571&gt;0,OR($I571&lt;&gt;$I572,$L571-$L572&gt;25),IF(ABS($I571)&gt;10,$I571/POW(10,$J571),$J571/POW(10,$I571))*MAXIFS(Token!$C:$C,Token!$A:$A,$K571)&gt;0.01),$L571/86400+DATE(1970,1,1)+$G$6,)</f>
        <v/>
      </c>
      <c r="B571" s="27" t="str">
        <f t="shared" si="1"/>
        <v/>
      </c>
      <c r="C571" s="14" t="str">
        <f>IF($A571&lt;&gt;"",MINIFS(Merchant!$A:$A,Merchant!$B:$B,$G$2),)</f>
        <v/>
      </c>
      <c r="D571" s="14" t="str">
        <f t="shared" si="2"/>
        <v/>
      </c>
      <c r="E571" s="14" t="str">
        <f t="shared" si="3"/>
        <v/>
      </c>
      <c r="F571" s="7" t="str">
        <f>IF($A571&lt;&gt;"",MAXIFS(Token!$C:$C,Token!$A:$A,$D571),)</f>
        <v/>
      </c>
    </row>
    <row r="572">
      <c r="A572" s="39" t="str">
        <f>IF(AND($L572*1&gt;=$G$3,$L572*1&lt;=$G$4,$I572*$J572&gt;0,OR($I572&lt;&gt;$I573,$L572-$L573&gt;25),IF(ABS($I572)&gt;10,$I572/POW(10,$J572),$J572/POW(10,$I572))*MAXIFS(Token!$C:$C,Token!$A:$A,$K572)&gt;0.01),$L572/86400+DATE(1970,1,1)+$G$6,)</f>
        <v/>
      </c>
      <c r="B572" s="27" t="str">
        <f t="shared" si="1"/>
        <v/>
      </c>
      <c r="C572" s="14" t="str">
        <f>IF($A572&lt;&gt;"",MINIFS(Merchant!$A:$A,Merchant!$B:$B,$G$2),)</f>
        <v/>
      </c>
      <c r="D572" s="14" t="str">
        <f t="shared" si="2"/>
        <v/>
      </c>
      <c r="E572" s="14" t="str">
        <f t="shared" si="3"/>
        <v/>
      </c>
      <c r="F572" s="7" t="str">
        <f>IF($A572&lt;&gt;"",MAXIFS(Token!$C:$C,Token!$A:$A,$D572),)</f>
        <v/>
      </c>
    </row>
    <row r="573">
      <c r="A573" s="39" t="str">
        <f>IF(AND($L573*1&gt;=$G$3,$L573*1&lt;=$G$4,$I573*$J573&gt;0,OR($I573&lt;&gt;$I574,$L573-$L574&gt;25),IF(ABS($I573)&gt;10,$I573/POW(10,$J573),$J573/POW(10,$I573))*MAXIFS(Token!$C:$C,Token!$A:$A,$K573)&gt;0.01),$L573/86400+DATE(1970,1,1)+$G$6,)</f>
        <v/>
      </c>
      <c r="B573" s="27" t="str">
        <f t="shared" si="1"/>
        <v/>
      </c>
      <c r="C573" s="14" t="str">
        <f>IF($A573&lt;&gt;"",MINIFS(Merchant!$A:$A,Merchant!$B:$B,$G$2),)</f>
        <v/>
      </c>
      <c r="D573" s="14" t="str">
        <f t="shared" si="2"/>
        <v/>
      </c>
      <c r="E573" s="14" t="str">
        <f t="shared" si="3"/>
        <v/>
      </c>
      <c r="F573" s="7" t="str">
        <f>IF($A573&lt;&gt;"",MAXIFS(Token!$C:$C,Token!$A:$A,$D573),)</f>
        <v/>
      </c>
    </row>
    <row r="574">
      <c r="A574" s="39" t="str">
        <f>IF(AND($L574*1&gt;=$G$3,$L574*1&lt;=$G$4,$I574*$J574&gt;0,OR($I574&lt;&gt;$I575,$L574-$L575&gt;25),IF(ABS($I574)&gt;10,$I574/POW(10,$J574),$J574/POW(10,$I574))*MAXIFS(Token!$C:$C,Token!$A:$A,$K574)&gt;0.01),$L574/86400+DATE(1970,1,1)+$G$6,)</f>
        <v/>
      </c>
      <c r="B574" s="27" t="str">
        <f t="shared" si="1"/>
        <v/>
      </c>
      <c r="C574" s="14" t="str">
        <f>IF($A574&lt;&gt;"",MINIFS(Merchant!$A:$A,Merchant!$B:$B,$G$2),)</f>
        <v/>
      </c>
      <c r="D574" s="14" t="str">
        <f t="shared" si="2"/>
        <v/>
      </c>
      <c r="E574" s="14" t="str">
        <f t="shared" si="3"/>
        <v/>
      </c>
      <c r="F574" s="7" t="str">
        <f>IF($A574&lt;&gt;"",MAXIFS(Token!$C:$C,Token!$A:$A,$D574),)</f>
        <v/>
      </c>
    </row>
    <row r="575">
      <c r="A575" s="39" t="str">
        <f>IF(AND($L575*1&gt;=$G$3,$L575*1&lt;=$G$4,$I575*$J575&gt;0,OR($I575&lt;&gt;$I576,$L575-$L576&gt;25),IF(ABS($I575)&gt;10,$I575/POW(10,$J575),$J575/POW(10,$I575))*MAXIFS(Token!$C:$C,Token!$A:$A,$K575)&gt;0.01),$L575/86400+DATE(1970,1,1)+$G$6,)</f>
        <v/>
      </c>
      <c r="B575" s="27" t="str">
        <f t="shared" si="1"/>
        <v/>
      </c>
      <c r="C575" s="14" t="str">
        <f>IF($A575&lt;&gt;"",MINIFS(Merchant!$A:$A,Merchant!$B:$B,$G$2),)</f>
        <v/>
      </c>
      <c r="D575" s="14" t="str">
        <f t="shared" si="2"/>
        <v/>
      </c>
      <c r="E575" s="14" t="str">
        <f t="shared" si="3"/>
        <v/>
      </c>
      <c r="F575" s="7" t="str">
        <f>IF($A575&lt;&gt;"",MAXIFS(Token!$C:$C,Token!$A:$A,$D575),)</f>
        <v/>
      </c>
    </row>
    <row r="576">
      <c r="A576" s="39" t="str">
        <f>IF(AND($L576*1&gt;=$G$3,$L576*1&lt;=$G$4,$I576*$J576&gt;0,OR($I576&lt;&gt;$I577,$L576-$L577&gt;25),IF(ABS($I576)&gt;10,$I576/POW(10,$J576),$J576/POW(10,$I576))*MAXIFS(Token!$C:$C,Token!$A:$A,$K576)&gt;0.01),$L576/86400+DATE(1970,1,1)+$G$6,)</f>
        <v/>
      </c>
      <c r="B576" s="27" t="str">
        <f t="shared" si="1"/>
        <v/>
      </c>
      <c r="C576" s="14" t="str">
        <f>IF($A576&lt;&gt;"",MINIFS(Merchant!$A:$A,Merchant!$B:$B,$G$2),)</f>
        <v/>
      </c>
      <c r="D576" s="14" t="str">
        <f t="shared" si="2"/>
        <v/>
      </c>
      <c r="E576" s="14" t="str">
        <f t="shared" si="3"/>
        <v/>
      </c>
      <c r="F576" s="7" t="str">
        <f>IF($A576&lt;&gt;"",MAXIFS(Token!$C:$C,Token!$A:$A,$D576),)</f>
        <v/>
      </c>
    </row>
    <row r="577">
      <c r="A577" s="39" t="str">
        <f>IF(AND($L577*1&gt;=$G$3,$L577*1&lt;=$G$4,$I577*$J577&gt;0,OR($I577&lt;&gt;$I578,$L577-$L578&gt;25),IF(ABS($I577)&gt;10,$I577/POW(10,$J577),$J577/POW(10,$I577))*MAXIFS(Token!$C:$C,Token!$A:$A,$K577)&gt;0.01),$L577/86400+DATE(1970,1,1)+$G$6,)</f>
        <v/>
      </c>
      <c r="B577" s="27" t="str">
        <f t="shared" si="1"/>
        <v/>
      </c>
      <c r="C577" s="14" t="str">
        <f>IF($A577&lt;&gt;"",MINIFS(Merchant!$A:$A,Merchant!$B:$B,$G$2),)</f>
        <v/>
      </c>
      <c r="D577" s="14" t="str">
        <f t="shared" si="2"/>
        <v/>
      </c>
      <c r="E577" s="14" t="str">
        <f t="shared" si="3"/>
        <v/>
      </c>
      <c r="F577" s="7" t="str">
        <f>IF($A577&lt;&gt;"",MAXIFS(Token!$C:$C,Token!$A:$A,$D577),)</f>
        <v/>
      </c>
    </row>
    <row r="578">
      <c r="A578" s="39" t="str">
        <f>IF(AND($L578*1&gt;=$G$3,$L578*1&lt;=$G$4,$I578*$J578&gt;0,OR($I578&lt;&gt;$I579,$L578-$L579&gt;25),IF(ABS($I578)&gt;10,$I578/POW(10,$J578),$J578/POW(10,$I578))*MAXIFS(Token!$C:$C,Token!$A:$A,$K578)&gt;0.01),$L578/86400+DATE(1970,1,1)+$G$6,)</f>
        <v/>
      </c>
      <c r="B578" s="27" t="str">
        <f t="shared" si="1"/>
        <v/>
      </c>
      <c r="C578" s="14" t="str">
        <f>IF($A578&lt;&gt;"",MINIFS(Merchant!$A:$A,Merchant!$B:$B,$G$2),)</f>
        <v/>
      </c>
      <c r="D578" s="14" t="str">
        <f t="shared" si="2"/>
        <v/>
      </c>
      <c r="E578" s="14" t="str">
        <f t="shared" si="3"/>
        <v/>
      </c>
      <c r="F578" s="7" t="str">
        <f>IF($A578&lt;&gt;"",MAXIFS(Token!$C:$C,Token!$A:$A,$D578),)</f>
        <v/>
      </c>
    </row>
    <row r="579">
      <c r="A579" s="39" t="str">
        <f>IF(AND($L579*1&gt;=$G$3,$L579*1&lt;=$G$4,$I579*$J579&gt;0,OR($I579&lt;&gt;$I580,$L579-$L580&gt;25),IF(ABS($I579)&gt;10,$I579/POW(10,$J579),$J579/POW(10,$I579))*MAXIFS(Token!$C:$C,Token!$A:$A,$K579)&gt;0.01),$L579/86400+DATE(1970,1,1)+$G$6,)</f>
        <v/>
      </c>
      <c r="B579" s="27" t="str">
        <f t="shared" si="1"/>
        <v/>
      </c>
      <c r="C579" s="14" t="str">
        <f>IF($A579&lt;&gt;"",MINIFS(Merchant!$A:$A,Merchant!$B:$B,$G$2),)</f>
        <v/>
      </c>
      <c r="D579" s="14" t="str">
        <f t="shared" si="2"/>
        <v/>
      </c>
      <c r="E579" s="14" t="str">
        <f t="shared" si="3"/>
        <v/>
      </c>
      <c r="F579" s="7" t="str">
        <f>IF($A579&lt;&gt;"",MAXIFS(Token!$C:$C,Token!$A:$A,$D579),)</f>
        <v/>
      </c>
    </row>
    <row r="580">
      <c r="A580" s="39" t="str">
        <f>IF(AND($L580*1&gt;=$G$3,$L580*1&lt;=$G$4,$I580*$J580&gt;0,OR($I580&lt;&gt;$I581,$L580-$L581&gt;25),IF(ABS($I580)&gt;10,$I580/POW(10,$J580),$J580/POW(10,$I580))*MAXIFS(Token!$C:$C,Token!$A:$A,$K580)&gt;0.01),$L580/86400+DATE(1970,1,1)+$G$6,)</f>
        <v/>
      </c>
      <c r="B580" s="27" t="str">
        <f t="shared" si="1"/>
        <v/>
      </c>
      <c r="C580" s="14" t="str">
        <f>IF($A580&lt;&gt;"",MINIFS(Merchant!$A:$A,Merchant!$B:$B,$G$2),)</f>
        <v/>
      </c>
      <c r="D580" s="14" t="str">
        <f t="shared" si="2"/>
        <v/>
      </c>
      <c r="E580" s="14" t="str">
        <f t="shared" si="3"/>
        <v/>
      </c>
      <c r="F580" s="7" t="str">
        <f>IF($A580&lt;&gt;"",MAXIFS(Token!$C:$C,Token!$A:$A,$D580),)</f>
        <v/>
      </c>
    </row>
    <row r="581">
      <c r="A581" s="39" t="str">
        <f>IF(AND($L581*1&gt;=$G$3,$L581*1&lt;=$G$4,$I581*$J581&gt;0,OR($I581&lt;&gt;$I582,$L581-$L582&gt;25),IF(ABS($I581)&gt;10,$I581/POW(10,$J581),$J581/POW(10,$I581))*MAXIFS(Token!$C:$C,Token!$A:$A,$K581)&gt;0.01),$L581/86400+DATE(1970,1,1)+$G$6,)</f>
        <v/>
      </c>
      <c r="B581" s="27" t="str">
        <f t="shared" si="1"/>
        <v/>
      </c>
      <c r="C581" s="14" t="str">
        <f>IF($A581&lt;&gt;"",MINIFS(Merchant!$A:$A,Merchant!$B:$B,$G$2),)</f>
        <v/>
      </c>
      <c r="D581" s="14" t="str">
        <f t="shared" si="2"/>
        <v/>
      </c>
      <c r="E581" s="14" t="str">
        <f t="shared" si="3"/>
        <v/>
      </c>
      <c r="F581" s="7" t="str">
        <f>IF($A581&lt;&gt;"",MAXIFS(Token!$C:$C,Token!$A:$A,$D581),)</f>
        <v/>
      </c>
    </row>
    <row r="582">
      <c r="A582" s="39" t="str">
        <f>IF(AND($L582*1&gt;=$G$3,$L582*1&lt;=$G$4,$I582*$J582&gt;0,OR($I582&lt;&gt;$I583,$L582-$L583&gt;25),IF(ABS($I582)&gt;10,$I582/POW(10,$J582),$J582/POW(10,$I582))*MAXIFS(Token!$C:$C,Token!$A:$A,$K582)&gt;0.01),$L582/86400+DATE(1970,1,1)+$G$6,)</f>
        <v/>
      </c>
      <c r="B582" s="27" t="str">
        <f t="shared" si="1"/>
        <v/>
      </c>
      <c r="C582" s="14" t="str">
        <f>IF($A582&lt;&gt;"",MINIFS(Merchant!$A:$A,Merchant!$B:$B,$G$2),)</f>
        <v/>
      </c>
      <c r="D582" s="14" t="str">
        <f t="shared" si="2"/>
        <v/>
      </c>
      <c r="E582" s="14" t="str">
        <f t="shared" si="3"/>
        <v/>
      </c>
      <c r="F582" s="7" t="str">
        <f>IF($A582&lt;&gt;"",MAXIFS(Token!$C:$C,Token!$A:$A,$D582),)</f>
        <v/>
      </c>
    </row>
    <row r="583">
      <c r="A583" s="39" t="str">
        <f>IF(AND($L583*1&gt;=$G$3,$L583*1&lt;=$G$4,$I583*$J583&gt;0,OR($I583&lt;&gt;$I584,$L583-$L584&gt;25),IF(ABS($I583)&gt;10,$I583/POW(10,$J583),$J583/POW(10,$I583))*MAXIFS(Token!$C:$C,Token!$A:$A,$K583)&gt;0.01),$L583/86400+DATE(1970,1,1)+$G$6,)</f>
        <v/>
      </c>
      <c r="B583" s="27" t="str">
        <f t="shared" si="1"/>
        <v/>
      </c>
      <c r="C583" s="14" t="str">
        <f>IF($A583&lt;&gt;"",MINIFS(Merchant!$A:$A,Merchant!$B:$B,$G$2),)</f>
        <v/>
      </c>
      <c r="D583" s="14" t="str">
        <f t="shared" si="2"/>
        <v/>
      </c>
      <c r="E583" s="14" t="str">
        <f t="shared" si="3"/>
        <v/>
      </c>
      <c r="F583" s="7" t="str">
        <f>IF($A583&lt;&gt;"",MAXIFS(Token!$C:$C,Token!$A:$A,$D583),)</f>
        <v/>
      </c>
    </row>
    <row r="584">
      <c r="A584" s="39" t="str">
        <f>IF(AND($L584*1&gt;=$G$3,$L584*1&lt;=$G$4,$I584*$J584&gt;0,OR($I584&lt;&gt;$I585,$L584-$L585&gt;25),IF(ABS($I584)&gt;10,$I584/POW(10,$J584),$J584/POW(10,$I584))*MAXIFS(Token!$C:$C,Token!$A:$A,$K584)&gt;0.01),$L584/86400+DATE(1970,1,1)+$G$6,)</f>
        <v/>
      </c>
      <c r="B584" s="27" t="str">
        <f t="shared" si="1"/>
        <v/>
      </c>
      <c r="C584" s="14" t="str">
        <f>IF($A584&lt;&gt;"",MINIFS(Merchant!$A:$A,Merchant!$B:$B,$G$2),)</f>
        <v/>
      </c>
      <c r="D584" s="14" t="str">
        <f t="shared" si="2"/>
        <v/>
      </c>
      <c r="E584" s="14" t="str">
        <f t="shared" si="3"/>
        <v/>
      </c>
      <c r="F584" s="7" t="str">
        <f>IF($A584&lt;&gt;"",MAXIFS(Token!$C:$C,Token!$A:$A,$D584),)</f>
        <v/>
      </c>
    </row>
    <row r="585">
      <c r="A585" s="39" t="str">
        <f>IF(AND($L585*1&gt;=$G$3,$L585*1&lt;=$G$4,$I585*$J585&gt;0,OR($I585&lt;&gt;$I586,$L585-$L586&gt;25),IF(ABS($I585)&gt;10,$I585/POW(10,$J585),$J585/POW(10,$I585))*MAXIFS(Token!$C:$C,Token!$A:$A,$K585)&gt;0.01),$L585/86400+DATE(1970,1,1)+$G$6,)</f>
        <v/>
      </c>
      <c r="B585" s="27" t="str">
        <f t="shared" si="1"/>
        <v/>
      </c>
      <c r="C585" s="14" t="str">
        <f>IF($A585&lt;&gt;"",MINIFS(Merchant!$A:$A,Merchant!$B:$B,$G$2),)</f>
        <v/>
      </c>
      <c r="D585" s="14" t="str">
        <f t="shared" si="2"/>
        <v/>
      </c>
      <c r="E585" s="14" t="str">
        <f t="shared" si="3"/>
        <v/>
      </c>
      <c r="F585" s="7" t="str">
        <f>IF($A585&lt;&gt;"",MAXIFS(Token!$C:$C,Token!$A:$A,$D585),)</f>
        <v/>
      </c>
    </row>
    <row r="586">
      <c r="A586" s="39" t="str">
        <f>IF(AND($L586*1&gt;=$G$3,$L586*1&lt;=$G$4,$I586*$J586&gt;0,OR($I586&lt;&gt;$I587,$L586-$L587&gt;25),IF(ABS($I586)&gt;10,$I586/POW(10,$J586),$J586/POW(10,$I586))*MAXIFS(Token!$C:$C,Token!$A:$A,$K586)&gt;0.01),$L586/86400+DATE(1970,1,1)+$G$6,)</f>
        <v/>
      </c>
      <c r="B586" s="27" t="str">
        <f t="shared" si="1"/>
        <v/>
      </c>
      <c r="C586" s="14" t="str">
        <f>IF($A586&lt;&gt;"",MINIFS(Merchant!$A:$A,Merchant!$B:$B,$G$2),)</f>
        <v/>
      </c>
      <c r="D586" s="14" t="str">
        <f t="shared" si="2"/>
        <v/>
      </c>
      <c r="E586" s="14" t="str">
        <f t="shared" si="3"/>
        <v/>
      </c>
      <c r="F586" s="7" t="str">
        <f>IF($A586&lt;&gt;"",MAXIFS(Token!$C:$C,Token!$A:$A,$D586),)</f>
        <v/>
      </c>
    </row>
    <row r="587">
      <c r="A587" s="39" t="str">
        <f>IF(AND($L587*1&gt;=$G$3,$L587*1&lt;=$G$4,$I587*$J587&gt;0,OR($I587&lt;&gt;$I588,$L587-$L588&gt;25),IF(ABS($I587)&gt;10,$I587/POW(10,$J587),$J587/POW(10,$I587))*MAXIFS(Token!$C:$C,Token!$A:$A,$K587)&gt;0.01),$L587/86400+DATE(1970,1,1)+$G$6,)</f>
        <v/>
      </c>
      <c r="B587" s="27" t="str">
        <f t="shared" si="1"/>
        <v/>
      </c>
      <c r="C587" s="14" t="str">
        <f>IF($A587&lt;&gt;"",MINIFS(Merchant!$A:$A,Merchant!$B:$B,$G$2),)</f>
        <v/>
      </c>
      <c r="D587" s="14" t="str">
        <f t="shared" si="2"/>
        <v/>
      </c>
      <c r="E587" s="14" t="str">
        <f t="shared" si="3"/>
        <v/>
      </c>
      <c r="F587" s="7" t="str">
        <f>IF($A587&lt;&gt;"",MAXIFS(Token!$C:$C,Token!$A:$A,$D587),)</f>
        <v/>
      </c>
    </row>
    <row r="588">
      <c r="A588" s="39" t="str">
        <f>IF(AND($L588*1&gt;=$G$3,$L588*1&lt;=$G$4,$I588*$J588&gt;0,OR($I588&lt;&gt;$I589,$L588-$L589&gt;25),IF(ABS($I588)&gt;10,$I588/POW(10,$J588),$J588/POW(10,$I588))*MAXIFS(Token!$C:$C,Token!$A:$A,$K588)&gt;0.01),$L588/86400+DATE(1970,1,1)+$G$6,)</f>
        <v/>
      </c>
      <c r="B588" s="27" t="str">
        <f t="shared" si="1"/>
        <v/>
      </c>
      <c r="C588" s="14" t="str">
        <f>IF($A588&lt;&gt;"",MINIFS(Merchant!$A:$A,Merchant!$B:$B,$G$2),)</f>
        <v/>
      </c>
      <c r="D588" s="14" t="str">
        <f t="shared" si="2"/>
        <v/>
      </c>
      <c r="E588" s="14" t="str">
        <f t="shared" si="3"/>
        <v/>
      </c>
      <c r="F588" s="7" t="str">
        <f>IF($A588&lt;&gt;"",MAXIFS(Token!$C:$C,Token!$A:$A,$D588),)</f>
        <v/>
      </c>
    </row>
    <row r="589">
      <c r="A589" s="39" t="str">
        <f>IF(AND($L589*1&gt;=$G$3,$L589*1&lt;=$G$4,$I589*$J589&gt;0,OR($I589&lt;&gt;$I590,$L589-$L590&gt;25),IF(ABS($I589)&gt;10,$I589/POW(10,$J589),$J589/POW(10,$I589))*MAXIFS(Token!$C:$C,Token!$A:$A,$K589)&gt;0.01),$L589/86400+DATE(1970,1,1)+$G$6,)</f>
        <v/>
      </c>
      <c r="B589" s="27" t="str">
        <f t="shared" si="1"/>
        <v/>
      </c>
      <c r="C589" s="14" t="str">
        <f>IF($A589&lt;&gt;"",MINIFS(Merchant!$A:$A,Merchant!$B:$B,$G$2),)</f>
        <v/>
      </c>
      <c r="D589" s="14" t="str">
        <f t="shared" si="2"/>
        <v/>
      </c>
      <c r="E589" s="14" t="str">
        <f t="shared" si="3"/>
        <v/>
      </c>
      <c r="F589" s="7" t="str">
        <f>IF($A589&lt;&gt;"",MAXIFS(Token!$C:$C,Token!$A:$A,$D589),)</f>
        <v/>
      </c>
    </row>
    <row r="590">
      <c r="A590" s="39" t="str">
        <f>IF(AND($L590*1&gt;=$G$3,$L590*1&lt;=$G$4,$I590*$J590&gt;0,OR($I590&lt;&gt;$I591,$L590-$L591&gt;25),IF(ABS($I590)&gt;10,$I590/POW(10,$J590),$J590/POW(10,$I590))*MAXIFS(Token!$C:$C,Token!$A:$A,$K590)&gt;0.01),$L590/86400+DATE(1970,1,1)+$G$6,)</f>
        <v/>
      </c>
      <c r="B590" s="27" t="str">
        <f t="shared" si="1"/>
        <v/>
      </c>
      <c r="C590" s="14" t="str">
        <f>IF($A590&lt;&gt;"",MINIFS(Merchant!$A:$A,Merchant!$B:$B,$G$2),)</f>
        <v/>
      </c>
      <c r="D590" s="14" t="str">
        <f t="shared" si="2"/>
        <v/>
      </c>
      <c r="E590" s="14" t="str">
        <f t="shared" si="3"/>
        <v/>
      </c>
      <c r="F590" s="7" t="str">
        <f>IF($A590&lt;&gt;"",MAXIFS(Token!$C:$C,Token!$A:$A,$D590),)</f>
        <v/>
      </c>
    </row>
    <row r="591">
      <c r="A591" s="39" t="str">
        <f>IF(AND($L591*1&gt;=$G$3,$L591*1&lt;=$G$4,$I591*$J591&gt;0,OR($I591&lt;&gt;$I592,$L591-$L592&gt;25),IF(ABS($I591)&gt;10,$I591/POW(10,$J591),$J591/POW(10,$I591))*MAXIFS(Token!$C:$C,Token!$A:$A,$K591)&gt;0.01),$L591/86400+DATE(1970,1,1)+$G$6,)</f>
        <v/>
      </c>
      <c r="B591" s="27" t="str">
        <f t="shared" si="1"/>
        <v/>
      </c>
      <c r="C591" s="14" t="str">
        <f>IF($A591&lt;&gt;"",MINIFS(Merchant!$A:$A,Merchant!$B:$B,$G$2),)</f>
        <v/>
      </c>
      <c r="D591" s="14" t="str">
        <f t="shared" si="2"/>
        <v/>
      </c>
      <c r="E591" s="14" t="str">
        <f t="shared" si="3"/>
        <v/>
      </c>
      <c r="F591" s="7" t="str">
        <f>IF($A591&lt;&gt;"",MAXIFS(Token!$C:$C,Token!$A:$A,$D591),)</f>
        <v/>
      </c>
    </row>
    <row r="592">
      <c r="A592" s="39" t="str">
        <f>IF(AND($L592*1&gt;=$G$3,$L592*1&lt;=$G$4,$I592*$J592&gt;0,OR($I592&lt;&gt;$I593,$L592-$L593&gt;25),IF(ABS($I592)&gt;10,$I592/POW(10,$J592),$J592/POW(10,$I592))*MAXIFS(Token!$C:$C,Token!$A:$A,$K592)&gt;0.01),$L592/86400+DATE(1970,1,1)+$G$6,)</f>
        <v/>
      </c>
      <c r="B592" s="27" t="str">
        <f t="shared" si="1"/>
        <v/>
      </c>
      <c r="C592" s="14" t="str">
        <f>IF($A592&lt;&gt;"",MINIFS(Merchant!$A:$A,Merchant!$B:$B,$G$2),)</f>
        <v/>
      </c>
      <c r="D592" s="14" t="str">
        <f t="shared" si="2"/>
        <v/>
      </c>
      <c r="E592" s="14" t="str">
        <f t="shared" si="3"/>
        <v/>
      </c>
      <c r="F592" s="7" t="str">
        <f>IF($A592&lt;&gt;"",MAXIFS(Token!$C:$C,Token!$A:$A,$D592),)</f>
        <v/>
      </c>
    </row>
    <row r="593">
      <c r="A593" s="39" t="str">
        <f>IF(AND($L593*1&gt;=$G$3,$L593*1&lt;=$G$4,$I593*$J593&gt;0,OR($I593&lt;&gt;$I594,$L593-$L594&gt;25),IF(ABS($I593)&gt;10,$I593/POW(10,$J593),$J593/POW(10,$I593))*MAXIFS(Token!$C:$C,Token!$A:$A,$K593)&gt;0.01),$L593/86400+DATE(1970,1,1)+$G$6,)</f>
        <v/>
      </c>
      <c r="B593" s="27" t="str">
        <f t="shared" si="1"/>
        <v/>
      </c>
      <c r="C593" s="14" t="str">
        <f>IF($A593&lt;&gt;"",MINIFS(Merchant!$A:$A,Merchant!$B:$B,$G$2),)</f>
        <v/>
      </c>
      <c r="D593" s="14" t="str">
        <f t="shared" si="2"/>
        <v/>
      </c>
      <c r="E593" s="14" t="str">
        <f t="shared" si="3"/>
        <v/>
      </c>
      <c r="F593" s="7" t="str">
        <f>IF($A593&lt;&gt;"",MAXIFS(Token!$C:$C,Token!$A:$A,$D593),)</f>
        <v/>
      </c>
    </row>
    <row r="594">
      <c r="A594" s="39" t="str">
        <f>IF(AND($L594*1&gt;=$G$3,$L594*1&lt;=$G$4,$I594*$J594&gt;0,OR($I594&lt;&gt;$I595,$L594-$L595&gt;25),IF(ABS($I594)&gt;10,$I594/POW(10,$J594),$J594/POW(10,$I594))*MAXIFS(Token!$C:$C,Token!$A:$A,$K594)&gt;0.01),$L594/86400+DATE(1970,1,1)+$G$6,)</f>
        <v/>
      </c>
      <c r="B594" s="27" t="str">
        <f t="shared" si="1"/>
        <v/>
      </c>
      <c r="C594" s="14" t="str">
        <f>IF($A594&lt;&gt;"",MINIFS(Merchant!$A:$A,Merchant!$B:$B,$G$2),)</f>
        <v/>
      </c>
      <c r="D594" s="14" t="str">
        <f t="shared" si="2"/>
        <v/>
      </c>
      <c r="E594" s="14" t="str">
        <f t="shared" si="3"/>
        <v/>
      </c>
      <c r="F594" s="7" t="str">
        <f>IF($A594&lt;&gt;"",MAXIFS(Token!$C:$C,Token!$A:$A,$D594),)</f>
        <v/>
      </c>
    </row>
    <row r="595">
      <c r="A595" s="39" t="str">
        <f>IF(AND($L595*1&gt;=$G$3,$L595*1&lt;=$G$4,$I595*$J595&gt;0,OR($I595&lt;&gt;$I596,$L595-$L596&gt;25),IF(ABS($I595)&gt;10,$I595/POW(10,$J595),$J595/POW(10,$I595))*MAXIFS(Token!$C:$C,Token!$A:$A,$K595)&gt;0.01),$L595/86400+DATE(1970,1,1)+$G$6,)</f>
        <v/>
      </c>
      <c r="B595" s="27" t="str">
        <f t="shared" si="1"/>
        <v/>
      </c>
      <c r="C595" s="14" t="str">
        <f>IF($A595&lt;&gt;"",MINIFS(Merchant!$A:$A,Merchant!$B:$B,$G$2),)</f>
        <v/>
      </c>
      <c r="D595" s="14" t="str">
        <f t="shared" si="2"/>
        <v/>
      </c>
      <c r="E595" s="14" t="str">
        <f t="shared" si="3"/>
        <v/>
      </c>
      <c r="F595" s="7" t="str">
        <f>IF($A595&lt;&gt;"",MAXIFS(Token!$C:$C,Token!$A:$A,$D595),)</f>
        <v/>
      </c>
    </row>
    <row r="596">
      <c r="A596" s="39" t="str">
        <f>IF(AND($L596*1&gt;=$G$3,$L596*1&lt;=$G$4,$I596*$J596&gt;0,OR($I596&lt;&gt;$I597,$L596-$L597&gt;25),IF(ABS($I596)&gt;10,$I596/POW(10,$J596),$J596/POW(10,$I596))*MAXIFS(Token!$C:$C,Token!$A:$A,$K596)&gt;0.01),$L596/86400+DATE(1970,1,1)+$G$6,)</f>
        <v/>
      </c>
      <c r="B596" s="27" t="str">
        <f t="shared" si="1"/>
        <v/>
      </c>
      <c r="C596" s="14" t="str">
        <f>IF($A596&lt;&gt;"",MINIFS(Merchant!$A:$A,Merchant!$B:$B,$G$2),)</f>
        <v/>
      </c>
      <c r="D596" s="14" t="str">
        <f t="shared" si="2"/>
        <v/>
      </c>
      <c r="E596" s="14" t="str">
        <f t="shared" si="3"/>
        <v/>
      </c>
      <c r="F596" s="7" t="str">
        <f>IF($A596&lt;&gt;"",MAXIFS(Token!$C:$C,Token!$A:$A,$D596),)</f>
        <v/>
      </c>
    </row>
    <row r="597">
      <c r="A597" s="39" t="str">
        <f>IF(AND($L597*1&gt;=$G$3,$L597*1&lt;=$G$4,$I597*$J597&gt;0,OR($I597&lt;&gt;$I598,$L597-$L598&gt;25),IF(ABS($I597)&gt;10,$I597/POW(10,$J597),$J597/POW(10,$I597))*MAXIFS(Token!$C:$C,Token!$A:$A,$K597)&gt;0.01),$L597/86400+DATE(1970,1,1)+$G$6,)</f>
        <v/>
      </c>
      <c r="B597" s="27" t="str">
        <f t="shared" si="1"/>
        <v/>
      </c>
      <c r="C597" s="14" t="str">
        <f>IF($A597&lt;&gt;"",MINIFS(Merchant!$A:$A,Merchant!$B:$B,$G$2),)</f>
        <v/>
      </c>
      <c r="D597" s="14" t="str">
        <f t="shared" si="2"/>
        <v/>
      </c>
      <c r="E597" s="14" t="str">
        <f t="shared" si="3"/>
        <v/>
      </c>
      <c r="F597" s="7" t="str">
        <f>IF($A597&lt;&gt;"",MAXIFS(Token!$C:$C,Token!$A:$A,$D597),)</f>
        <v/>
      </c>
    </row>
    <row r="598">
      <c r="A598" s="39" t="str">
        <f>IF(AND($L598*1&gt;=$G$3,$L598*1&lt;=$G$4,$I598*$J598&gt;0,OR($I598&lt;&gt;$I599,$L598-$L599&gt;25),IF(ABS($I598)&gt;10,$I598/POW(10,$J598),$J598/POW(10,$I598))*MAXIFS(Token!$C:$C,Token!$A:$A,$K598)&gt;0.01),$L598/86400+DATE(1970,1,1)+$G$6,)</f>
        <v/>
      </c>
      <c r="B598" s="27" t="str">
        <f t="shared" si="1"/>
        <v/>
      </c>
      <c r="C598" s="14" t="str">
        <f>IF($A598&lt;&gt;"",MINIFS(Merchant!$A:$A,Merchant!$B:$B,$G$2),)</f>
        <v/>
      </c>
      <c r="D598" s="14" t="str">
        <f t="shared" si="2"/>
        <v/>
      </c>
      <c r="E598" s="14" t="str">
        <f t="shared" si="3"/>
        <v/>
      </c>
      <c r="F598" s="7" t="str">
        <f>IF($A598&lt;&gt;"",MAXIFS(Token!$C:$C,Token!$A:$A,$D598),)</f>
        <v/>
      </c>
    </row>
    <row r="599">
      <c r="A599" s="39" t="str">
        <f>IF(AND($L599*1&gt;=$G$3,$L599*1&lt;=$G$4,$I599*$J599&gt;0,OR($I599&lt;&gt;$I600,$L599-$L600&gt;25),IF(ABS($I599)&gt;10,$I599/POW(10,$J599),$J599/POW(10,$I599))*MAXIFS(Token!$C:$C,Token!$A:$A,$K599)&gt;0.01),$L599/86400+DATE(1970,1,1)+$G$6,)</f>
        <v/>
      </c>
      <c r="B599" s="27" t="str">
        <f t="shared" si="1"/>
        <v/>
      </c>
      <c r="C599" s="14" t="str">
        <f>IF($A599&lt;&gt;"",MINIFS(Merchant!$A:$A,Merchant!$B:$B,$G$2),)</f>
        <v/>
      </c>
      <c r="D599" s="14" t="str">
        <f t="shared" si="2"/>
        <v/>
      </c>
      <c r="E599" s="14" t="str">
        <f t="shared" si="3"/>
        <v/>
      </c>
      <c r="F599" s="7" t="str">
        <f>IF($A599&lt;&gt;"",MAXIFS(Token!$C:$C,Token!$A:$A,$D599),)</f>
        <v/>
      </c>
    </row>
    <row r="600">
      <c r="A600" s="39" t="str">
        <f>IF(AND($L600*1&gt;=$G$3,$L600*1&lt;=$G$4,$I600*$J600&gt;0,OR($I600&lt;&gt;$I601,$L600-$L601&gt;25),IF(ABS($I600)&gt;10,$I600/POW(10,$J600),$J600/POW(10,$I600))*MAXIFS(Token!$C:$C,Token!$A:$A,$K600)&gt;0.01),$L600/86400+DATE(1970,1,1)+$G$6,)</f>
        <v/>
      </c>
      <c r="B600" s="27" t="str">
        <f t="shared" si="1"/>
        <v/>
      </c>
      <c r="C600" s="14" t="str">
        <f>IF($A600&lt;&gt;"",MINIFS(Merchant!$A:$A,Merchant!$B:$B,$G$2),)</f>
        <v/>
      </c>
      <c r="D600" s="14" t="str">
        <f t="shared" si="2"/>
        <v/>
      </c>
      <c r="E600" s="14" t="str">
        <f t="shared" si="3"/>
        <v/>
      </c>
      <c r="F600" s="7" t="str">
        <f>IF($A600&lt;&gt;"",MAXIFS(Token!$C:$C,Token!$A:$A,$D600),)</f>
        <v/>
      </c>
    </row>
    <row r="601">
      <c r="A601" s="39" t="str">
        <f>IF(AND($L601*1&gt;=$G$3,$L601*1&lt;=$G$4,$I601*$J601&gt;0,OR($I601&lt;&gt;$I602,$L601-$L602&gt;25),IF(ABS($I601)&gt;10,$I601/POW(10,$J601),$J601/POW(10,$I601))*MAXIFS(Token!$C:$C,Token!$A:$A,$K601)&gt;0.01),$L601/86400+DATE(1970,1,1)+$G$6,)</f>
        <v/>
      </c>
      <c r="B601" s="27" t="str">
        <f t="shared" si="1"/>
        <v/>
      </c>
      <c r="C601" s="14" t="str">
        <f>IF($A601&lt;&gt;"",MINIFS(Merchant!$A:$A,Merchant!$B:$B,$G$2),)</f>
        <v/>
      </c>
      <c r="D601" s="14" t="str">
        <f t="shared" si="2"/>
        <v/>
      </c>
      <c r="E601" s="14" t="str">
        <f t="shared" si="3"/>
        <v/>
      </c>
      <c r="F601" s="7" t="str">
        <f>IF($A601&lt;&gt;"",MAXIFS(Token!$C:$C,Token!$A:$A,$D601),)</f>
        <v/>
      </c>
    </row>
    <row r="602">
      <c r="A602" s="39" t="str">
        <f>IF(AND($L602*1&gt;=$G$3,$L602*1&lt;=$G$4,$I602*$J602&gt;0,OR($I602&lt;&gt;$I603,$L602-$L603&gt;25),IF(ABS($I602)&gt;10,$I602/POW(10,$J602),$J602/POW(10,$I602))*MAXIFS(Token!$C:$C,Token!$A:$A,$K602)&gt;0.01),$L602/86400+DATE(1970,1,1)+$G$6,)</f>
        <v/>
      </c>
      <c r="B602" s="27" t="str">
        <f t="shared" si="1"/>
        <v/>
      </c>
      <c r="C602" s="14" t="str">
        <f>IF($A602&lt;&gt;"",MINIFS(Merchant!$A:$A,Merchant!$B:$B,$G$2),)</f>
        <v/>
      </c>
      <c r="D602" s="14" t="str">
        <f t="shared" si="2"/>
        <v/>
      </c>
      <c r="E602" s="14" t="str">
        <f t="shared" si="3"/>
        <v/>
      </c>
      <c r="F602" s="7" t="str">
        <f>IF($A602&lt;&gt;"",MAXIFS(Token!$C:$C,Token!$A:$A,$D602),)</f>
        <v/>
      </c>
    </row>
    <row r="603">
      <c r="A603" s="39" t="str">
        <f>IF(AND($L603*1&gt;=$G$3,$L603*1&lt;=$G$4,$I603*$J603&gt;0,OR($I603&lt;&gt;$I604,$L603-$L604&gt;25),IF(ABS($I603)&gt;10,$I603/POW(10,$J603),$J603/POW(10,$I603))*MAXIFS(Token!$C:$C,Token!$A:$A,$K603)&gt;0.01),$L603/86400+DATE(1970,1,1)+$G$6,)</f>
        <v/>
      </c>
      <c r="B603" s="27" t="str">
        <f t="shared" si="1"/>
        <v/>
      </c>
      <c r="C603" s="14" t="str">
        <f>IF($A603&lt;&gt;"",MINIFS(Merchant!$A:$A,Merchant!$B:$B,$G$2),)</f>
        <v/>
      </c>
      <c r="D603" s="14" t="str">
        <f t="shared" si="2"/>
        <v/>
      </c>
      <c r="E603" s="14" t="str">
        <f t="shared" si="3"/>
        <v/>
      </c>
      <c r="F603" s="7" t="str">
        <f>IF($A603&lt;&gt;"",MAXIFS(Token!$C:$C,Token!$A:$A,$D603),)</f>
        <v/>
      </c>
    </row>
    <row r="604">
      <c r="A604" s="39" t="str">
        <f>IF(AND($L604*1&gt;=$G$3,$L604*1&lt;=$G$4,$I604*$J604&gt;0,OR($I604&lt;&gt;$I605,$L604-$L605&gt;25),IF(ABS($I604)&gt;10,$I604/POW(10,$J604),$J604/POW(10,$I604))*MAXIFS(Token!$C:$C,Token!$A:$A,$K604)&gt;0.01),$L604/86400+DATE(1970,1,1)+$G$6,)</f>
        <v/>
      </c>
      <c r="B604" s="27" t="str">
        <f t="shared" si="1"/>
        <v/>
      </c>
      <c r="C604" s="14" t="str">
        <f>IF($A604&lt;&gt;"",MINIFS(Merchant!$A:$A,Merchant!$B:$B,$G$2),)</f>
        <v/>
      </c>
      <c r="D604" s="14" t="str">
        <f t="shared" si="2"/>
        <v/>
      </c>
      <c r="E604" s="14" t="str">
        <f t="shared" si="3"/>
        <v/>
      </c>
      <c r="F604" s="7" t="str">
        <f>IF($A604&lt;&gt;"",MAXIFS(Token!$C:$C,Token!$A:$A,$D604),)</f>
        <v/>
      </c>
    </row>
    <row r="605">
      <c r="A605" s="39" t="str">
        <f>IF(AND($L605*1&gt;=$G$3,$L605*1&lt;=$G$4,$I605*$J605&gt;0,OR($I605&lt;&gt;$I606,$L605-$L606&gt;25),IF(ABS($I605)&gt;10,$I605/POW(10,$J605),$J605/POW(10,$I605))*MAXIFS(Token!$C:$C,Token!$A:$A,$K605)&gt;0.01),$L605/86400+DATE(1970,1,1)+$G$6,)</f>
        <v/>
      </c>
      <c r="B605" s="27" t="str">
        <f t="shared" si="1"/>
        <v/>
      </c>
      <c r="C605" s="14" t="str">
        <f>IF($A605&lt;&gt;"",MINIFS(Merchant!$A:$A,Merchant!$B:$B,$G$2),)</f>
        <v/>
      </c>
      <c r="D605" s="14" t="str">
        <f t="shared" si="2"/>
        <v/>
      </c>
      <c r="E605" s="14" t="str">
        <f t="shared" si="3"/>
        <v/>
      </c>
      <c r="F605" s="7" t="str">
        <f>IF($A605&lt;&gt;"",MAXIFS(Token!$C:$C,Token!$A:$A,$D605),)</f>
        <v/>
      </c>
    </row>
    <row r="606">
      <c r="A606" s="39" t="str">
        <f>IF(AND($L606*1&gt;=$G$3,$L606*1&lt;=$G$4,$I606*$J606&gt;0,OR($I606&lt;&gt;$I607,$L606-$L607&gt;25),IF(ABS($I606)&gt;10,$I606/POW(10,$J606),$J606/POW(10,$I606))*MAXIFS(Token!$C:$C,Token!$A:$A,$K606)&gt;0.01),$L606/86400+DATE(1970,1,1)+$G$6,)</f>
        <v/>
      </c>
      <c r="B606" s="27" t="str">
        <f t="shared" si="1"/>
        <v/>
      </c>
      <c r="C606" s="14" t="str">
        <f>IF($A606&lt;&gt;"",MINIFS(Merchant!$A:$A,Merchant!$B:$B,$G$2),)</f>
        <v/>
      </c>
      <c r="D606" s="14" t="str">
        <f t="shared" si="2"/>
        <v/>
      </c>
      <c r="E606" s="14" t="str">
        <f t="shared" si="3"/>
        <v/>
      </c>
      <c r="F606" s="7" t="str">
        <f>IF($A606&lt;&gt;"",MAXIFS(Token!$C:$C,Token!$A:$A,$D606),)</f>
        <v/>
      </c>
    </row>
    <row r="607">
      <c r="A607" s="39" t="str">
        <f>IF(AND($L607*1&gt;=$G$3,$L607*1&lt;=$G$4,$I607*$J607&gt;0,OR($I607&lt;&gt;$I608,$L607-$L608&gt;25),IF(ABS($I607)&gt;10,$I607/POW(10,$J607),$J607/POW(10,$I607))*MAXIFS(Token!$C:$C,Token!$A:$A,$K607)&gt;0.01),$L607/86400+DATE(1970,1,1)+$G$6,)</f>
        <v/>
      </c>
      <c r="B607" s="27" t="str">
        <f t="shared" si="1"/>
        <v/>
      </c>
      <c r="C607" s="14" t="str">
        <f>IF($A607&lt;&gt;"",MINIFS(Merchant!$A:$A,Merchant!$B:$B,$G$2),)</f>
        <v/>
      </c>
      <c r="D607" s="14" t="str">
        <f t="shared" si="2"/>
        <v/>
      </c>
      <c r="E607" s="14" t="str">
        <f t="shared" si="3"/>
        <v/>
      </c>
      <c r="F607" s="7" t="str">
        <f>IF($A607&lt;&gt;"",MAXIFS(Token!$C:$C,Token!$A:$A,$D607),)</f>
        <v/>
      </c>
    </row>
    <row r="608">
      <c r="A608" s="39" t="str">
        <f>IF(AND($L608*1&gt;=$G$3,$L608*1&lt;=$G$4,$I608*$J608&gt;0,OR($I608&lt;&gt;$I609,$L608-$L609&gt;25),IF(ABS($I608)&gt;10,$I608/POW(10,$J608),$J608/POW(10,$I608))*MAXIFS(Token!$C:$C,Token!$A:$A,$K608)&gt;0.01),$L608/86400+DATE(1970,1,1)+$G$6,)</f>
        <v/>
      </c>
      <c r="B608" s="27" t="str">
        <f t="shared" si="1"/>
        <v/>
      </c>
      <c r="C608" s="14" t="str">
        <f>IF($A608&lt;&gt;"",MINIFS(Merchant!$A:$A,Merchant!$B:$B,$G$2),)</f>
        <v/>
      </c>
      <c r="D608" s="14" t="str">
        <f t="shared" si="2"/>
        <v/>
      </c>
      <c r="E608" s="14" t="str">
        <f t="shared" si="3"/>
        <v/>
      </c>
      <c r="F608" s="7" t="str">
        <f>IF($A608&lt;&gt;"",MAXIFS(Token!$C:$C,Token!$A:$A,$D608),)</f>
        <v/>
      </c>
    </row>
    <row r="609">
      <c r="A609" s="39" t="str">
        <f>IF(AND($L609*1&gt;=$G$3,$L609*1&lt;=$G$4,$I609*$J609&gt;0,OR($I609&lt;&gt;$I610,$L609-$L610&gt;25),IF(ABS($I609)&gt;10,$I609/POW(10,$J609),$J609/POW(10,$I609))*MAXIFS(Token!$C:$C,Token!$A:$A,$K609)&gt;0.01),$L609/86400+DATE(1970,1,1)+$G$6,)</f>
        <v/>
      </c>
      <c r="B609" s="27" t="str">
        <f t="shared" si="1"/>
        <v/>
      </c>
      <c r="C609" s="14" t="str">
        <f>IF($A609&lt;&gt;"",MINIFS(Merchant!$A:$A,Merchant!$B:$B,$G$2),)</f>
        <v/>
      </c>
      <c r="D609" s="14" t="str">
        <f t="shared" si="2"/>
        <v/>
      </c>
      <c r="E609" s="14" t="str">
        <f t="shared" si="3"/>
        <v/>
      </c>
      <c r="F609" s="7" t="str">
        <f>IF($A609&lt;&gt;"",MAXIFS(Token!$C:$C,Token!$A:$A,$D609),)</f>
        <v/>
      </c>
    </row>
    <row r="610">
      <c r="A610" s="39" t="str">
        <f>IF(AND($L610*1&gt;=$G$3,$L610*1&lt;=$G$4,$I610*$J610&gt;0,OR($I610&lt;&gt;$I611,$L610-$L611&gt;25),IF(ABS($I610)&gt;10,$I610/POW(10,$J610),$J610/POW(10,$I610))*MAXIFS(Token!$C:$C,Token!$A:$A,$K610)&gt;0.01),$L610/86400+DATE(1970,1,1)+$G$6,)</f>
        <v/>
      </c>
      <c r="B610" s="27" t="str">
        <f t="shared" si="1"/>
        <v/>
      </c>
      <c r="C610" s="14" t="str">
        <f>IF($A610&lt;&gt;"",MINIFS(Merchant!$A:$A,Merchant!$B:$B,$G$2),)</f>
        <v/>
      </c>
      <c r="D610" s="14" t="str">
        <f t="shared" si="2"/>
        <v/>
      </c>
      <c r="E610" s="14" t="str">
        <f t="shared" si="3"/>
        <v/>
      </c>
      <c r="F610" s="7" t="str">
        <f>IF($A610&lt;&gt;"",MAXIFS(Token!$C:$C,Token!$A:$A,$D610),)</f>
        <v/>
      </c>
    </row>
    <row r="611">
      <c r="A611" s="39" t="str">
        <f>IF(AND($L611*1&gt;=$G$3,$L611*1&lt;=$G$4,$I611*$J611&gt;0,OR($I611&lt;&gt;$I612,$L611-$L612&gt;25),IF(ABS($I611)&gt;10,$I611/POW(10,$J611),$J611/POW(10,$I611))*MAXIFS(Token!$C:$C,Token!$A:$A,$K611)&gt;0.01),$L611/86400+DATE(1970,1,1)+$G$6,)</f>
        <v/>
      </c>
      <c r="B611" s="27" t="str">
        <f t="shared" si="1"/>
        <v/>
      </c>
      <c r="C611" s="14" t="str">
        <f>IF($A611&lt;&gt;"",MINIFS(Merchant!$A:$A,Merchant!$B:$B,$G$2),)</f>
        <v/>
      </c>
      <c r="D611" s="14" t="str">
        <f t="shared" si="2"/>
        <v/>
      </c>
      <c r="E611" s="14" t="str">
        <f t="shared" si="3"/>
        <v/>
      </c>
      <c r="F611" s="7" t="str">
        <f>IF($A611&lt;&gt;"",MAXIFS(Token!$C:$C,Token!$A:$A,$D611),)</f>
        <v/>
      </c>
    </row>
    <row r="612">
      <c r="A612" s="39" t="str">
        <f>IF(AND($L612*1&gt;=$G$3,$L612*1&lt;=$G$4,$I612*$J612&gt;0,OR($I612&lt;&gt;$I613,$L612-$L613&gt;25),IF(ABS($I612)&gt;10,$I612/POW(10,$J612),$J612/POW(10,$I612))*MAXIFS(Token!$C:$C,Token!$A:$A,$K612)&gt;0.01),$L612/86400+DATE(1970,1,1)+$G$6,)</f>
        <v/>
      </c>
      <c r="B612" s="27" t="str">
        <f t="shared" si="1"/>
        <v/>
      </c>
      <c r="C612" s="14" t="str">
        <f>IF($A612&lt;&gt;"",MINIFS(Merchant!$A:$A,Merchant!$B:$B,$G$2),)</f>
        <v/>
      </c>
      <c r="D612" s="14" t="str">
        <f t="shared" si="2"/>
        <v/>
      </c>
      <c r="E612" s="14" t="str">
        <f t="shared" si="3"/>
        <v/>
      </c>
      <c r="F612" s="7" t="str">
        <f>IF($A612&lt;&gt;"",MAXIFS(Token!$C:$C,Token!$A:$A,$D612),)</f>
        <v/>
      </c>
    </row>
    <row r="613">
      <c r="A613" s="39" t="str">
        <f>IF(AND($L613*1&gt;=$G$3,$L613*1&lt;=$G$4,$I613*$J613&gt;0,OR($I613&lt;&gt;$I614,$L613-$L614&gt;25),IF(ABS($I613)&gt;10,$I613/POW(10,$J613),$J613/POW(10,$I613))*MAXIFS(Token!$C:$C,Token!$A:$A,$K613)&gt;0.01),$L613/86400+DATE(1970,1,1)+$G$6,)</f>
        <v/>
      </c>
      <c r="B613" s="27" t="str">
        <f t="shared" si="1"/>
        <v/>
      </c>
      <c r="C613" s="14" t="str">
        <f>IF($A613&lt;&gt;"",MINIFS(Merchant!$A:$A,Merchant!$B:$B,$G$2),)</f>
        <v/>
      </c>
      <c r="D613" s="14" t="str">
        <f t="shared" si="2"/>
        <v/>
      </c>
      <c r="E613" s="14" t="str">
        <f t="shared" si="3"/>
        <v/>
      </c>
      <c r="F613" s="7" t="str">
        <f>IF($A613&lt;&gt;"",MAXIFS(Token!$C:$C,Token!$A:$A,$D613),)</f>
        <v/>
      </c>
    </row>
    <row r="614">
      <c r="A614" s="39" t="str">
        <f>IF(AND($L614*1&gt;=$G$3,$L614*1&lt;=$G$4,$I614*$J614&gt;0,OR($I614&lt;&gt;$I615,$L614-$L615&gt;25),IF(ABS($I614)&gt;10,$I614/POW(10,$J614),$J614/POW(10,$I614))*MAXIFS(Token!$C:$C,Token!$A:$A,$K614)&gt;0.01),$L614/86400+DATE(1970,1,1)+$G$6,)</f>
        <v/>
      </c>
      <c r="B614" s="27" t="str">
        <f t="shared" si="1"/>
        <v/>
      </c>
      <c r="C614" s="14" t="str">
        <f>IF($A614&lt;&gt;"",MINIFS(Merchant!$A:$A,Merchant!$B:$B,$G$2),)</f>
        <v/>
      </c>
      <c r="D614" s="14" t="str">
        <f t="shared" si="2"/>
        <v/>
      </c>
      <c r="E614" s="14" t="str">
        <f t="shared" si="3"/>
        <v/>
      </c>
      <c r="F614" s="7" t="str">
        <f>IF($A614&lt;&gt;"",MAXIFS(Token!$C:$C,Token!$A:$A,$D614),)</f>
        <v/>
      </c>
    </row>
    <row r="615">
      <c r="A615" s="39" t="str">
        <f>IF(AND($L615*1&gt;=$G$3,$L615*1&lt;=$G$4,$I615*$J615&gt;0,OR($I615&lt;&gt;$I616,$L615-$L616&gt;25),IF(ABS($I615)&gt;10,$I615/POW(10,$J615),$J615/POW(10,$I615))*MAXIFS(Token!$C:$C,Token!$A:$A,$K615)&gt;0.01),$L615/86400+DATE(1970,1,1)+$G$6,)</f>
        <v/>
      </c>
      <c r="B615" s="27" t="str">
        <f t="shared" si="1"/>
        <v/>
      </c>
      <c r="C615" s="14" t="str">
        <f>IF($A615&lt;&gt;"",MINIFS(Merchant!$A:$A,Merchant!$B:$B,$G$2),)</f>
        <v/>
      </c>
      <c r="D615" s="14" t="str">
        <f t="shared" si="2"/>
        <v/>
      </c>
      <c r="E615" s="14" t="str">
        <f t="shared" si="3"/>
        <v/>
      </c>
      <c r="F615" s="7" t="str">
        <f>IF($A615&lt;&gt;"",MAXIFS(Token!$C:$C,Token!$A:$A,$D615),)</f>
        <v/>
      </c>
    </row>
    <row r="616">
      <c r="A616" s="39" t="str">
        <f>IF(AND($L616*1&gt;=$G$3,$L616*1&lt;=$G$4,$I616*$J616&gt;0,OR($I616&lt;&gt;$I617,$L616-$L617&gt;25),IF(ABS($I616)&gt;10,$I616/POW(10,$J616),$J616/POW(10,$I616))*MAXIFS(Token!$C:$C,Token!$A:$A,$K616)&gt;0.01),$L616/86400+DATE(1970,1,1)+$G$6,)</f>
        <v/>
      </c>
      <c r="B616" s="27" t="str">
        <f t="shared" si="1"/>
        <v/>
      </c>
      <c r="C616" s="14" t="str">
        <f>IF($A616&lt;&gt;"",MINIFS(Merchant!$A:$A,Merchant!$B:$B,$G$2),)</f>
        <v/>
      </c>
      <c r="D616" s="14" t="str">
        <f t="shared" si="2"/>
        <v/>
      </c>
      <c r="E616" s="14" t="str">
        <f t="shared" si="3"/>
        <v/>
      </c>
      <c r="F616" s="7" t="str">
        <f>IF($A616&lt;&gt;"",MAXIFS(Token!$C:$C,Token!$A:$A,$D616),)</f>
        <v/>
      </c>
    </row>
    <row r="617">
      <c r="A617" s="39" t="str">
        <f>IF(AND($L617*1&gt;=$G$3,$L617*1&lt;=$G$4,$I617*$J617&gt;0,OR($I617&lt;&gt;$I618,$L617-$L618&gt;25),IF(ABS($I617)&gt;10,$I617/POW(10,$J617),$J617/POW(10,$I617))*MAXIFS(Token!$C:$C,Token!$A:$A,$K617)&gt;0.01),$L617/86400+DATE(1970,1,1)+$G$6,)</f>
        <v/>
      </c>
      <c r="B617" s="27" t="str">
        <f t="shared" si="1"/>
        <v/>
      </c>
      <c r="C617" s="14" t="str">
        <f>IF($A617&lt;&gt;"",MINIFS(Merchant!$A:$A,Merchant!$B:$B,$G$2),)</f>
        <v/>
      </c>
      <c r="D617" s="14" t="str">
        <f t="shared" si="2"/>
        <v/>
      </c>
      <c r="E617" s="14" t="str">
        <f t="shared" si="3"/>
        <v/>
      </c>
      <c r="F617" s="7" t="str">
        <f>IF($A617&lt;&gt;"",MAXIFS(Token!$C:$C,Token!$A:$A,$D617),)</f>
        <v/>
      </c>
    </row>
    <row r="618">
      <c r="A618" s="39" t="str">
        <f>IF(AND($L618*1&gt;=$G$3,$L618*1&lt;=$G$4,$I618*$J618&gt;0,OR($I618&lt;&gt;$I619,$L618-$L619&gt;25),IF(ABS($I618)&gt;10,$I618/POW(10,$J618),$J618/POW(10,$I618))*MAXIFS(Token!$C:$C,Token!$A:$A,$K618)&gt;0.01),$L618/86400+DATE(1970,1,1)+$G$6,)</f>
        <v/>
      </c>
      <c r="B618" s="27" t="str">
        <f t="shared" si="1"/>
        <v/>
      </c>
      <c r="C618" s="14" t="str">
        <f>IF($A618&lt;&gt;"",MINIFS(Merchant!$A:$A,Merchant!$B:$B,$G$2),)</f>
        <v/>
      </c>
      <c r="D618" s="14" t="str">
        <f t="shared" si="2"/>
        <v/>
      </c>
      <c r="E618" s="14" t="str">
        <f t="shared" si="3"/>
        <v/>
      </c>
      <c r="F618" s="7" t="str">
        <f>IF($A618&lt;&gt;"",MAXIFS(Token!$C:$C,Token!$A:$A,$D618),)</f>
        <v/>
      </c>
    </row>
    <row r="619">
      <c r="A619" s="39" t="str">
        <f>IF(AND($L619*1&gt;=$G$3,$L619*1&lt;=$G$4,$I619*$J619&gt;0,OR($I619&lt;&gt;$I620,$L619-$L620&gt;25),IF(ABS($I619)&gt;10,$I619/POW(10,$J619),$J619/POW(10,$I619))*MAXIFS(Token!$C:$C,Token!$A:$A,$K619)&gt;0.01),$L619/86400+DATE(1970,1,1)+$G$6,)</f>
        <v/>
      </c>
      <c r="B619" s="27" t="str">
        <f t="shared" si="1"/>
        <v/>
      </c>
      <c r="C619" s="14" t="str">
        <f>IF($A619&lt;&gt;"",MINIFS(Merchant!$A:$A,Merchant!$B:$B,$G$2),)</f>
        <v/>
      </c>
      <c r="D619" s="14" t="str">
        <f t="shared" si="2"/>
        <v/>
      </c>
      <c r="E619" s="14" t="str">
        <f t="shared" si="3"/>
        <v/>
      </c>
      <c r="F619" s="7" t="str">
        <f>IF($A619&lt;&gt;"",MAXIFS(Token!$C:$C,Token!$A:$A,$D619),)</f>
        <v/>
      </c>
    </row>
    <row r="620">
      <c r="A620" s="39" t="str">
        <f>IF(AND($L620*1&gt;=$G$3,$L620*1&lt;=$G$4,$I620*$J620&gt;0,OR($I620&lt;&gt;$I621,$L620-$L621&gt;25),IF(ABS($I620)&gt;10,$I620/POW(10,$J620),$J620/POW(10,$I620))*MAXIFS(Token!$C:$C,Token!$A:$A,$K620)&gt;0.01),$L620/86400+DATE(1970,1,1)+$G$6,)</f>
        <v/>
      </c>
      <c r="B620" s="27" t="str">
        <f t="shared" si="1"/>
        <v/>
      </c>
      <c r="C620" s="14" t="str">
        <f>IF($A620&lt;&gt;"",MINIFS(Merchant!$A:$A,Merchant!$B:$B,$G$2),)</f>
        <v/>
      </c>
      <c r="D620" s="14" t="str">
        <f t="shared" si="2"/>
        <v/>
      </c>
      <c r="E620" s="14" t="str">
        <f t="shared" si="3"/>
        <v/>
      </c>
      <c r="F620" s="7" t="str">
        <f>IF($A620&lt;&gt;"",MAXIFS(Token!$C:$C,Token!$A:$A,$D620),)</f>
        <v/>
      </c>
    </row>
    <row r="621">
      <c r="A621" s="39" t="str">
        <f>IF(AND($L621*1&gt;=$G$3,$L621*1&lt;=$G$4,$I621*$J621&gt;0,OR($I621&lt;&gt;$I622,$L621-$L622&gt;25),IF(ABS($I621)&gt;10,$I621/POW(10,$J621),$J621/POW(10,$I621))*MAXIFS(Token!$C:$C,Token!$A:$A,$K621)&gt;0.01),$L621/86400+DATE(1970,1,1)+$G$6,)</f>
        <v/>
      </c>
      <c r="B621" s="27" t="str">
        <f t="shared" si="1"/>
        <v/>
      </c>
      <c r="C621" s="14" t="str">
        <f>IF($A621&lt;&gt;"",MINIFS(Merchant!$A:$A,Merchant!$B:$B,$G$2),)</f>
        <v/>
      </c>
      <c r="D621" s="14" t="str">
        <f t="shared" si="2"/>
        <v/>
      </c>
      <c r="E621" s="14" t="str">
        <f t="shared" si="3"/>
        <v/>
      </c>
      <c r="F621" s="7" t="str">
        <f>IF($A621&lt;&gt;"",MAXIFS(Token!$C:$C,Token!$A:$A,$D621),)</f>
        <v/>
      </c>
    </row>
    <row r="622">
      <c r="A622" s="39" t="str">
        <f>IF(AND($L622*1&gt;=$G$3,$L622*1&lt;=$G$4,$I622*$J622&gt;0,OR($I622&lt;&gt;$I623,$L622-$L623&gt;25),IF(ABS($I622)&gt;10,$I622/POW(10,$J622),$J622/POW(10,$I622))*MAXIFS(Token!$C:$C,Token!$A:$A,$K622)&gt;0.01),$L622/86400+DATE(1970,1,1)+$G$6,)</f>
        <v/>
      </c>
      <c r="B622" s="27" t="str">
        <f t="shared" si="1"/>
        <v/>
      </c>
      <c r="C622" s="14" t="str">
        <f>IF($A622&lt;&gt;"",MINIFS(Merchant!$A:$A,Merchant!$B:$B,$G$2),)</f>
        <v/>
      </c>
      <c r="D622" s="14" t="str">
        <f t="shared" si="2"/>
        <v/>
      </c>
      <c r="E622" s="14" t="str">
        <f t="shared" si="3"/>
        <v/>
      </c>
      <c r="F622" s="7" t="str">
        <f>IF($A622&lt;&gt;"",MAXIFS(Token!$C:$C,Token!$A:$A,$D622),)</f>
        <v/>
      </c>
    </row>
    <row r="623">
      <c r="A623" s="39" t="str">
        <f>IF(AND($L623*1&gt;=$G$3,$L623*1&lt;=$G$4,$I623*$J623&gt;0,OR($I623&lt;&gt;$I624,$L623-$L624&gt;25),IF(ABS($I623)&gt;10,$I623/POW(10,$J623),$J623/POW(10,$I623))*MAXIFS(Token!$C:$C,Token!$A:$A,$K623)&gt;0.01),$L623/86400+DATE(1970,1,1)+$G$6,)</f>
        <v/>
      </c>
      <c r="B623" s="27" t="str">
        <f t="shared" si="1"/>
        <v/>
      </c>
      <c r="C623" s="14" t="str">
        <f>IF($A623&lt;&gt;"",MINIFS(Merchant!$A:$A,Merchant!$B:$B,$G$2),)</f>
        <v/>
      </c>
      <c r="D623" s="14" t="str">
        <f t="shared" si="2"/>
        <v/>
      </c>
      <c r="E623" s="14" t="str">
        <f t="shared" si="3"/>
        <v/>
      </c>
      <c r="F623" s="7" t="str">
        <f>IF($A623&lt;&gt;"",MAXIFS(Token!$C:$C,Token!$A:$A,$D623),)</f>
        <v/>
      </c>
    </row>
    <row r="624">
      <c r="A624" s="39" t="str">
        <f>IF(AND($L624*1&gt;=$G$3,$L624*1&lt;=$G$4,$I624*$J624&gt;0,OR($I624&lt;&gt;$I625,$L624-$L625&gt;25),IF(ABS($I624)&gt;10,$I624/POW(10,$J624),$J624/POW(10,$I624))*MAXIFS(Token!$C:$C,Token!$A:$A,$K624)&gt;0.01),$L624/86400+DATE(1970,1,1)+$G$6,)</f>
        <v/>
      </c>
      <c r="B624" s="27" t="str">
        <f t="shared" si="1"/>
        <v/>
      </c>
      <c r="C624" s="14" t="str">
        <f>IF($A624&lt;&gt;"",MINIFS(Merchant!$A:$A,Merchant!$B:$B,$G$2),)</f>
        <v/>
      </c>
      <c r="D624" s="14" t="str">
        <f t="shared" si="2"/>
        <v/>
      </c>
      <c r="E624" s="14" t="str">
        <f t="shared" si="3"/>
        <v/>
      </c>
      <c r="F624" s="7" t="str">
        <f>IF($A624&lt;&gt;"",MAXIFS(Token!$C:$C,Token!$A:$A,$D624),)</f>
        <v/>
      </c>
    </row>
    <row r="625">
      <c r="A625" s="39" t="str">
        <f>IF(AND($L625*1&gt;=$G$3,$L625*1&lt;=$G$4,$I625*$J625&gt;0,OR($I625&lt;&gt;$I626,$L625-$L626&gt;25),IF(ABS($I625)&gt;10,$I625/POW(10,$J625),$J625/POW(10,$I625))*MAXIFS(Token!$C:$C,Token!$A:$A,$K625)&gt;0.01),$L625/86400+DATE(1970,1,1)+$G$6,)</f>
        <v/>
      </c>
      <c r="B625" s="27" t="str">
        <f t="shared" si="1"/>
        <v/>
      </c>
      <c r="C625" s="14" t="str">
        <f>IF($A625&lt;&gt;"",MINIFS(Merchant!$A:$A,Merchant!$B:$B,$G$2),)</f>
        <v/>
      </c>
      <c r="D625" s="14" t="str">
        <f t="shared" si="2"/>
        <v/>
      </c>
      <c r="E625" s="14" t="str">
        <f t="shared" si="3"/>
        <v/>
      </c>
      <c r="F625" s="7" t="str">
        <f>IF($A625&lt;&gt;"",MAXIFS(Token!$C:$C,Token!$A:$A,$D625),)</f>
        <v/>
      </c>
    </row>
    <row r="626">
      <c r="A626" s="39" t="str">
        <f>IF(AND($L626*1&gt;=$G$3,$L626*1&lt;=$G$4,$I626*$J626&gt;0,OR($I626&lt;&gt;$I627,$L626-$L627&gt;25),IF(ABS($I626)&gt;10,$I626/POW(10,$J626),$J626/POW(10,$I626))*MAXIFS(Token!$C:$C,Token!$A:$A,$K626)&gt;0.01),$L626/86400+DATE(1970,1,1)+$G$6,)</f>
        <v/>
      </c>
      <c r="B626" s="27" t="str">
        <f t="shared" si="1"/>
        <v/>
      </c>
      <c r="C626" s="14" t="str">
        <f>IF($A626&lt;&gt;"",MINIFS(Merchant!$A:$A,Merchant!$B:$B,$G$2),)</f>
        <v/>
      </c>
      <c r="D626" s="14" t="str">
        <f t="shared" si="2"/>
        <v/>
      </c>
      <c r="E626" s="14" t="str">
        <f t="shared" si="3"/>
        <v/>
      </c>
      <c r="F626" s="7" t="str">
        <f>IF($A626&lt;&gt;"",MAXIFS(Token!$C:$C,Token!$A:$A,$D626),)</f>
        <v/>
      </c>
    </row>
    <row r="627">
      <c r="A627" s="39" t="str">
        <f>IF(AND($L627*1&gt;=$G$3,$L627*1&lt;=$G$4,$I627*$J627&gt;0,OR($I627&lt;&gt;$I628,$L627-$L628&gt;25),IF(ABS($I627)&gt;10,$I627/POW(10,$J627),$J627/POW(10,$I627))*MAXIFS(Token!$C:$C,Token!$A:$A,$K627)&gt;0.01),$L627/86400+DATE(1970,1,1)+$G$6,)</f>
        <v/>
      </c>
      <c r="B627" s="27" t="str">
        <f t="shared" si="1"/>
        <v/>
      </c>
      <c r="C627" s="14" t="str">
        <f>IF($A627&lt;&gt;"",MINIFS(Merchant!$A:$A,Merchant!$B:$B,$G$2),)</f>
        <v/>
      </c>
      <c r="D627" s="14" t="str">
        <f t="shared" si="2"/>
        <v/>
      </c>
      <c r="E627" s="14" t="str">
        <f t="shared" si="3"/>
        <v/>
      </c>
      <c r="F627" s="7" t="str">
        <f>IF($A627&lt;&gt;"",MAXIFS(Token!$C:$C,Token!$A:$A,$D627),)</f>
        <v/>
      </c>
    </row>
    <row r="628">
      <c r="A628" s="39" t="str">
        <f>IF(AND($L628*1&gt;=$G$3,$L628*1&lt;=$G$4,$I628*$J628&gt;0,OR($I628&lt;&gt;$I629,$L628-$L629&gt;25),IF(ABS($I628)&gt;10,$I628/POW(10,$J628),$J628/POW(10,$I628))*MAXIFS(Token!$C:$C,Token!$A:$A,$K628)&gt;0.01),$L628/86400+DATE(1970,1,1)+$G$6,)</f>
        <v/>
      </c>
      <c r="B628" s="27" t="str">
        <f t="shared" si="1"/>
        <v/>
      </c>
      <c r="C628" s="14" t="str">
        <f>IF($A628&lt;&gt;"",MINIFS(Merchant!$A:$A,Merchant!$B:$B,$G$2),)</f>
        <v/>
      </c>
      <c r="D628" s="14" t="str">
        <f t="shared" si="2"/>
        <v/>
      </c>
      <c r="E628" s="14" t="str">
        <f t="shared" si="3"/>
        <v/>
      </c>
      <c r="F628" s="7" t="str">
        <f>IF($A628&lt;&gt;"",MAXIFS(Token!$C:$C,Token!$A:$A,$D628),)</f>
        <v/>
      </c>
    </row>
    <row r="629">
      <c r="A629" s="39" t="str">
        <f>IF(AND($L629*1&gt;=$G$3,$L629*1&lt;=$G$4,$I629*$J629&gt;0,OR($I629&lt;&gt;$I630,$L629-$L630&gt;25),IF(ABS($I629)&gt;10,$I629/POW(10,$J629),$J629/POW(10,$I629))*MAXIFS(Token!$C:$C,Token!$A:$A,$K629)&gt;0.01),$L629/86400+DATE(1970,1,1)+$G$6,)</f>
        <v/>
      </c>
      <c r="B629" s="27" t="str">
        <f t="shared" si="1"/>
        <v/>
      </c>
      <c r="C629" s="14" t="str">
        <f>IF($A629&lt;&gt;"",MINIFS(Merchant!$A:$A,Merchant!$B:$B,$G$2),)</f>
        <v/>
      </c>
      <c r="D629" s="14" t="str">
        <f t="shared" si="2"/>
        <v/>
      </c>
      <c r="E629" s="14" t="str">
        <f t="shared" si="3"/>
        <v/>
      </c>
      <c r="F629" s="7" t="str">
        <f>IF($A629&lt;&gt;"",MAXIFS(Token!$C:$C,Token!$A:$A,$D629),)</f>
        <v/>
      </c>
    </row>
    <row r="630">
      <c r="A630" s="39" t="str">
        <f>IF(AND($L630*1&gt;=$G$3,$L630*1&lt;=$G$4,$I630*$J630&gt;0,OR($I630&lt;&gt;$I631,$L630-$L631&gt;25),IF(ABS($I630)&gt;10,$I630/POW(10,$J630),$J630/POW(10,$I630))*MAXIFS(Token!$C:$C,Token!$A:$A,$K630)&gt;0.01),$L630/86400+DATE(1970,1,1)+$G$6,)</f>
        <v/>
      </c>
      <c r="B630" s="27" t="str">
        <f t="shared" si="1"/>
        <v/>
      </c>
      <c r="C630" s="14" t="str">
        <f>IF($A630&lt;&gt;"",MINIFS(Merchant!$A:$A,Merchant!$B:$B,$G$2),)</f>
        <v/>
      </c>
      <c r="D630" s="14" t="str">
        <f t="shared" si="2"/>
        <v/>
      </c>
      <c r="E630" s="14" t="str">
        <f t="shared" si="3"/>
        <v/>
      </c>
      <c r="F630" s="7" t="str">
        <f>IF($A630&lt;&gt;"",MAXIFS(Token!$C:$C,Token!$A:$A,$D630),)</f>
        <v/>
      </c>
    </row>
    <row r="631">
      <c r="A631" s="39" t="str">
        <f>IF(AND($L631*1&gt;=$G$3,$L631*1&lt;=$G$4,$I631*$J631&gt;0,OR($I631&lt;&gt;$I632,$L631-$L632&gt;25),IF(ABS($I631)&gt;10,$I631/POW(10,$J631),$J631/POW(10,$I631))*MAXIFS(Token!$C:$C,Token!$A:$A,$K631)&gt;0.01),$L631/86400+DATE(1970,1,1)+$G$6,)</f>
        <v/>
      </c>
      <c r="B631" s="27" t="str">
        <f t="shared" si="1"/>
        <v/>
      </c>
      <c r="C631" s="14" t="str">
        <f>IF($A631&lt;&gt;"",MINIFS(Merchant!$A:$A,Merchant!$B:$B,$G$2),)</f>
        <v/>
      </c>
      <c r="D631" s="14" t="str">
        <f t="shared" si="2"/>
        <v/>
      </c>
      <c r="E631" s="14" t="str">
        <f t="shared" si="3"/>
        <v/>
      </c>
      <c r="F631" s="7" t="str">
        <f>IF($A631&lt;&gt;"",MAXIFS(Token!$C:$C,Token!$A:$A,$D631),)</f>
        <v/>
      </c>
    </row>
    <row r="632">
      <c r="A632" s="39" t="str">
        <f>IF(AND($L632*1&gt;=$G$3,$L632*1&lt;=$G$4,$I632*$J632&gt;0,OR($I632&lt;&gt;$I633,$L632-$L633&gt;25),IF(ABS($I632)&gt;10,$I632/POW(10,$J632),$J632/POW(10,$I632))*MAXIFS(Token!$C:$C,Token!$A:$A,$K632)&gt;0.01),$L632/86400+DATE(1970,1,1)+$G$6,)</f>
        <v/>
      </c>
      <c r="B632" s="27" t="str">
        <f t="shared" si="1"/>
        <v/>
      </c>
      <c r="C632" s="14" t="str">
        <f>IF($A632&lt;&gt;"",MINIFS(Merchant!$A:$A,Merchant!$B:$B,$G$2),)</f>
        <v/>
      </c>
      <c r="D632" s="14" t="str">
        <f t="shared" si="2"/>
        <v/>
      </c>
      <c r="E632" s="14" t="str">
        <f t="shared" si="3"/>
        <v/>
      </c>
      <c r="F632" s="7" t="str">
        <f>IF($A632&lt;&gt;"",MAXIFS(Token!$C:$C,Token!$A:$A,$D632),)</f>
        <v/>
      </c>
    </row>
    <row r="633">
      <c r="A633" s="39" t="str">
        <f>IF(AND($L633*1&gt;=$G$3,$L633*1&lt;=$G$4,$I633*$J633&gt;0,OR($I633&lt;&gt;$I634,$L633-$L634&gt;25),IF(ABS($I633)&gt;10,$I633/POW(10,$J633),$J633/POW(10,$I633))*MAXIFS(Token!$C:$C,Token!$A:$A,$K633)&gt;0.01),$L633/86400+DATE(1970,1,1)+$G$6,)</f>
        <v/>
      </c>
      <c r="B633" s="27" t="str">
        <f t="shared" si="1"/>
        <v/>
      </c>
      <c r="C633" s="14" t="str">
        <f>IF($A633&lt;&gt;"",MINIFS(Merchant!$A:$A,Merchant!$B:$B,$G$2),)</f>
        <v/>
      </c>
      <c r="D633" s="14" t="str">
        <f t="shared" si="2"/>
        <v/>
      </c>
      <c r="E633" s="14" t="str">
        <f t="shared" si="3"/>
        <v/>
      </c>
      <c r="F633" s="7" t="str">
        <f>IF($A633&lt;&gt;"",MAXIFS(Token!$C:$C,Token!$A:$A,$D633),)</f>
        <v/>
      </c>
    </row>
    <row r="634">
      <c r="A634" s="39" t="str">
        <f>IF(AND($L634*1&gt;=$G$3,$L634*1&lt;=$G$4,$I634*$J634&gt;0,OR($I634&lt;&gt;$I635,$L634-$L635&gt;25),IF(ABS($I634)&gt;10,$I634/POW(10,$J634),$J634/POW(10,$I634))*MAXIFS(Token!$C:$C,Token!$A:$A,$K634)&gt;0.01),$L634/86400+DATE(1970,1,1)+$G$6,)</f>
        <v/>
      </c>
      <c r="B634" s="27" t="str">
        <f t="shared" si="1"/>
        <v/>
      </c>
      <c r="C634" s="14" t="str">
        <f>IF($A634&lt;&gt;"",MINIFS(Merchant!$A:$A,Merchant!$B:$B,$G$2),)</f>
        <v/>
      </c>
      <c r="D634" s="14" t="str">
        <f t="shared" si="2"/>
        <v/>
      </c>
      <c r="E634" s="14" t="str">
        <f t="shared" si="3"/>
        <v/>
      </c>
      <c r="F634" s="7" t="str">
        <f>IF($A634&lt;&gt;"",MAXIFS(Token!$C:$C,Token!$A:$A,$D634),)</f>
        <v/>
      </c>
    </row>
    <row r="635">
      <c r="A635" s="39" t="str">
        <f>IF(AND($L635*1&gt;=$G$3,$L635*1&lt;=$G$4,$I635*$J635&gt;0,OR($I635&lt;&gt;$I636,$L635-$L636&gt;25),IF(ABS($I635)&gt;10,$I635/POW(10,$J635),$J635/POW(10,$I635))*MAXIFS(Token!$C:$C,Token!$A:$A,$K635)&gt;0.01),$L635/86400+DATE(1970,1,1)+$G$6,)</f>
        <v/>
      </c>
      <c r="B635" s="27" t="str">
        <f t="shared" si="1"/>
        <v/>
      </c>
      <c r="C635" s="14" t="str">
        <f>IF($A635&lt;&gt;"",MINIFS(Merchant!$A:$A,Merchant!$B:$B,$G$2),)</f>
        <v/>
      </c>
      <c r="D635" s="14" t="str">
        <f t="shared" si="2"/>
        <v/>
      </c>
      <c r="E635" s="14" t="str">
        <f t="shared" si="3"/>
        <v/>
      </c>
      <c r="F635" s="7" t="str">
        <f>IF($A635&lt;&gt;"",MAXIFS(Token!$C:$C,Token!$A:$A,$D635),)</f>
        <v/>
      </c>
    </row>
    <row r="636">
      <c r="A636" s="39" t="str">
        <f>IF(AND($L636*1&gt;=$G$3,$L636*1&lt;=$G$4,$I636*$J636&gt;0,OR($I636&lt;&gt;$I637,$L636-$L637&gt;25),IF(ABS($I636)&gt;10,$I636/POW(10,$J636),$J636/POW(10,$I636))*MAXIFS(Token!$C:$C,Token!$A:$A,$K636)&gt;0.01),$L636/86400+DATE(1970,1,1)+$G$6,)</f>
        <v/>
      </c>
      <c r="B636" s="27" t="str">
        <f t="shared" si="1"/>
        <v/>
      </c>
      <c r="C636" s="14" t="str">
        <f>IF($A636&lt;&gt;"",MINIFS(Merchant!$A:$A,Merchant!$B:$B,$G$2),)</f>
        <v/>
      </c>
      <c r="D636" s="14" t="str">
        <f t="shared" si="2"/>
        <v/>
      </c>
      <c r="E636" s="14" t="str">
        <f t="shared" si="3"/>
        <v/>
      </c>
      <c r="F636" s="7" t="str">
        <f>IF($A636&lt;&gt;"",MAXIFS(Token!$C:$C,Token!$A:$A,$D636),)</f>
        <v/>
      </c>
    </row>
    <row r="637">
      <c r="A637" s="39" t="str">
        <f>IF(AND($L637*1&gt;=$G$3,$L637*1&lt;=$G$4,$I637*$J637&gt;0,OR($I637&lt;&gt;$I638,$L637-$L638&gt;25),IF(ABS($I637)&gt;10,$I637/POW(10,$J637),$J637/POW(10,$I637))*MAXIFS(Token!$C:$C,Token!$A:$A,$K637)&gt;0.01),$L637/86400+DATE(1970,1,1)+$G$6,)</f>
        <v/>
      </c>
      <c r="B637" s="27" t="str">
        <f t="shared" si="1"/>
        <v/>
      </c>
      <c r="C637" s="14" t="str">
        <f>IF($A637&lt;&gt;"",MINIFS(Merchant!$A:$A,Merchant!$B:$B,$G$2),)</f>
        <v/>
      </c>
      <c r="D637" s="14" t="str">
        <f t="shared" si="2"/>
        <v/>
      </c>
      <c r="E637" s="14" t="str">
        <f t="shared" si="3"/>
        <v/>
      </c>
      <c r="F637" s="7" t="str">
        <f>IF($A637&lt;&gt;"",MAXIFS(Token!$C:$C,Token!$A:$A,$D637),)</f>
        <v/>
      </c>
    </row>
    <row r="638">
      <c r="A638" s="39" t="str">
        <f>IF(AND($L638*1&gt;=$G$3,$L638*1&lt;=$G$4,$I638*$J638&gt;0,OR($I638&lt;&gt;$I639,$L638-$L639&gt;25),IF(ABS($I638)&gt;10,$I638/POW(10,$J638),$J638/POW(10,$I638))*MAXIFS(Token!$C:$C,Token!$A:$A,$K638)&gt;0.01),$L638/86400+DATE(1970,1,1)+$G$6,)</f>
        <v/>
      </c>
      <c r="B638" s="27" t="str">
        <f t="shared" si="1"/>
        <v/>
      </c>
      <c r="C638" s="14" t="str">
        <f>IF($A638&lt;&gt;"",MINIFS(Merchant!$A:$A,Merchant!$B:$B,$G$2),)</f>
        <v/>
      </c>
      <c r="D638" s="14" t="str">
        <f t="shared" si="2"/>
        <v/>
      </c>
      <c r="E638" s="14" t="str">
        <f t="shared" si="3"/>
        <v/>
      </c>
      <c r="F638" s="7" t="str">
        <f>IF($A638&lt;&gt;"",MAXIFS(Token!$C:$C,Token!$A:$A,$D638),)</f>
        <v/>
      </c>
    </row>
    <row r="639">
      <c r="A639" s="39" t="str">
        <f>IF(AND($L639*1&gt;=$G$3,$L639*1&lt;=$G$4,$I639*$J639&gt;0,OR($I639&lt;&gt;$I640,$L639-$L640&gt;25),IF(ABS($I639)&gt;10,$I639/POW(10,$J639),$J639/POW(10,$I639))*MAXIFS(Token!$C:$C,Token!$A:$A,$K639)&gt;0.01),$L639/86400+DATE(1970,1,1)+$G$6,)</f>
        <v/>
      </c>
      <c r="B639" s="27" t="str">
        <f t="shared" si="1"/>
        <v/>
      </c>
      <c r="C639" s="14" t="str">
        <f>IF($A639&lt;&gt;"",MINIFS(Merchant!$A:$A,Merchant!$B:$B,$G$2),)</f>
        <v/>
      </c>
      <c r="D639" s="14" t="str">
        <f t="shared" si="2"/>
        <v/>
      </c>
      <c r="E639" s="14" t="str">
        <f t="shared" si="3"/>
        <v/>
      </c>
      <c r="F639" s="7" t="str">
        <f>IF($A639&lt;&gt;"",MAXIFS(Token!$C:$C,Token!$A:$A,$D639),)</f>
        <v/>
      </c>
    </row>
    <row r="640">
      <c r="A640" s="39" t="str">
        <f>IF(AND($L640*1&gt;=$G$3,$L640*1&lt;=$G$4,$I640*$J640&gt;0,OR($I640&lt;&gt;$I641,$L640-$L641&gt;25),IF(ABS($I640)&gt;10,$I640/POW(10,$J640),$J640/POW(10,$I640))*MAXIFS(Token!$C:$C,Token!$A:$A,$K640)&gt;0.01),$L640/86400+DATE(1970,1,1)+$G$6,)</f>
        <v/>
      </c>
      <c r="B640" s="27" t="str">
        <f t="shared" si="1"/>
        <v/>
      </c>
      <c r="C640" s="14" t="str">
        <f>IF($A640&lt;&gt;"",MINIFS(Merchant!$A:$A,Merchant!$B:$B,$G$2),)</f>
        <v/>
      </c>
      <c r="D640" s="14" t="str">
        <f t="shared" si="2"/>
        <v/>
      </c>
      <c r="E640" s="14" t="str">
        <f t="shared" si="3"/>
        <v/>
      </c>
      <c r="F640" s="7" t="str">
        <f>IF($A640&lt;&gt;"",MAXIFS(Token!$C:$C,Token!$A:$A,$D640),)</f>
        <v/>
      </c>
    </row>
    <row r="641">
      <c r="A641" s="39" t="str">
        <f>IF(AND($L641*1&gt;=$G$3,$L641*1&lt;=$G$4,$I641*$J641&gt;0,OR($I641&lt;&gt;$I642,$L641-$L642&gt;25),IF(ABS($I641)&gt;10,$I641/POW(10,$J641),$J641/POW(10,$I641))*MAXIFS(Token!$C:$C,Token!$A:$A,$K641)&gt;0.01),$L641/86400+DATE(1970,1,1)+$G$6,)</f>
        <v/>
      </c>
      <c r="B641" s="27" t="str">
        <f t="shared" si="1"/>
        <v/>
      </c>
      <c r="C641" s="14" t="str">
        <f>IF($A641&lt;&gt;"",MINIFS(Merchant!$A:$A,Merchant!$B:$B,$G$2),)</f>
        <v/>
      </c>
      <c r="D641" s="14" t="str">
        <f t="shared" si="2"/>
        <v/>
      </c>
      <c r="E641" s="14" t="str">
        <f t="shared" si="3"/>
        <v/>
      </c>
      <c r="F641" s="7" t="str">
        <f>IF($A641&lt;&gt;"",MAXIFS(Token!$C:$C,Token!$A:$A,$D641),)</f>
        <v/>
      </c>
    </row>
    <row r="642">
      <c r="A642" s="39" t="str">
        <f>IF(AND($L642*1&gt;=$G$3,$L642*1&lt;=$G$4,$I642*$J642&gt;0,OR($I642&lt;&gt;$I643,$L642-$L643&gt;25),IF(ABS($I642)&gt;10,$I642/POW(10,$J642),$J642/POW(10,$I642))*MAXIFS(Token!$C:$C,Token!$A:$A,$K642)&gt;0.01),$L642/86400+DATE(1970,1,1)+$G$6,)</f>
        <v/>
      </c>
      <c r="B642" s="27" t="str">
        <f t="shared" si="1"/>
        <v/>
      </c>
      <c r="C642" s="14" t="str">
        <f>IF($A642&lt;&gt;"",MINIFS(Merchant!$A:$A,Merchant!$B:$B,$G$2),)</f>
        <v/>
      </c>
      <c r="D642" s="14" t="str">
        <f t="shared" si="2"/>
        <v/>
      </c>
      <c r="E642" s="14" t="str">
        <f t="shared" si="3"/>
        <v/>
      </c>
      <c r="F642" s="7" t="str">
        <f>IF($A642&lt;&gt;"",MAXIFS(Token!$C:$C,Token!$A:$A,$D642),)</f>
        <v/>
      </c>
    </row>
    <row r="643">
      <c r="A643" s="39" t="str">
        <f>IF(AND($L643*1&gt;=$G$3,$L643*1&lt;=$G$4,$I643*$J643&gt;0,OR($I643&lt;&gt;$I644,$L643-$L644&gt;25),IF(ABS($I643)&gt;10,$I643/POW(10,$J643),$J643/POW(10,$I643))*MAXIFS(Token!$C:$C,Token!$A:$A,$K643)&gt;0.01),$L643/86400+DATE(1970,1,1)+$G$6,)</f>
        <v/>
      </c>
      <c r="B643" s="27" t="str">
        <f t="shared" si="1"/>
        <v/>
      </c>
      <c r="C643" s="14" t="str">
        <f>IF($A643&lt;&gt;"",MINIFS(Merchant!$A:$A,Merchant!$B:$B,$G$2),)</f>
        <v/>
      </c>
      <c r="D643" s="14" t="str">
        <f t="shared" si="2"/>
        <v/>
      </c>
      <c r="E643" s="14" t="str">
        <f t="shared" si="3"/>
        <v/>
      </c>
      <c r="F643" s="7" t="str">
        <f>IF($A643&lt;&gt;"",MAXIFS(Token!$C:$C,Token!$A:$A,$D643),)</f>
        <v/>
      </c>
    </row>
    <row r="644">
      <c r="A644" s="39" t="str">
        <f>IF(AND($L644*1&gt;=$G$3,$L644*1&lt;=$G$4,$I644*$J644&gt;0,OR($I644&lt;&gt;$I645,$L644-$L645&gt;25),IF(ABS($I644)&gt;10,$I644/POW(10,$J644),$J644/POW(10,$I644))*MAXIFS(Token!$C:$C,Token!$A:$A,$K644)&gt;0.01),$L644/86400+DATE(1970,1,1)+$G$6,)</f>
        <v/>
      </c>
      <c r="B644" s="27" t="str">
        <f t="shared" si="1"/>
        <v/>
      </c>
      <c r="C644" s="14" t="str">
        <f>IF($A644&lt;&gt;"",MINIFS(Merchant!$A:$A,Merchant!$B:$B,$G$2),)</f>
        <v/>
      </c>
      <c r="D644" s="14" t="str">
        <f t="shared" si="2"/>
        <v/>
      </c>
      <c r="E644" s="14" t="str">
        <f t="shared" si="3"/>
        <v/>
      </c>
      <c r="F644" s="7" t="str">
        <f>IF($A644&lt;&gt;"",MAXIFS(Token!$C:$C,Token!$A:$A,$D644),)</f>
        <v/>
      </c>
    </row>
    <row r="645">
      <c r="A645" s="39" t="str">
        <f>IF(AND($L645*1&gt;=$G$3,$L645*1&lt;=$G$4,$I645*$J645&gt;0,OR($I645&lt;&gt;$I646,$L645-$L646&gt;25),IF(ABS($I645)&gt;10,$I645/POW(10,$J645),$J645/POW(10,$I645))*MAXIFS(Token!$C:$C,Token!$A:$A,$K645)&gt;0.01),$L645/86400+DATE(1970,1,1)+$G$6,)</f>
        <v/>
      </c>
      <c r="B645" s="27" t="str">
        <f t="shared" si="1"/>
        <v/>
      </c>
      <c r="C645" s="14" t="str">
        <f>IF($A645&lt;&gt;"",MINIFS(Merchant!$A:$A,Merchant!$B:$B,$G$2),)</f>
        <v/>
      </c>
      <c r="D645" s="14" t="str">
        <f t="shared" si="2"/>
        <v/>
      </c>
      <c r="E645" s="14" t="str">
        <f t="shared" si="3"/>
        <v/>
      </c>
      <c r="F645" s="7" t="str">
        <f>IF($A645&lt;&gt;"",MAXIFS(Token!$C:$C,Token!$A:$A,$D645),)</f>
        <v/>
      </c>
    </row>
    <row r="646">
      <c r="A646" s="39" t="str">
        <f>IF(AND($L646*1&gt;=$G$3,$L646*1&lt;=$G$4,$I646*$J646&gt;0,OR($I646&lt;&gt;$I647,$L646-$L647&gt;25),IF(ABS($I646)&gt;10,$I646/POW(10,$J646),$J646/POW(10,$I646))*MAXIFS(Token!$C:$C,Token!$A:$A,$K646)&gt;0.01),$L646/86400+DATE(1970,1,1)+$G$6,)</f>
        <v/>
      </c>
      <c r="B646" s="27" t="str">
        <f t="shared" si="1"/>
        <v/>
      </c>
      <c r="C646" s="14" t="str">
        <f>IF($A646&lt;&gt;"",MINIFS(Merchant!$A:$A,Merchant!$B:$B,$G$2),)</f>
        <v/>
      </c>
      <c r="D646" s="14" t="str">
        <f t="shared" si="2"/>
        <v/>
      </c>
      <c r="E646" s="14" t="str">
        <f t="shared" si="3"/>
        <v/>
      </c>
      <c r="F646" s="7" t="str">
        <f>IF($A646&lt;&gt;"",MAXIFS(Token!$C:$C,Token!$A:$A,$D646),)</f>
        <v/>
      </c>
    </row>
    <row r="647">
      <c r="A647" s="39" t="str">
        <f>IF(AND($L647*1&gt;=$G$3,$L647*1&lt;=$G$4,$I647*$J647&gt;0,OR($I647&lt;&gt;$I648,$L647-$L648&gt;25),IF(ABS($I647)&gt;10,$I647/POW(10,$J647),$J647/POW(10,$I647))*MAXIFS(Token!$C:$C,Token!$A:$A,$K647)&gt;0.01),$L647/86400+DATE(1970,1,1)+$G$6,)</f>
        <v/>
      </c>
      <c r="B647" s="27" t="str">
        <f t="shared" si="1"/>
        <v/>
      </c>
      <c r="C647" s="14" t="str">
        <f>IF($A647&lt;&gt;"",MINIFS(Merchant!$A:$A,Merchant!$B:$B,$G$2),)</f>
        <v/>
      </c>
      <c r="D647" s="14" t="str">
        <f t="shared" si="2"/>
        <v/>
      </c>
      <c r="E647" s="14" t="str">
        <f t="shared" si="3"/>
        <v/>
      </c>
      <c r="F647" s="7" t="str">
        <f>IF($A647&lt;&gt;"",MAXIFS(Token!$C:$C,Token!$A:$A,$D647),)</f>
        <v/>
      </c>
    </row>
    <row r="648">
      <c r="A648" s="39" t="str">
        <f>IF(AND($L648*1&gt;=$G$3,$L648*1&lt;=$G$4,$I648*$J648&gt;0,OR($I648&lt;&gt;$I649,$L648-$L649&gt;25),IF(ABS($I648)&gt;10,$I648/POW(10,$J648),$J648/POW(10,$I648))*MAXIFS(Token!$C:$C,Token!$A:$A,$K648)&gt;0.01),$L648/86400+DATE(1970,1,1)+$G$6,)</f>
        <v/>
      </c>
      <c r="B648" s="27" t="str">
        <f t="shared" si="1"/>
        <v/>
      </c>
      <c r="C648" s="14" t="str">
        <f>IF($A648&lt;&gt;"",MINIFS(Merchant!$A:$A,Merchant!$B:$B,$G$2),)</f>
        <v/>
      </c>
      <c r="D648" s="14" t="str">
        <f t="shared" si="2"/>
        <v/>
      </c>
      <c r="E648" s="14" t="str">
        <f t="shared" si="3"/>
        <v/>
      </c>
      <c r="F648" s="7" t="str">
        <f>IF($A648&lt;&gt;"",MAXIFS(Token!$C:$C,Token!$A:$A,$D648),)</f>
        <v/>
      </c>
    </row>
    <row r="649">
      <c r="A649" s="39" t="str">
        <f>IF(AND($L649*1&gt;=$G$3,$L649*1&lt;=$G$4,$I649*$J649&gt;0,OR($I649&lt;&gt;$I650,$L649-$L650&gt;25),IF(ABS($I649)&gt;10,$I649/POW(10,$J649),$J649/POW(10,$I649))*MAXIFS(Token!$C:$C,Token!$A:$A,$K649)&gt;0.01),$L649/86400+DATE(1970,1,1)+$G$6,)</f>
        <v/>
      </c>
      <c r="B649" s="27" t="str">
        <f t="shared" si="1"/>
        <v/>
      </c>
      <c r="C649" s="14" t="str">
        <f>IF($A649&lt;&gt;"",MINIFS(Merchant!$A:$A,Merchant!$B:$B,$G$2),)</f>
        <v/>
      </c>
      <c r="D649" s="14" t="str">
        <f t="shared" si="2"/>
        <v/>
      </c>
      <c r="E649" s="14" t="str">
        <f t="shared" si="3"/>
        <v/>
      </c>
      <c r="F649" s="7" t="str">
        <f>IF($A649&lt;&gt;"",MAXIFS(Token!$C:$C,Token!$A:$A,$D649),)</f>
        <v/>
      </c>
    </row>
    <row r="650">
      <c r="A650" s="39" t="str">
        <f>IF(AND($L650*1&gt;=$G$3,$L650*1&lt;=$G$4,$I650*$J650&gt;0,OR($I650&lt;&gt;$I651,$L650-$L651&gt;25),IF(ABS($I650)&gt;10,$I650/POW(10,$J650),$J650/POW(10,$I650))*MAXIFS(Token!$C:$C,Token!$A:$A,$K650)&gt;0.01),$L650/86400+DATE(1970,1,1)+$G$6,)</f>
        <v/>
      </c>
      <c r="B650" s="27" t="str">
        <f t="shared" si="1"/>
        <v/>
      </c>
      <c r="C650" s="14" t="str">
        <f>IF($A650&lt;&gt;"",MINIFS(Merchant!$A:$A,Merchant!$B:$B,$G$2),)</f>
        <v/>
      </c>
      <c r="D650" s="14" t="str">
        <f t="shared" si="2"/>
        <v/>
      </c>
      <c r="E650" s="14" t="str">
        <f t="shared" si="3"/>
        <v/>
      </c>
      <c r="F650" s="7" t="str">
        <f>IF($A650&lt;&gt;"",MAXIFS(Token!$C:$C,Token!$A:$A,$D650),)</f>
        <v/>
      </c>
    </row>
    <row r="651">
      <c r="A651" s="39" t="str">
        <f>IF(AND($L651*1&gt;=$G$3,$L651*1&lt;=$G$4,$I651*$J651&gt;0,OR($I651&lt;&gt;$I652,$L651-$L652&gt;25),IF(ABS($I651)&gt;10,$I651/POW(10,$J651),$J651/POW(10,$I651))*MAXIFS(Token!$C:$C,Token!$A:$A,$K651)&gt;0.01),$L651/86400+DATE(1970,1,1)+$G$6,)</f>
        <v/>
      </c>
      <c r="B651" s="27" t="str">
        <f t="shared" si="1"/>
        <v/>
      </c>
      <c r="C651" s="14" t="str">
        <f>IF($A651&lt;&gt;"",MINIFS(Merchant!$A:$A,Merchant!$B:$B,$G$2),)</f>
        <v/>
      </c>
      <c r="D651" s="14" t="str">
        <f t="shared" si="2"/>
        <v/>
      </c>
      <c r="E651" s="14" t="str">
        <f t="shared" si="3"/>
        <v/>
      </c>
      <c r="F651" s="7" t="str">
        <f>IF($A651&lt;&gt;"",MAXIFS(Token!$C:$C,Token!$A:$A,$D651),)</f>
        <v/>
      </c>
    </row>
    <row r="652">
      <c r="A652" s="39" t="str">
        <f>IF(AND($L652*1&gt;=$G$3,$L652*1&lt;=$G$4,$I652*$J652&gt;0,OR($I652&lt;&gt;$I653,$L652-$L653&gt;25),IF(ABS($I652)&gt;10,$I652/POW(10,$J652),$J652/POW(10,$I652))*MAXIFS(Token!$C:$C,Token!$A:$A,$K652)&gt;0.01),$L652/86400+DATE(1970,1,1)+$G$6,)</f>
        <v/>
      </c>
      <c r="B652" s="27" t="str">
        <f t="shared" si="1"/>
        <v/>
      </c>
      <c r="C652" s="14" t="str">
        <f>IF($A652&lt;&gt;"",MINIFS(Merchant!$A:$A,Merchant!$B:$B,$G$2),)</f>
        <v/>
      </c>
      <c r="D652" s="14" t="str">
        <f t="shared" si="2"/>
        <v/>
      </c>
      <c r="E652" s="14" t="str">
        <f t="shared" si="3"/>
        <v/>
      </c>
      <c r="F652" s="7" t="str">
        <f>IF($A652&lt;&gt;"",MAXIFS(Token!$C:$C,Token!$A:$A,$D652),)</f>
        <v/>
      </c>
    </row>
    <row r="653">
      <c r="A653" s="39" t="str">
        <f>IF(AND($L653*1&gt;=$G$3,$L653*1&lt;=$G$4,$I653*$J653&gt;0,OR($I653&lt;&gt;$I654,$L653-$L654&gt;25),IF(ABS($I653)&gt;10,$I653/POW(10,$J653),$J653/POW(10,$I653))*MAXIFS(Token!$C:$C,Token!$A:$A,$K653)&gt;0.01),$L653/86400+DATE(1970,1,1)+$G$6,)</f>
        <v/>
      </c>
      <c r="B653" s="27" t="str">
        <f t="shared" si="1"/>
        <v/>
      </c>
      <c r="C653" s="14" t="str">
        <f>IF($A653&lt;&gt;"",MINIFS(Merchant!$A:$A,Merchant!$B:$B,$G$2),)</f>
        <v/>
      </c>
      <c r="D653" s="14" t="str">
        <f t="shared" si="2"/>
        <v/>
      </c>
      <c r="E653" s="14" t="str">
        <f t="shared" si="3"/>
        <v/>
      </c>
      <c r="F653" s="7" t="str">
        <f>IF($A653&lt;&gt;"",MAXIFS(Token!$C:$C,Token!$A:$A,$D653),)</f>
        <v/>
      </c>
    </row>
    <row r="654">
      <c r="A654" s="39" t="str">
        <f>IF(AND($L654*1&gt;=$G$3,$L654*1&lt;=$G$4,$I654*$J654&gt;0,OR($I654&lt;&gt;$I655,$L654-$L655&gt;25),IF(ABS($I654)&gt;10,$I654/POW(10,$J654),$J654/POW(10,$I654))*MAXIFS(Token!$C:$C,Token!$A:$A,$K654)&gt;0.01),$L654/86400+DATE(1970,1,1)+$G$6,)</f>
        <v/>
      </c>
      <c r="B654" s="27" t="str">
        <f t="shared" si="1"/>
        <v/>
      </c>
      <c r="C654" s="14" t="str">
        <f>IF($A654&lt;&gt;"",MINIFS(Merchant!$A:$A,Merchant!$B:$B,$G$2),)</f>
        <v/>
      </c>
      <c r="D654" s="14" t="str">
        <f t="shared" si="2"/>
        <v/>
      </c>
      <c r="E654" s="14" t="str">
        <f t="shared" si="3"/>
        <v/>
      </c>
      <c r="F654" s="7" t="str">
        <f>IF($A654&lt;&gt;"",MAXIFS(Token!$C:$C,Token!$A:$A,$D654),)</f>
        <v/>
      </c>
    </row>
    <row r="655">
      <c r="A655" s="39" t="str">
        <f>IF(AND($L655*1&gt;=$G$3,$L655*1&lt;=$G$4,$I655*$J655&gt;0,OR($I655&lt;&gt;$I656,$L655-$L656&gt;25),IF(ABS($I655)&gt;10,$I655/POW(10,$J655),$J655/POW(10,$I655))*MAXIFS(Token!$C:$C,Token!$A:$A,$K655)&gt;0.01),$L655/86400+DATE(1970,1,1)+$G$6,)</f>
        <v/>
      </c>
      <c r="B655" s="27" t="str">
        <f t="shared" si="1"/>
        <v/>
      </c>
      <c r="C655" s="14" t="str">
        <f>IF($A655&lt;&gt;"",MINIFS(Merchant!$A:$A,Merchant!$B:$B,$G$2),)</f>
        <v/>
      </c>
      <c r="D655" s="14" t="str">
        <f t="shared" si="2"/>
        <v/>
      </c>
      <c r="E655" s="14" t="str">
        <f t="shared" si="3"/>
        <v/>
      </c>
      <c r="F655" s="7" t="str">
        <f>IF($A655&lt;&gt;"",MAXIFS(Token!$C:$C,Token!$A:$A,$D655),)</f>
        <v/>
      </c>
    </row>
    <row r="656">
      <c r="A656" s="39" t="str">
        <f>IF(AND($L656*1&gt;=$G$3,$L656*1&lt;=$G$4,$I656*$J656&gt;0,OR($I656&lt;&gt;$I657,$L656-$L657&gt;25),IF(ABS($I656)&gt;10,$I656/POW(10,$J656),$J656/POW(10,$I656))*MAXIFS(Token!$C:$C,Token!$A:$A,$K656)&gt;0.01),$L656/86400+DATE(1970,1,1)+$G$6,)</f>
        <v/>
      </c>
      <c r="B656" s="27" t="str">
        <f t="shared" si="1"/>
        <v/>
      </c>
      <c r="C656" s="14" t="str">
        <f>IF($A656&lt;&gt;"",MINIFS(Merchant!$A:$A,Merchant!$B:$B,$G$2),)</f>
        <v/>
      </c>
      <c r="D656" s="14" t="str">
        <f t="shared" si="2"/>
        <v/>
      </c>
      <c r="E656" s="14" t="str">
        <f t="shared" si="3"/>
        <v/>
      </c>
      <c r="F656" s="7" t="str">
        <f>IF($A656&lt;&gt;"",MAXIFS(Token!$C:$C,Token!$A:$A,$D656),)</f>
        <v/>
      </c>
    </row>
    <row r="657">
      <c r="A657" s="39" t="str">
        <f>IF(AND($L657*1&gt;=$G$3,$L657*1&lt;=$G$4,$I657*$J657&gt;0,OR($I657&lt;&gt;$I658,$L657-$L658&gt;25),IF(ABS($I657)&gt;10,$I657/POW(10,$J657),$J657/POW(10,$I657))*MAXIFS(Token!$C:$C,Token!$A:$A,$K657)&gt;0.01),$L657/86400+DATE(1970,1,1)+$G$6,)</f>
        <v/>
      </c>
      <c r="B657" s="27" t="str">
        <f t="shared" si="1"/>
        <v/>
      </c>
      <c r="C657" s="14" t="str">
        <f>IF($A657&lt;&gt;"",MINIFS(Merchant!$A:$A,Merchant!$B:$B,$G$2),)</f>
        <v/>
      </c>
      <c r="D657" s="14" t="str">
        <f t="shared" si="2"/>
        <v/>
      </c>
      <c r="E657" s="14" t="str">
        <f t="shared" si="3"/>
        <v/>
      </c>
      <c r="F657" s="7" t="str">
        <f>IF($A657&lt;&gt;"",MAXIFS(Token!$C:$C,Token!$A:$A,$D657),)</f>
        <v/>
      </c>
    </row>
    <row r="658">
      <c r="A658" s="39" t="str">
        <f>IF(AND($L658*1&gt;=$G$3,$L658*1&lt;=$G$4,$I658*$J658&gt;0,OR($I658&lt;&gt;$I659,$L658-$L659&gt;25),IF(ABS($I658)&gt;10,$I658/POW(10,$J658),$J658/POW(10,$I658))*MAXIFS(Token!$C:$C,Token!$A:$A,$K658)&gt;0.01),$L658/86400+DATE(1970,1,1)+$G$6,)</f>
        <v/>
      </c>
      <c r="B658" s="27" t="str">
        <f t="shared" si="1"/>
        <v/>
      </c>
      <c r="C658" s="14" t="str">
        <f>IF($A658&lt;&gt;"",MINIFS(Merchant!$A:$A,Merchant!$B:$B,$G$2),)</f>
        <v/>
      </c>
      <c r="D658" s="14" t="str">
        <f t="shared" si="2"/>
        <v/>
      </c>
      <c r="E658" s="14" t="str">
        <f t="shared" si="3"/>
        <v/>
      </c>
      <c r="F658" s="7" t="str">
        <f>IF($A658&lt;&gt;"",MAXIFS(Token!$C:$C,Token!$A:$A,$D658),)</f>
        <v/>
      </c>
    </row>
    <row r="659">
      <c r="A659" s="39" t="str">
        <f>IF(AND($L659*1&gt;=$G$3,$L659*1&lt;=$G$4,$I659*$J659&gt;0,OR($I659&lt;&gt;$I660,$L659-$L660&gt;25),IF(ABS($I659)&gt;10,$I659/POW(10,$J659),$J659/POW(10,$I659))*MAXIFS(Token!$C:$C,Token!$A:$A,$K659)&gt;0.01),$L659/86400+DATE(1970,1,1)+$G$6,)</f>
        <v/>
      </c>
      <c r="B659" s="27" t="str">
        <f t="shared" si="1"/>
        <v/>
      </c>
      <c r="C659" s="14" t="str">
        <f>IF($A659&lt;&gt;"",MINIFS(Merchant!$A:$A,Merchant!$B:$B,$G$2),)</f>
        <v/>
      </c>
      <c r="D659" s="14" t="str">
        <f t="shared" si="2"/>
        <v/>
      </c>
      <c r="E659" s="14" t="str">
        <f t="shared" si="3"/>
        <v/>
      </c>
      <c r="F659" s="7" t="str">
        <f>IF($A659&lt;&gt;"",MAXIFS(Token!$C:$C,Token!$A:$A,$D659),)</f>
        <v/>
      </c>
    </row>
    <row r="660">
      <c r="A660" s="39" t="str">
        <f>IF(AND($L660*1&gt;=$G$3,$L660*1&lt;=$G$4,$I660*$J660&gt;0,OR($I660&lt;&gt;$I661,$L660-$L661&gt;25),IF(ABS($I660)&gt;10,$I660/POW(10,$J660),$J660/POW(10,$I660))*MAXIFS(Token!$C:$C,Token!$A:$A,$K660)&gt;0.01),$L660/86400+DATE(1970,1,1)+$G$6,)</f>
        <v/>
      </c>
      <c r="B660" s="27" t="str">
        <f t="shared" si="1"/>
        <v/>
      </c>
      <c r="C660" s="14" t="str">
        <f>IF($A660&lt;&gt;"",MINIFS(Merchant!$A:$A,Merchant!$B:$B,$G$2),)</f>
        <v/>
      </c>
      <c r="D660" s="14" t="str">
        <f t="shared" si="2"/>
        <v/>
      </c>
      <c r="E660" s="14" t="str">
        <f t="shared" si="3"/>
        <v/>
      </c>
      <c r="F660" s="7" t="str">
        <f>IF($A660&lt;&gt;"",MAXIFS(Token!$C:$C,Token!$A:$A,$D660),)</f>
        <v/>
      </c>
    </row>
    <row r="661">
      <c r="A661" s="39" t="str">
        <f>IF(AND($L661*1&gt;=$G$3,$L661*1&lt;=$G$4,$I661*$J661&gt;0,OR($I661&lt;&gt;$I662,$L661-$L662&gt;25),IF(ABS($I661)&gt;10,$I661/POW(10,$J661),$J661/POW(10,$I661))*MAXIFS(Token!$C:$C,Token!$A:$A,$K661)&gt;0.01),$L661/86400+DATE(1970,1,1)+$G$6,)</f>
        <v/>
      </c>
      <c r="B661" s="27" t="str">
        <f t="shared" si="1"/>
        <v/>
      </c>
      <c r="C661" s="14" t="str">
        <f>IF($A661&lt;&gt;"",MINIFS(Merchant!$A:$A,Merchant!$B:$B,$G$2),)</f>
        <v/>
      </c>
      <c r="D661" s="14" t="str">
        <f t="shared" si="2"/>
        <v/>
      </c>
      <c r="E661" s="14" t="str">
        <f t="shared" si="3"/>
        <v/>
      </c>
      <c r="F661" s="7" t="str">
        <f>IF($A661&lt;&gt;"",MAXIFS(Token!$C:$C,Token!$A:$A,$D661),)</f>
        <v/>
      </c>
    </row>
    <row r="662">
      <c r="A662" s="39" t="str">
        <f>IF(AND($L662*1&gt;=$G$3,$L662*1&lt;=$G$4,$I662*$J662&gt;0,OR($I662&lt;&gt;$I663,$L662-$L663&gt;25),IF(ABS($I662)&gt;10,$I662/POW(10,$J662),$J662/POW(10,$I662))*MAXIFS(Token!$C:$C,Token!$A:$A,$K662)&gt;0.01),$L662/86400+DATE(1970,1,1)+$G$6,)</f>
        <v/>
      </c>
      <c r="B662" s="27" t="str">
        <f t="shared" si="1"/>
        <v/>
      </c>
      <c r="C662" s="14" t="str">
        <f>IF($A662&lt;&gt;"",MINIFS(Merchant!$A:$A,Merchant!$B:$B,$G$2),)</f>
        <v/>
      </c>
      <c r="D662" s="14" t="str">
        <f t="shared" si="2"/>
        <v/>
      </c>
      <c r="E662" s="14" t="str">
        <f t="shared" si="3"/>
        <v/>
      </c>
      <c r="F662" s="7" t="str">
        <f>IF($A662&lt;&gt;"",MAXIFS(Token!$C:$C,Token!$A:$A,$D662),)</f>
        <v/>
      </c>
    </row>
    <row r="663">
      <c r="A663" s="39" t="str">
        <f>IF(AND($L663*1&gt;=$G$3,$L663*1&lt;=$G$4,$I663*$J663&gt;0,OR($I663&lt;&gt;$I664,$L663-$L664&gt;25),IF(ABS($I663)&gt;10,$I663/POW(10,$J663),$J663/POW(10,$I663))*MAXIFS(Token!$C:$C,Token!$A:$A,$K663)&gt;0.01),$L663/86400+DATE(1970,1,1)+$G$6,)</f>
        <v/>
      </c>
      <c r="B663" s="27" t="str">
        <f t="shared" si="1"/>
        <v/>
      </c>
      <c r="C663" s="14" t="str">
        <f>IF($A663&lt;&gt;"",MINIFS(Merchant!$A:$A,Merchant!$B:$B,$G$2),)</f>
        <v/>
      </c>
      <c r="D663" s="14" t="str">
        <f t="shared" si="2"/>
        <v/>
      </c>
      <c r="E663" s="14" t="str">
        <f t="shared" si="3"/>
        <v/>
      </c>
      <c r="F663" s="7" t="str">
        <f>IF($A663&lt;&gt;"",MAXIFS(Token!$C:$C,Token!$A:$A,$D663),)</f>
        <v/>
      </c>
    </row>
    <row r="664">
      <c r="A664" s="39" t="str">
        <f>IF(AND($L664*1&gt;=$G$3,$L664*1&lt;=$G$4,$I664*$J664&gt;0,OR($I664&lt;&gt;$I665,$L664-$L665&gt;25),IF(ABS($I664)&gt;10,$I664/POW(10,$J664),$J664/POW(10,$I664))*MAXIFS(Token!$C:$C,Token!$A:$A,$K664)&gt;0.01),$L664/86400+DATE(1970,1,1)+$G$6,)</f>
        <v/>
      </c>
      <c r="B664" s="27" t="str">
        <f t="shared" si="1"/>
        <v/>
      </c>
      <c r="C664" s="14" t="str">
        <f>IF($A664&lt;&gt;"",MINIFS(Merchant!$A:$A,Merchant!$B:$B,$G$2),)</f>
        <v/>
      </c>
      <c r="D664" s="14" t="str">
        <f t="shared" si="2"/>
        <v/>
      </c>
      <c r="E664" s="14" t="str">
        <f t="shared" si="3"/>
        <v/>
      </c>
      <c r="F664" s="7" t="str">
        <f>IF($A664&lt;&gt;"",MAXIFS(Token!$C:$C,Token!$A:$A,$D664),)</f>
        <v/>
      </c>
    </row>
    <row r="665">
      <c r="A665" s="39" t="str">
        <f>IF(AND($L665*1&gt;=$G$3,$L665*1&lt;=$G$4,$I665*$J665&gt;0,OR($I665&lt;&gt;$I666,$L665-$L666&gt;25),IF(ABS($I665)&gt;10,$I665/POW(10,$J665),$J665/POW(10,$I665))*MAXIFS(Token!$C:$C,Token!$A:$A,$K665)&gt;0.01),$L665/86400+DATE(1970,1,1)+$G$6,)</f>
        <v/>
      </c>
      <c r="B665" s="27" t="str">
        <f t="shared" si="1"/>
        <v/>
      </c>
      <c r="C665" s="14" t="str">
        <f>IF($A665&lt;&gt;"",MINIFS(Merchant!$A:$A,Merchant!$B:$B,$G$2),)</f>
        <v/>
      </c>
      <c r="D665" s="14" t="str">
        <f t="shared" si="2"/>
        <v/>
      </c>
      <c r="E665" s="14" t="str">
        <f t="shared" si="3"/>
        <v/>
      </c>
      <c r="F665" s="7" t="str">
        <f>IF($A665&lt;&gt;"",MAXIFS(Token!$C:$C,Token!$A:$A,$D665),)</f>
        <v/>
      </c>
    </row>
    <row r="666">
      <c r="A666" s="39" t="str">
        <f>IF(AND($L666*1&gt;=$G$3,$L666*1&lt;=$G$4,$I666*$J666&gt;0,OR($I666&lt;&gt;$I667,$L666-$L667&gt;25),IF(ABS($I666)&gt;10,$I666/POW(10,$J666),$J666/POW(10,$I666))*MAXIFS(Token!$C:$C,Token!$A:$A,$K666)&gt;0.01),$L666/86400+DATE(1970,1,1)+$G$6,)</f>
        <v/>
      </c>
      <c r="B666" s="27" t="str">
        <f t="shared" si="1"/>
        <v/>
      </c>
      <c r="C666" s="14" t="str">
        <f>IF($A666&lt;&gt;"",MINIFS(Merchant!$A:$A,Merchant!$B:$B,$G$2),)</f>
        <v/>
      </c>
      <c r="D666" s="14" t="str">
        <f t="shared" si="2"/>
        <v/>
      </c>
      <c r="E666" s="14" t="str">
        <f t="shared" si="3"/>
        <v/>
      </c>
      <c r="F666" s="7" t="str">
        <f>IF($A666&lt;&gt;"",MAXIFS(Token!$C:$C,Token!$A:$A,$D666),)</f>
        <v/>
      </c>
    </row>
    <row r="667">
      <c r="A667" s="39" t="str">
        <f>IF(AND($L667*1&gt;=$G$3,$L667*1&lt;=$G$4,$I667*$J667&gt;0,OR($I667&lt;&gt;$I668,$L667-$L668&gt;25),IF(ABS($I667)&gt;10,$I667/POW(10,$J667),$J667/POW(10,$I667))*MAXIFS(Token!$C:$C,Token!$A:$A,$K667)&gt;0.01),$L667/86400+DATE(1970,1,1)+$G$6,)</f>
        <v/>
      </c>
      <c r="B667" s="27" t="str">
        <f t="shared" si="1"/>
        <v/>
      </c>
      <c r="C667" s="14" t="str">
        <f>IF($A667&lt;&gt;"",MINIFS(Merchant!$A:$A,Merchant!$B:$B,$G$2),)</f>
        <v/>
      </c>
      <c r="D667" s="14" t="str">
        <f t="shared" si="2"/>
        <v/>
      </c>
      <c r="E667" s="14" t="str">
        <f t="shared" si="3"/>
        <v/>
      </c>
      <c r="F667" s="7" t="str">
        <f>IF($A667&lt;&gt;"",MAXIFS(Token!$C:$C,Token!$A:$A,$D667),)</f>
        <v/>
      </c>
    </row>
    <row r="668">
      <c r="A668" s="39" t="str">
        <f>IF(AND($L668*1&gt;=$G$3,$L668*1&lt;=$G$4,$I668*$J668&gt;0,OR($I668&lt;&gt;$I669,$L668-$L669&gt;25),IF(ABS($I668)&gt;10,$I668/POW(10,$J668),$J668/POW(10,$I668))*MAXIFS(Token!$C:$C,Token!$A:$A,$K668)&gt;0.01),$L668/86400+DATE(1970,1,1)+$G$6,)</f>
        <v/>
      </c>
      <c r="B668" s="27" t="str">
        <f t="shared" si="1"/>
        <v/>
      </c>
      <c r="C668" s="14" t="str">
        <f>IF($A668&lt;&gt;"",MINIFS(Merchant!$A:$A,Merchant!$B:$B,$G$2),)</f>
        <v/>
      </c>
      <c r="D668" s="14" t="str">
        <f t="shared" si="2"/>
        <v/>
      </c>
      <c r="E668" s="14" t="str">
        <f t="shared" si="3"/>
        <v/>
      </c>
      <c r="F668" s="7" t="str">
        <f>IF($A668&lt;&gt;"",MAXIFS(Token!$C:$C,Token!$A:$A,$D668),)</f>
        <v/>
      </c>
    </row>
    <row r="669">
      <c r="A669" s="39" t="str">
        <f>IF(AND($L669*1&gt;=$G$3,$L669*1&lt;=$G$4,$I669*$J669&gt;0,OR($I669&lt;&gt;$I670,$L669-$L670&gt;25),IF(ABS($I669)&gt;10,$I669/POW(10,$J669),$J669/POW(10,$I669))*MAXIFS(Token!$C:$C,Token!$A:$A,$K669)&gt;0.01),$L669/86400+DATE(1970,1,1)+$G$6,)</f>
        <v/>
      </c>
      <c r="B669" s="27" t="str">
        <f t="shared" si="1"/>
        <v/>
      </c>
      <c r="C669" s="14" t="str">
        <f>IF($A669&lt;&gt;"",MINIFS(Merchant!$A:$A,Merchant!$B:$B,$G$2),)</f>
        <v/>
      </c>
      <c r="D669" s="14" t="str">
        <f t="shared" si="2"/>
        <v/>
      </c>
      <c r="E669" s="14" t="str">
        <f t="shared" si="3"/>
        <v/>
      </c>
      <c r="F669" s="7" t="str">
        <f>IF($A669&lt;&gt;"",MAXIFS(Token!$C:$C,Token!$A:$A,$D669),)</f>
        <v/>
      </c>
    </row>
    <row r="670">
      <c r="A670" s="39" t="str">
        <f>IF(AND($L670*1&gt;=$G$3,$L670*1&lt;=$G$4,$I670*$J670&gt;0,OR($I670&lt;&gt;$I671,$L670-$L671&gt;25),IF(ABS($I670)&gt;10,$I670/POW(10,$J670),$J670/POW(10,$I670))*MAXIFS(Token!$C:$C,Token!$A:$A,$K670)&gt;0.01),$L670/86400+DATE(1970,1,1)+$G$6,)</f>
        <v/>
      </c>
      <c r="B670" s="27" t="str">
        <f t="shared" si="1"/>
        <v/>
      </c>
      <c r="C670" s="14" t="str">
        <f>IF($A670&lt;&gt;"",MINIFS(Merchant!$A:$A,Merchant!$B:$B,$G$2),)</f>
        <v/>
      </c>
      <c r="D670" s="14" t="str">
        <f t="shared" si="2"/>
        <v/>
      </c>
      <c r="E670" s="14" t="str">
        <f t="shared" si="3"/>
        <v/>
      </c>
      <c r="F670" s="7" t="str">
        <f>IF($A670&lt;&gt;"",MAXIFS(Token!$C:$C,Token!$A:$A,$D670),)</f>
        <v/>
      </c>
    </row>
    <row r="671">
      <c r="A671" s="39" t="str">
        <f>IF(AND($L671*1&gt;=$G$3,$L671*1&lt;=$G$4,$I671*$J671&gt;0,OR($I671&lt;&gt;$I672,$L671-$L672&gt;25),IF(ABS($I671)&gt;10,$I671/POW(10,$J671),$J671/POW(10,$I671))*MAXIFS(Token!$C:$C,Token!$A:$A,$K671)&gt;0.01),$L671/86400+DATE(1970,1,1)+$G$6,)</f>
        <v/>
      </c>
      <c r="B671" s="27" t="str">
        <f t="shared" si="1"/>
        <v/>
      </c>
      <c r="C671" s="14" t="str">
        <f>IF($A671&lt;&gt;"",MINIFS(Merchant!$A:$A,Merchant!$B:$B,$G$2),)</f>
        <v/>
      </c>
      <c r="D671" s="14" t="str">
        <f t="shared" si="2"/>
        <v/>
      </c>
      <c r="E671" s="14" t="str">
        <f t="shared" si="3"/>
        <v/>
      </c>
      <c r="F671" s="7" t="str">
        <f>IF($A671&lt;&gt;"",MAXIFS(Token!$C:$C,Token!$A:$A,$D671),)</f>
        <v/>
      </c>
    </row>
    <row r="672">
      <c r="A672" s="39" t="str">
        <f>IF(AND($L672*1&gt;=$G$3,$L672*1&lt;=$G$4,$I672*$J672&gt;0,OR($I672&lt;&gt;$I673,$L672-$L673&gt;25),IF(ABS($I672)&gt;10,$I672/POW(10,$J672),$J672/POW(10,$I672))*MAXIFS(Token!$C:$C,Token!$A:$A,$K672)&gt;0.01),$L672/86400+DATE(1970,1,1)+$G$6,)</f>
        <v/>
      </c>
      <c r="B672" s="27" t="str">
        <f t="shared" si="1"/>
        <v/>
      </c>
      <c r="C672" s="14" t="str">
        <f>IF($A672&lt;&gt;"",MINIFS(Merchant!$A:$A,Merchant!$B:$B,$G$2),)</f>
        <v/>
      </c>
      <c r="D672" s="14" t="str">
        <f t="shared" si="2"/>
        <v/>
      </c>
      <c r="E672" s="14" t="str">
        <f t="shared" si="3"/>
        <v/>
      </c>
      <c r="F672" s="7" t="str">
        <f>IF($A672&lt;&gt;"",MAXIFS(Token!$C:$C,Token!$A:$A,$D672),)</f>
        <v/>
      </c>
    </row>
    <row r="673">
      <c r="A673" s="39" t="str">
        <f>IF(AND($L673*1&gt;=$G$3,$L673*1&lt;=$G$4,$I673*$J673&gt;0,OR($I673&lt;&gt;$I674,$L673-$L674&gt;25),IF(ABS($I673)&gt;10,$I673/POW(10,$J673),$J673/POW(10,$I673))*MAXIFS(Token!$C:$C,Token!$A:$A,$K673)&gt;0.01),$L673/86400+DATE(1970,1,1)+$G$6,)</f>
        <v/>
      </c>
      <c r="B673" s="27" t="str">
        <f t="shared" si="1"/>
        <v/>
      </c>
      <c r="C673" s="14" t="str">
        <f>IF($A673&lt;&gt;"",MINIFS(Merchant!$A:$A,Merchant!$B:$B,$G$2),)</f>
        <v/>
      </c>
      <c r="D673" s="14" t="str">
        <f t="shared" si="2"/>
        <v/>
      </c>
      <c r="E673" s="14" t="str">
        <f t="shared" si="3"/>
        <v/>
      </c>
      <c r="F673" s="7" t="str">
        <f>IF($A673&lt;&gt;"",MAXIFS(Token!$C:$C,Token!$A:$A,$D673),)</f>
        <v/>
      </c>
    </row>
    <row r="674">
      <c r="A674" s="39" t="str">
        <f>IF(AND($L674*1&gt;=$G$3,$L674*1&lt;=$G$4,$I674*$J674&gt;0,OR($I674&lt;&gt;$I675,$L674-$L675&gt;25),IF(ABS($I674)&gt;10,$I674/POW(10,$J674),$J674/POW(10,$I674))*MAXIFS(Token!$C:$C,Token!$A:$A,$K674)&gt;0.01),$L674/86400+DATE(1970,1,1)+$G$6,)</f>
        <v/>
      </c>
      <c r="B674" s="27" t="str">
        <f t="shared" si="1"/>
        <v/>
      </c>
      <c r="C674" s="14" t="str">
        <f>IF($A674&lt;&gt;"",MINIFS(Merchant!$A:$A,Merchant!$B:$B,$G$2),)</f>
        <v/>
      </c>
      <c r="D674" s="14" t="str">
        <f t="shared" si="2"/>
        <v/>
      </c>
      <c r="E674" s="14" t="str">
        <f t="shared" si="3"/>
        <v/>
      </c>
      <c r="F674" s="7" t="str">
        <f>IF($A674&lt;&gt;"",MAXIFS(Token!$C:$C,Token!$A:$A,$D674),)</f>
        <v/>
      </c>
    </row>
    <row r="675">
      <c r="A675" s="39" t="str">
        <f>IF(AND($L675*1&gt;=$G$3,$L675*1&lt;=$G$4,$I675*$J675&gt;0,OR($I675&lt;&gt;$I676,$L675-$L676&gt;25),IF(ABS($I675)&gt;10,$I675/POW(10,$J675),$J675/POW(10,$I675))*MAXIFS(Token!$C:$C,Token!$A:$A,$K675)&gt;0.01),$L675/86400+DATE(1970,1,1)+$G$6,)</f>
        <v/>
      </c>
      <c r="B675" s="27" t="str">
        <f t="shared" si="1"/>
        <v/>
      </c>
      <c r="C675" s="14" t="str">
        <f>IF($A675&lt;&gt;"",MINIFS(Merchant!$A:$A,Merchant!$B:$B,$G$2),)</f>
        <v/>
      </c>
      <c r="D675" s="14" t="str">
        <f t="shared" si="2"/>
        <v/>
      </c>
      <c r="E675" s="14" t="str">
        <f t="shared" si="3"/>
        <v/>
      </c>
      <c r="F675" s="7" t="str">
        <f>IF($A675&lt;&gt;"",MAXIFS(Token!$C:$C,Token!$A:$A,$D675),)</f>
        <v/>
      </c>
    </row>
    <row r="676">
      <c r="A676" s="39" t="str">
        <f>IF(AND($L676*1&gt;=$G$3,$L676*1&lt;=$G$4,$I676*$J676&gt;0,OR($I676&lt;&gt;$I677,$L676-$L677&gt;25),IF(ABS($I676)&gt;10,$I676/POW(10,$J676),$J676/POW(10,$I676))*MAXIFS(Token!$C:$C,Token!$A:$A,$K676)&gt;0.01),$L676/86400+DATE(1970,1,1)+$G$6,)</f>
        <v/>
      </c>
      <c r="B676" s="27" t="str">
        <f t="shared" si="1"/>
        <v/>
      </c>
      <c r="C676" s="14" t="str">
        <f>IF($A676&lt;&gt;"",MINIFS(Merchant!$A:$A,Merchant!$B:$B,$G$2),)</f>
        <v/>
      </c>
      <c r="D676" s="14" t="str">
        <f t="shared" si="2"/>
        <v/>
      </c>
      <c r="E676" s="14" t="str">
        <f t="shared" si="3"/>
        <v/>
      </c>
      <c r="F676" s="7" t="str">
        <f>IF($A676&lt;&gt;"",MAXIFS(Token!$C:$C,Token!$A:$A,$D676),)</f>
        <v/>
      </c>
    </row>
    <row r="677">
      <c r="A677" s="39" t="str">
        <f>IF(AND($L677*1&gt;=$G$3,$L677*1&lt;=$G$4,$I677*$J677&gt;0,OR($I677&lt;&gt;$I678,$L677-$L678&gt;25),IF(ABS($I677)&gt;10,$I677/POW(10,$J677),$J677/POW(10,$I677))*MAXIFS(Token!$C:$C,Token!$A:$A,$K677)&gt;0.01),$L677/86400+DATE(1970,1,1)+$G$6,)</f>
        <v/>
      </c>
      <c r="B677" s="27" t="str">
        <f t="shared" si="1"/>
        <v/>
      </c>
      <c r="C677" s="14" t="str">
        <f>IF($A677&lt;&gt;"",MINIFS(Merchant!$A:$A,Merchant!$B:$B,$G$2),)</f>
        <v/>
      </c>
      <c r="D677" s="14" t="str">
        <f t="shared" si="2"/>
        <v/>
      </c>
      <c r="E677" s="14" t="str">
        <f t="shared" si="3"/>
        <v/>
      </c>
      <c r="F677" s="7" t="str">
        <f>IF($A677&lt;&gt;"",MAXIFS(Token!$C:$C,Token!$A:$A,$D677),)</f>
        <v/>
      </c>
    </row>
    <row r="678">
      <c r="A678" s="39" t="str">
        <f>IF(AND($L678*1&gt;=$G$3,$L678*1&lt;=$G$4,$I678*$J678&gt;0,OR($I678&lt;&gt;$I679,$L678-$L679&gt;25),IF(ABS($I678)&gt;10,$I678/POW(10,$J678),$J678/POW(10,$I678))*MAXIFS(Token!$C:$C,Token!$A:$A,$K678)&gt;0.01),$L678/86400+DATE(1970,1,1)+$G$6,)</f>
        <v/>
      </c>
      <c r="B678" s="27" t="str">
        <f t="shared" si="1"/>
        <v/>
      </c>
      <c r="C678" s="14" t="str">
        <f>IF($A678&lt;&gt;"",MINIFS(Merchant!$A:$A,Merchant!$B:$B,$G$2),)</f>
        <v/>
      </c>
      <c r="D678" s="14" t="str">
        <f t="shared" si="2"/>
        <v/>
      </c>
      <c r="E678" s="14" t="str">
        <f t="shared" si="3"/>
        <v/>
      </c>
      <c r="F678" s="7" t="str">
        <f>IF($A678&lt;&gt;"",MAXIFS(Token!$C:$C,Token!$A:$A,$D678),)</f>
        <v/>
      </c>
    </row>
    <row r="679">
      <c r="A679" s="39" t="str">
        <f>IF(AND($L679*1&gt;=$G$3,$L679*1&lt;=$G$4,$I679*$J679&gt;0,OR($I679&lt;&gt;$I680,$L679-$L680&gt;25),IF(ABS($I679)&gt;10,$I679/POW(10,$J679),$J679/POW(10,$I679))*MAXIFS(Token!$C:$C,Token!$A:$A,$K679)&gt;0.01),$L679/86400+DATE(1970,1,1)+$G$6,)</f>
        <v/>
      </c>
      <c r="B679" s="27" t="str">
        <f t="shared" si="1"/>
        <v/>
      </c>
      <c r="C679" s="14" t="str">
        <f>IF($A679&lt;&gt;"",MINIFS(Merchant!$A:$A,Merchant!$B:$B,$G$2),)</f>
        <v/>
      </c>
      <c r="D679" s="14" t="str">
        <f t="shared" si="2"/>
        <v/>
      </c>
      <c r="E679" s="14" t="str">
        <f t="shared" si="3"/>
        <v/>
      </c>
      <c r="F679" s="7" t="str">
        <f>IF($A679&lt;&gt;"",MAXIFS(Token!$C:$C,Token!$A:$A,$D679),)</f>
        <v/>
      </c>
    </row>
    <row r="680">
      <c r="A680" s="39" t="str">
        <f>IF(AND($L680*1&gt;=$G$3,$L680*1&lt;=$G$4,$I680*$J680&gt;0,OR($I680&lt;&gt;$I681,$L680-$L681&gt;25),IF(ABS($I680)&gt;10,$I680/POW(10,$J680),$J680/POW(10,$I680))*MAXIFS(Token!$C:$C,Token!$A:$A,$K680)&gt;0.01),$L680/86400+DATE(1970,1,1)+$G$6,)</f>
        <v/>
      </c>
      <c r="B680" s="27" t="str">
        <f t="shared" si="1"/>
        <v/>
      </c>
      <c r="C680" s="14" t="str">
        <f>IF($A680&lt;&gt;"",MINIFS(Merchant!$A:$A,Merchant!$B:$B,$G$2),)</f>
        <v/>
      </c>
      <c r="D680" s="14" t="str">
        <f t="shared" si="2"/>
        <v/>
      </c>
      <c r="E680" s="14" t="str">
        <f t="shared" si="3"/>
        <v/>
      </c>
      <c r="F680" s="7" t="str">
        <f>IF($A680&lt;&gt;"",MAXIFS(Token!$C:$C,Token!$A:$A,$D680),)</f>
        <v/>
      </c>
    </row>
    <row r="681">
      <c r="A681" s="39" t="str">
        <f>IF(AND($L681*1&gt;=$G$3,$L681*1&lt;=$G$4,$I681*$J681&gt;0,OR($I681&lt;&gt;$I682,$L681-$L682&gt;25),IF(ABS($I681)&gt;10,$I681/POW(10,$J681),$J681/POW(10,$I681))*MAXIFS(Token!$C:$C,Token!$A:$A,$K681)&gt;0.01),$L681/86400+DATE(1970,1,1)+$G$6,)</f>
        <v/>
      </c>
      <c r="B681" s="27" t="str">
        <f t="shared" si="1"/>
        <v/>
      </c>
      <c r="C681" s="14" t="str">
        <f>IF($A681&lt;&gt;"",MINIFS(Merchant!$A:$A,Merchant!$B:$B,$G$2),)</f>
        <v/>
      </c>
      <c r="D681" s="14" t="str">
        <f t="shared" si="2"/>
        <v/>
      </c>
      <c r="E681" s="14" t="str">
        <f t="shared" si="3"/>
        <v/>
      </c>
      <c r="F681" s="7" t="str">
        <f>IF($A681&lt;&gt;"",MAXIFS(Token!$C:$C,Token!$A:$A,$D681),)</f>
        <v/>
      </c>
    </row>
    <row r="682">
      <c r="A682" s="39" t="str">
        <f>IF(AND($L682*1&gt;=$G$3,$L682*1&lt;=$G$4,$I682*$J682&gt;0,OR($I682&lt;&gt;$I683,$L682-$L683&gt;25),IF(ABS($I682)&gt;10,$I682/POW(10,$J682),$J682/POW(10,$I682))*MAXIFS(Token!$C:$C,Token!$A:$A,$K682)&gt;0.01),$L682/86400+DATE(1970,1,1)+$G$6,)</f>
        <v/>
      </c>
      <c r="B682" s="27" t="str">
        <f t="shared" si="1"/>
        <v/>
      </c>
      <c r="C682" s="14" t="str">
        <f>IF($A682&lt;&gt;"",MINIFS(Merchant!$A:$A,Merchant!$B:$B,$G$2),)</f>
        <v/>
      </c>
      <c r="D682" s="14" t="str">
        <f t="shared" si="2"/>
        <v/>
      </c>
      <c r="E682" s="14" t="str">
        <f t="shared" si="3"/>
        <v/>
      </c>
      <c r="F682" s="7" t="str">
        <f>IF($A682&lt;&gt;"",MAXIFS(Token!$C:$C,Token!$A:$A,$D682),)</f>
        <v/>
      </c>
    </row>
    <row r="683">
      <c r="A683" s="39" t="str">
        <f>IF(AND($L683*1&gt;=$G$3,$L683*1&lt;=$G$4,$I683*$J683&gt;0,OR($I683&lt;&gt;$I684,$L683-$L684&gt;25),IF(ABS($I683)&gt;10,$I683/POW(10,$J683),$J683/POW(10,$I683))*MAXIFS(Token!$C:$C,Token!$A:$A,$K683)&gt;0.01),$L683/86400+DATE(1970,1,1)+$G$6,)</f>
        <v/>
      </c>
      <c r="B683" s="27" t="str">
        <f t="shared" si="1"/>
        <v/>
      </c>
      <c r="C683" s="14" t="str">
        <f>IF($A683&lt;&gt;"",MINIFS(Merchant!$A:$A,Merchant!$B:$B,$G$2),)</f>
        <v/>
      </c>
      <c r="D683" s="14" t="str">
        <f t="shared" si="2"/>
        <v/>
      </c>
      <c r="E683" s="14" t="str">
        <f t="shared" si="3"/>
        <v/>
      </c>
      <c r="F683" s="7" t="str">
        <f>IF($A683&lt;&gt;"",MAXIFS(Token!$C:$C,Token!$A:$A,$D683),)</f>
        <v/>
      </c>
    </row>
    <row r="684">
      <c r="A684" s="39" t="str">
        <f>IF(AND($L684*1&gt;=$G$3,$L684*1&lt;=$G$4,$I684*$J684&gt;0,OR($I684&lt;&gt;$I685,$L684-$L685&gt;25),IF(ABS($I684)&gt;10,$I684/POW(10,$J684),$J684/POW(10,$I684))*MAXIFS(Token!$C:$C,Token!$A:$A,$K684)&gt;0.01),$L684/86400+DATE(1970,1,1)+$G$6,)</f>
        <v/>
      </c>
      <c r="B684" s="27" t="str">
        <f t="shared" si="1"/>
        <v/>
      </c>
      <c r="C684" s="14" t="str">
        <f>IF($A684&lt;&gt;"",MINIFS(Merchant!$A:$A,Merchant!$B:$B,$G$2),)</f>
        <v/>
      </c>
      <c r="D684" s="14" t="str">
        <f t="shared" si="2"/>
        <v/>
      </c>
      <c r="E684" s="14" t="str">
        <f t="shared" si="3"/>
        <v/>
      </c>
      <c r="F684" s="7" t="str">
        <f>IF($A684&lt;&gt;"",MAXIFS(Token!$C:$C,Token!$A:$A,$D684),)</f>
        <v/>
      </c>
    </row>
    <row r="685">
      <c r="A685" s="39" t="str">
        <f>IF(AND($L685*1&gt;=$G$3,$L685*1&lt;=$G$4,$I685*$J685&gt;0,OR($I685&lt;&gt;$I686,$L685-$L686&gt;25),IF(ABS($I685)&gt;10,$I685/POW(10,$J685),$J685/POW(10,$I685))*MAXIFS(Token!$C:$C,Token!$A:$A,$K685)&gt;0.01),$L685/86400+DATE(1970,1,1)+$G$6,)</f>
        <v/>
      </c>
      <c r="B685" s="27" t="str">
        <f t="shared" si="1"/>
        <v/>
      </c>
      <c r="C685" s="14" t="str">
        <f>IF($A685&lt;&gt;"",MINIFS(Merchant!$A:$A,Merchant!$B:$B,$G$2),)</f>
        <v/>
      </c>
      <c r="D685" s="14" t="str">
        <f t="shared" si="2"/>
        <v/>
      </c>
      <c r="E685" s="14" t="str">
        <f t="shared" si="3"/>
        <v/>
      </c>
      <c r="F685" s="7" t="str">
        <f>IF($A685&lt;&gt;"",MAXIFS(Token!$C:$C,Token!$A:$A,$D685),)</f>
        <v/>
      </c>
    </row>
    <row r="686">
      <c r="A686" s="39" t="str">
        <f>IF(AND($L686*1&gt;=$G$3,$L686*1&lt;=$G$4,$I686*$J686&gt;0,OR($I686&lt;&gt;$I687,$L686-$L687&gt;25),IF(ABS($I686)&gt;10,$I686/POW(10,$J686),$J686/POW(10,$I686))*MAXIFS(Token!$C:$C,Token!$A:$A,$K686)&gt;0.01),$L686/86400+DATE(1970,1,1)+$G$6,)</f>
        <v/>
      </c>
      <c r="B686" s="27" t="str">
        <f t="shared" si="1"/>
        <v/>
      </c>
      <c r="C686" s="14" t="str">
        <f>IF($A686&lt;&gt;"",MINIFS(Merchant!$A:$A,Merchant!$B:$B,$G$2),)</f>
        <v/>
      </c>
      <c r="D686" s="14" t="str">
        <f t="shared" si="2"/>
        <v/>
      </c>
      <c r="E686" s="14" t="str">
        <f t="shared" si="3"/>
        <v/>
      </c>
      <c r="F686" s="7" t="str">
        <f>IF($A686&lt;&gt;"",MAXIFS(Token!$C:$C,Token!$A:$A,$D686),)</f>
        <v/>
      </c>
    </row>
    <row r="687">
      <c r="A687" s="39" t="str">
        <f>IF(AND($L687*1&gt;=$G$3,$L687*1&lt;=$G$4,$I687*$J687&gt;0,OR($I687&lt;&gt;$I688,$L687-$L688&gt;25),IF(ABS($I687)&gt;10,$I687/POW(10,$J687),$J687/POW(10,$I687))*MAXIFS(Token!$C:$C,Token!$A:$A,$K687)&gt;0.01),$L687/86400+DATE(1970,1,1)+$G$6,)</f>
        <v/>
      </c>
      <c r="B687" s="27" t="str">
        <f t="shared" si="1"/>
        <v/>
      </c>
      <c r="C687" s="14" t="str">
        <f>IF($A687&lt;&gt;"",MINIFS(Merchant!$A:$A,Merchant!$B:$B,$G$2),)</f>
        <v/>
      </c>
      <c r="D687" s="14" t="str">
        <f t="shared" si="2"/>
        <v/>
      </c>
      <c r="E687" s="14" t="str">
        <f t="shared" si="3"/>
        <v/>
      </c>
      <c r="F687" s="7" t="str">
        <f>IF($A687&lt;&gt;"",MAXIFS(Token!$C:$C,Token!$A:$A,$D687),)</f>
        <v/>
      </c>
    </row>
    <row r="688">
      <c r="A688" s="39" t="str">
        <f>IF(AND($L688*1&gt;=$G$3,$L688*1&lt;=$G$4,$I688*$J688&gt;0,OR($I688&lt;&gt;$I689,$L688-$L689&gt;25),IF(ABS($I688)&gt;10,$I688/POW(10,$J688),$J688/POW(10,$I688))*MAXIFS(Token!$C:$C,Token!$A:$A,$K688)&gt;0.01),$L688/86400+DATE(1970,1,1)+$G$6,)</f>
        <v/>
      </c>
      <c r="B688" s="27" t="str">
        <f t="shared" si="1"/>
        <v/>
      </c>
      <c r="C688" s="14" t="str">
        <f>IF($A688&lt;&gt;"",MINIFS(Merchant!$A:$A,Merchant!$B:$B,$G$2),)</f>
        <v/>
      </c>
      <c r="D688" s="14" t="str">
        <f t="shared" si="2"/>
        <v/>
      </c>
      <c r="E688" s="14" t="str">
        <f t="shared" si="3"/>
        <v/>
      </c>
      <c r="F688" s="7" t="str">
        <f>IF($A688&lt;&gt;"",MAXIFS(Token!$C:$C,Token!$A:$A,$D688),)</f>
        <v/>
      </c>
    </row>
    <row r="689">
      <c r="A689" s="39" t="str">
        <f>IF(AND($L689*1&gt;=$G$3,$L689*1&lt;=$G$4,$I689*$J689&gt;0,OR($I689&lt;&gt;$I690,$L689-$L690&gt;25),IF(ABS($I689)&gt;10,$I689/POW(10,$J689),$J689/POW(10,$I689))*MAXIFS(Token!$C:$C,Token!$A:$A,$K689)&gt;0.01),$L689/86400+DATE(1970,1,1)+$G$6,)</f>
        <v/>
      </c>
      <c r="B689" s="27" t="str">
        <f t="shared" si="1"/>
        <v/>
      </c>
      <c r="C689" s="14" t="str">
        <f>IF($A689&lt;&gt;"",MINIFS(Merchant!$A:$A,Merchant!$B:$B,$G$2),)</f>
        <v/>
      </c>
      <c r="D689" s="14" t="str">
        <f t="shared" si="2"/>
        <v/>
      </c>
      <c r="E689" s="14" t="str">
        <f t="shared" si="3"/>
        <v/>
      </c>
      <c r="F689" s="7" t="str">
        <f>IF($A689&lt;&gt;"",MAXIFS(Token!$C:$C,Token!$A:$A,$D689),)</f>
        <v/>
      </c>
    </row>
    <row r="690">
      <c r="A690" s="39" t="str">
        <f>IF(AND($L690*1&gt;=$G$3,$L690*1&lt;=$G$4,$I690*$J690&gt;0,OR($I690&lt;&gt;$I691,$L690-$L691&gt;25),IF(ABS($I690)&gt;10,$I690/POW(10,$J690),$J690/POW(10,$I690))*MAXIFS(Token!$C:$C,Token!$A:$A,$K690)&gt;0.01),$L690/86400+DATE(1970,1,1)+$G$6,)</f>
        <v/>
      </c>
      <c r="B690" s="27" t="str">
        <f t="shared" si="1"/>
        <v/>
      </c>
      <c r="C690" s="14" t="str">
        <f>IF($A690&lt;&gt;"",MINIFS(Merchant!$A:$A,Merchant!$B:$B,$G$2),)</f>
        <v/>
      </c>
      <c r="D690" s="14" t="str">
        <f t="shared" si="2"/>
        <v/>
      </c>
      <c r="E690" s="14" t="str">
        <f t="shared" si="3"/>
        <v/>
      </c>
      <c r="F690" s="7" t="str">
        <f>IF($A690&lt;&gt;"",MAXIFS(Token!$C:$C,Token!$A:$A,$D690),)</f>
        <v/>
      </c>
    </row>
    <row r="691">
      <c r="A691" s="39" t="str">
        <f>IF(AND($L691*1&gt;=$G$3,$L691*1&lt;=$G$4,$I691*$J691&gt;0,OR($I691&lt;&gt;$I692,$L691-$L692&gt;25),IF(ABS($I691)&gt;10,$I691/POW(10,$J691),$J691/POW(10,$I691))*MAXIFS(Token!$C:$C,Token!$A:$A,$K691)&gt;0.01),$L691/86400+DATE(1970,1,1)+$G$6,)</f>
        <v/>
      </c>
      <c r="B691" s="27" t="str">
        <f t="shared" si="1"/>
        <v/>
      </c>
      <c r="C691" s="14" t="str">
        <f>IF($A691&lt;&gt;"",MINIFS(Merchant!$A:$A,Merchant!$B:$B,$G$2),)</f>
        <v/>
      </c>
      <c r="D691" s="14" t="str">
        <f t="shared" si="2"/>
        <v/>
      </c>
      <c r="E691" s="14" t="str">
        <f t="shared" si="3"/>
        <v/>
      </c>
      <c r="F691" s="7" t="str">
        <f>IF($A691&lt;&gt;"",MAXIFS(Token!$C:$C,Token!$A:$A,$D691),)</f>
        <v/>
      </c>
    </row>
    <row r="692">
      <c r="A692" s="39" t="str">
        <f>IF(AND($L692*1&gt;=$G$3,$L692*1&lt;=$G$4,$I692*$J692&gt;0,OR($I692&lt;&gt;$I693,$L692-$L693&gt;25),IF(ABS($I692)&gt;10,$I692/POW(10,$J692),$J692/POW(10,$I692))*MAXIFS(Token!$C:$C,Token!$A:$A,$K692)&gt;0.01),$L692/86400+DATE(1970,1,1)+$G$6,)</f>
        <v/>
      </c>
      <c r="B692" s="27" t="str">
        <f t="shared" si="1"/>
        <v/>
      </c>
      <c r="C692" s="14" t="str">
        <f>IF($A692&lt;&gt;"",MINIFS(Merchant!$A:$A,Merchant!$B:$B,$G$2),)</f>
        <v/>
      </c>
      <c r="D692" s="14" t="str">
        <f t="shared" si="2"/>
        <v/>
      </c>
      <c r="E692" s="14" t="str">
        <f t="shared" si="3"/>
        <v/>
      </c>
      <c r="F692" s="7" t="str">
        <f>IF($A692&lt;&gt;"",MAXIFS(Token!$C:$C,Token!$A:$A,$D692),)</f>
        <v/>
      </c>
    </row>
    <row r="693">
      <c r="A693" s="39" t="str">
        <f>IF(AND($L693*1&gt;=$G$3,$L693*1&lt;=$G$4,$I693*$J693&gt;0,OR($I693&lt;&gt;$I694,$L693-$L694&gt;25),IF(ABS($I693)&gt;10,$I693/POW(10,$J693),$J693/POW(10,$I693))*MAXIFS(Token!$C:$C,Token!$A:$A,$K693)&gt;0.01),$L693/86400+DATE(1970,1,1)+$G$6,)</f>
        <v/>
      </c>
      <c r="B693" s="27" t="str">
        <f t="shared" si="1"/>
        <v/>
      </c>
      <c r="C693" s="14" t="str">
        <f>IF($A693&lt;&gt;"",MINIFS(Merchant!$A:$A,Merchant!$B:$B,$G$2),)</f>
        <v/>
      </c>
      <c r="D693" s="14" t="str">
        <f t="shared" si="2"/>
        <v/>
      </c>
      <c r="E693" s="14" t="str">
        <f t="shared" si="3"/>
        <v/>
      </c>
      <c r="F693" s="7" t="str">
        <f>IF($A693&lt;&gt;"",MAXIFS(Token!$C:$C,Token!$A:$A,$D693),)</f>
        <v/>
      </c>
    </row>
    <row r="694">
      <c r="A694" s="39" t="str">
        <f>IF(AND($L694*1&gt;=$G$3,$L694*1&lt;=$G$4,$I694*$J694&gt;0,OR($I694&lt;&gt;$I695,$L694-$L695&gt;25),IF(ABS($I694)&gt;10,$I694/POW(10,$J694),$J694/POW(10,$I694))*MAXIFS(Token!$C:$C,Token!$A:$A,$K694)&gt;0.01),$L694/86400+DATE(1970,1,1)+$G$6,)</f>
        <v/>
      </c>
      <c r="B694" s="27" t="str">
        <f t="shared" si="1"/>
        <v/>
      </c>
      <c r="C694" s="14" t="str">
        <f>IF($A694&lt;&gt;"",MINIFS(Merchant!$A:$A,Merchant!$B:$B,$G$2),)</f>
        <v/>
      </c>
      <c r="D694" s="14" t="str">
        <f t="shared" si="2"/>
        <v/>
      </c>
      <c r="E694" s="14" t="str">
        <f t="shared" si="3"/>
        <v/>
      </c>
      <c r="F694" s="7" t="str">
        <f>IF($A694&lt;&gt;"",MAXIFS(Token!$C:$C,Token!$A:$A,$D694),)</f>
        <v/>
      </c>
    </row>
    <row r="695">
      <c r="A695" s="39" t="str">
        <f>IF(AND($L695*1&gt;=$G$3,$L695*1&lt;=$G$4,$I695*$J695&gt;0,OR($I695&lt;&gt;$I696,$L695-$L696&gt;25),IF(ABS($I695)&gt;10,$I695/POW(10,$J695),$J695/POW(10,$I695))*MAXIFS(Token!$C:$C,Token!$A:$A,$K695)&gt;0.01),$L695/86400+DATE(1970,1,1)+$G$6,)</f>
        <v/>
      </c>
      <c r="B695" s="27" t="str">
        <f t="shared" si="1"/>
        <v/>
      </c>
      <c r="C695" s="14" t="str">
        <f>IF($A695&lt;&gt;"",MINIFS(Merchant!$A:$A,Merchant!$B:$B,$G$2),)</f>
        <v/>
      </c>
      <c r="D695" s="14" t="str">
        <f t="shared" si="2"/>
        <v/>
      </c>
      <c r="E695" s="14" t="str">
        <f t="shared" si="3"/>
        <v/>
      </c>
      <c r="F695" s="7" t="str">
        <f>IF($A695&lt;&gt;"",MAXIFS(Token!$C:$C,Token!$A:$A,$D695),)</f>
        <v/>
      </c>
    </row>
    <row r="696">
      <c r="A696" s="39" t="str">
        <f>IF(AND($L696*1&gt;=$G$3,$L696*1&lt;=$G$4,$I696*$J696&gt;0,OR($I696&lt;&gt;$I697,$L696-$L697&gt;25),IF(ABS($I696)&gt;10,$I696/POW(10,$J696),$J696/POW(10,$I696))*MAXIFS(Token!$C:$C,Token!$A:$A,$K696)&gt;0.01),$L696/86400+DATE(1970,1,1)+$G$6,)</f>
        <v/>
      </c>
      <c r="B696" s="27" t="str">
        <f t="shared" si="1"/>
        <v/>
      </c>
      <c r="C696" s="14" t="str">
        <f>IF($A696&lt;&gt;"",MINIFS(Merchant!$A:$A,Merchant!$B:$B,$G$2),)</f>
        <v/>
      </c>
      <c r="D696" s="14" t="str">
        <f t="shared" si="2"/>
        <v/>
      </c>
      <c r="E696" s="14" t="str">
        <f t="shared" si="3"/>
        <v/>
      </c>
      <c r="F696" s="7" t="str">
        <f>IF($A696&lt;&gt;"",MAXIFS(Token!$C:$C,Token!$A:$A,$D696),)</f>
        <v/>
      </c>
    </row>
    <row r="697">
      <c r="A697" s="39" t="str">
        <f>IF(AND($L697*1&gt;=$G$3,$L697*1&lt;=$G$4,$I697*$J697&gt;0,OR($I697&lt;&gt;$I698,$L697-$L698&gt;25),IF(ABS($I697)&gt;10,$I697/POW(10,$J697),$J697/POW(10,$I697))*MAXIFS(Token!$C:$C,Token!$A:$A,$K697)&gt;0.01),$L697/86400+DATE(1970,1,1)+$G$6,)</f>
        <v/>
      </c>
      <c r="B697" s="27" t="str">
        <f t="shared" si="1"/>
        <v/>
      </c>
      <c r="C697" s="14" t="str">
        <f>IF($A697&lt;&gt;"",MINIFS(Merchant!$A:$A,Merchant!$B:$B,$G$2),)</f>
        <v/>
      </c>
      <c r="D697" s="14" t="str">
        <f t="shared" si="2"/>
        <v/>
      </c>
      <c r="E697" s="14" t="str">
        <f t="shared" si="3"/>
        <v/>
      </c>
      <c r="F697" s="7" t="str">
        <f>IF($A697&lt;&gt;"",MAXIFS(Token!$C:$C,Token!$A:$A,$D697),)</f>
        <v/>
      </c>
    </row>
    <row r="698">
      <c r="A698" s="39" t="str">
        <f>IF(AND($L698*1&gt;=$G$3,$L698*1&lt;=$G$4,$I698*$J698&gt;0,OR($I698&lt;&gt;$I699,$L698-$L699&gt;25),IF(ABS($I698)&gt;10,$I698/POW(10,$J698),$J698/POW(10,$I698))*MAXIFS(Token!$C:$C,Token!$A:$A,$K698)&gt;0.01),$L698/86400+DATE(1970,1,1)+$G$6,)</f>
        <v/>
      </c>
      <c r="B698" s="27" t="str">
        <f t="shared" si="1"/>
        <v/>
      </c>
      <c r="C698" s="14" t="str">
        <f>IF($A698&lt;&gt;"",MINIFS(Merchant!$A:$A,Merchant!$B:$B,$G$2),)</f>
        <v/>
      </c>
      <c r="D698" s="14" t="str">
        <f t="shared" si="2"/>
        <v/>
      </c>
      <c r="E698" s="14" t="str">
        <f t="shared" si="3"/>
        <v/>
      </c>
      <c r="F698" s="7" t="str">
        <f>IF($A698&lt;&gt;"",MAXIFS(Token!$C:$C,Token!$A:$A,$D698),)</f>
        <v/>
      </c>
    </row>
    <row r="699">
      <c r="A699" s="39" t="str">
        <f>IF(AND($L699*1&gt;=$G$3,$L699*1&lt;=$G$4,$I699*$J699&gt;0,OR($I699&lt;&gt;$I700,$L699-$L700&gt;25),IF(ABS($I699)&gt;10,$I699/POW(10,$J699),$J699/POW(10,$I699))*MAXIFS(Token!$C:$C,Token!$A:$A,$K699)&gt;0.01),$L699/86400+DATE(1970,1,1)+$G$6,)</f>
        <v/>
      </c>
      <c r="B699" s="27" t="str">
        <f t="shared" si="1"/>
        <v/>
      </c>
      <c r="C699" s="14" t="str">
        <f>IF($A699&lt;&gt;"",MINIFS(Merchant!$A:$A,Merchant!$B:$B,$G$2),)</f>
        <v/>
      </c>
      <c r="D699" s="14" t="str">
        <f t="shared" si="2"/>
        <v/>
      </c>
      <c r="E699" s="14" t="str">
        <f t="shared" si="3"/>
        <v/>
      </c>
      <c r="F699" s="7" t="str">
        <f>IF($A699&lt;&gt;"",MAXIFS(Token!$C:$C,Token!$A:$A,$D699),)</f>
        <v/>
      </c>
    </row>
    <row r="700">
      <c r="A700" s="39" t="str">
        <f>IF(AND($L700*1&gt;=$G$3,$L700*1&lt;=$G$4,$I700*$J700&gt;0,OR($I700&lt;&gt;$I701,$L700-$L701&gt;25),IF(ABS($I700)&gt;10,$I700/POW(10,$J700),$J700/POW(10,$I700))*MAXIFS(Token!$C:$C,Token!$A:$A,$K700)&gt;0.01),$L700/86400+DATE(1970,1,1)+$G$6,)</f>
        <v/>
      </c>
      <c r="B700" s="27" t="str">
        <f t="shared" si="1"/>
        <v/>
      </c>
      <c r="C700" s="14" t="str">
        <f>IF($A700&lt;&gt;"",MINIFS(Merchant!$A:$A,Merchant!$B:$B,$G$2),)</f>
        <v/>
      </c>
      <c r="D700" s="14" t="str">
        <f t="shared" si="2"/>
        <v/>
      </c>
      <c r="E700" s="14" t="str">
        <f t="shared" si="3"/>
        <v/>
      </c>
      <c r="F700" s="7" t="str">
        <f>IF($A700&lt;&gt;"",MAXIFS(Token!$C:$C,Token!$A:$A,$D700),)</f>
        <v/>
      </c>
    </row>
    <row r="701">
      <c r="A701" s="39" t="str">
        <f>IF(AND($L701*1&gt;=$G$3,$L701*1&lt;=$G$4,$I701*$J701&gt;0,OR($I701&lt;&gt;$I702,$L701-$L702&gt;25),IF(ABS($I701)&gt;10,$I701/POW(10,$J701),$J701/POW(10,$I701))*MAXIFS(Token!$C:$C,Token!$A:$A,$K701)&gt;0.01),$L701/86400+DATE(1970,1,1)+$G$6,)</f>
        <v/>
      </c>
      <c r="B701" s="27" t="str">
        <f t="shared" si="1"/>
        <v/>
      </c>
      <c r="C701" s="14" t="str">
        <f>IF($A701&lt;&gt;"",MINIFS(Merchant!$A:$A,Merchant!$B:$B,$G$2),)</f>
        <v/>
      </c>
      <c r="D701" s="14" t="str">
        <f t="shared" si="2"/>
        <v/>
      </c>
      <c r="E701" s="14" t="str">
        <f t="shared" si="3"/>
        <v/>
      </c>
      <c r="F701" s="7" t="str">
        <f>IF($A701&lt;&gt;"",MAXIFS(Token!$C:$C,Token!$A:$A,$D701),)</f>
        <v/>
      </c>
    </row>
    <row r="702">
      <c r="A702" s="39" t="str">
        <f>IF(AND($L702*1&gt;=$G$3,$L702*1&lt;=$G$4,$I702*$J702&gt;0,OR($I702&lt;&gt;$I703,$L702-$L703&gt;25),IF(ABS($I702)&gt;10,$I702/POW(10,$J702),$J702/POW(10,$I702))*MAXIFS(Token!$C:$C,Token!$A:$A,$K702)&gt;0.01),$L702/86400+DATE(1970,1,1)+$G$6,)</f>
        <v/>
      </c>
      <c r="B702" s="27" t="str">
        <f t="shared" si="1"/>
        <v/>
      </c>
      <c r="C702" s="14" t="str">
        <f>IF($A702&lt;&gt;"",MINIFS(Merchant!$A:$A,Merchant!$B:$B,$G$2),)</f>
        <v/>
      </c>
      <c r="D702" s="14" t="str">
        <f t="shared" si="2"/>
        <v/>
      </c>
      <c r="E702" s="14" t="str">
        <f t="shared" si="3"/>
        <v/>
      </c>
      <c r="F702" s="7" t="str">
        <f>IF($A702&lt;&gt;"",MAXIFS(Token!$C:$C,Token!$A:$A,$D702),)</f>
        <v/>
      </c>
    </row>
    <row r="703">
      <c r="A703" s="39" t="str">
        <f>IF(AND($L703*1&gt;=$G$3,$L703*1&lt;=$G$4,$I703*$J703&gt;0,OR($I703&lt;&gt;$I704,$L703-$L704&gt;25),IF(ABS($I703)&gt;10,$I703/POW(10,$J703),$J703/POW(10,$I703))*MAXIFS(Token!$C:$C,Token!$A:$A,$K703)&gt;0.01),$L703/86400+DATE(1970,1,1)+$G$6,)</f>
        <v/>
      </c>
      <c r="B703" s="27" t="str">
        <f t="shared" si="1"/>
        <v/>
      </c>
      <c r="C703" s="14" t="str">
        <f>IF($A703&lt;&gt;"",MINIFS(Merchant!$A:$A,Merchant!$B:$B,$G$2),)</f>
        <v/>
      </c>
      <c r="D703" s="14" t="str">
        <f t="shared" si="2"/>
        <v/>
      </c>
      <c r="E703" s="14" t="str">
        <f t="shared" si="3"/>
        <v/>
      </c>
      <c r="F703" s="7" t="str">
        <f>IF($A703&lt;&gt;"",MAXIFS(Token!$C:$C,Token!$A:$A,$D703),)</f>
        <v/>
      </c>
    </row>
    <row r="704">
      <c r="A704" s="39" t="str">
        <f>IF(AND($L704*1&gt;=$G$3,$L704*1&lt;=$G$4,$I704*$J704&gt;0,OR($I704&lt;&gt;$I705,$L704-$L705&gt;25),IF(ABS($I704)&gt;10,$I704/POW(10,$J704),$J704/POW(10,$I704))*MAXIFS(Token!$C:$C,Token!$A:$A,$K704)&gt;0.01),$L704/86400+DATE(1970,1,1)+$G$6,)</f>
        <v/>
      </c>
      <c r="B704" s="27" t="str">
        <f t="shared" si="1"/>
        <v/>
      </c>
      <c r="C704" s="14" t="str">
        <f>IF($A704&lt;&gt;"",MINIFS(Merchant!$A:$A,Merchant!$B:$B,$G$2),)</f>
        <v/>
      </c>
      <c r="D704" s="14" t="str">
        <f t="shared" si="2"/>
        <v/>
      </c>
      <c r="E704" s="14" t="str">
        <f t="shared" si="3"/>
        <v/>
      </c>
      <c r="F704" s="7" t="str">
        <f>IF($A704&lt;&gt;"",MAXIFS(Token!$C:$C,Token!$A:$A,$D704),)</f>
        <v/>
      </c>
    </row>
    <row r="705">
      <c r="A705" s="39" t="str">
        <f>IF(AND($L705*1&gt;=$G$3,$L705*1&lt;=$G$4,$I705*$J705&gt;0,OR($I705&lt;&gt;$I706,$L705-$L706&gt;25),IF(ABS($I705)&gt;10,$I705/POW(10,$J705),$J705/POW(10,$I705))*MAXIFS(Token!$C:$C,Token!$A:$A,$K705)&gt;0.01),$L705/86400+DATE(1970,1,1)+$G$6,)</f>
        <v/>
      </c>
      <c r="B705" s="27" t="str">
        <f t="shared" si="1"/>
        <v/>
      </c>
      <c r="C705" s="14" t="str">
        <f>IF($A705&lt;&gt;"",MINIFS(Merchant!$A:$A,Merchant!$B:$B,$G$2),)</f>
        <v/>
      </c>
      <c r="D705" s="14" t="str">
        <f t="shared" si="2"/>
        <v/>
      </c>
      <c r="E705" s="14" t="str">
        <f t="shared" si="3"/>
        <v/>
      </c>
      <c r="F705" s="7" t="str">
        <f>IF($A705&lt;&gt;"",MAXIFS(Token!$C:$C,Token!$A:$A,$D705),)</f>
        <v/>
      </c>
    </row>
    <row r="706">
      <c r="A706" s="39" t="str">
        <f>IF(AND($L706*1&gt;=$G$3,$L706*1&lt;=$G$4,$I706*$J706&gt;0,OR($I706&lt;&gt;$I707,$L706-$L707&gt;25),IF(ABS($I706)&gt;10,$I706/POW(10,$J706),$J706/POW(10,$I706))*MAXIFS(Token!$C:$C,Token!$A:$A,$K706)&gt;0.01),$L706/86400+DATE(1970,1,1)+$G$6,)</f>
        <v/>
      </c>
      <c r="B706" s="27" t="str">
        <f t="shared" si="1"/>
        <v/>
      </c>
      <c r="C706" s="14" t="str">
        <f>IF($A706&lt;&gt;"",MINIFS(Merchant!$A:$A,Merchant!$B:$B,$G$2),)</f>
        <v/>
      </c>
      <c r="D706" s="14" t="str">
        <f t="shared" si="2"/>
        <v/>
      </c>
      <c r="E706" s="14" t="str">
        <f t="shared" si="3"/>
        <v/>
      </c>
      <c r="F706" s="7" t="str">
        <f>IF($A706&lt;&gt;"",MAXIFS(Token!$C:$C,Token!$A:$A,$D706),)</f>
        <v/>
      </c>
    </row>
    <row r="707">
      <c r="A707" s="39" t="str">
        <f>IF(AND($L707*1&gt;=$G$3,$L707*1&lt;=$G$4,$I707*$J707&gt;0,OR($I707&lt;&gt;$I708,$L707-$L708&gt;25),IF(ABS($I707)&gt;10,$I707/POW(10,$J707),$J707/POW(10,$I707))*MAXIFS(Token!$C:$C,Token!$A:$A,$K707)&gt;0.01),$L707/86400+DATE(1970,1,1)+$G$6,)</f>
        <v/>
      </c>
      <c r="B707" s="27" t="str">
        <f t="shared" si="1"/>
        <v/>
      </c>
      <c r="C707" s="14" t="str">
        <f>IF($A707&lt;&gt;"",MINIFS(Merchant!$A:$A,Merchant!$B:$B,$G$2),)</f>
        <v/>
      </c>
      <c r="D707" s="14" t="str">
        <f t="shared" si="2"/>
        <v/>
      </c>
      <c r="E707" s="14" t="str">
        <f t="shared" si="3"/>
        <v/>
      </c>
      <c r="F707" s="7" t="str">
        <f>IF($A707&lt;&gt;"",MAXIFS(Token!$C:$C,Token!$A:$A,$D707),)</f>
        <v/>
      </c>
    </row>
    <row r="708">
      <c r="A708" s="39" t="str">
        <f>IF(AND($L708*1&gt;=$G$3,$L708*1&lt;=$G$4,$I708*$J708&gt;0,OR($I708&lt;&gt;$I709,$L708-$L709&gt;25),IF(ABS($I708)&gt;10,$I708/POW(10,$J708),$J708/POW(10,$I708))*MAXIFS(Token!$C:$C,Token!$A:$A,$K708)&gt;0.01),$L708/86400+DATE(1970,1,1)+$G$6,)</f>
        <v/>
      </c>
      <c r="B708" s="27" t="str">
        <f t="shared" si="1"/>
        <v/>
      </c>
      <c r="C708" s="14" t="str">
        <f>IF($A708&lt;&gt;"",MINIFS(Merchant!$A:$A,Merchant!$B:$B,$G$2),)</f>
        <v/>
      </c>
      <c r="D708" s="14" t="str">
        <f t="shared" si="2"/>
        <v/>
      </c>
      <c r="E708" s="14" t="str">
        <f t="shared" si="3"/>
        <v/>
      </c>
      <c r="F708" s="7" t="str">
        <f>IF($A708&lt;&gt;"",MAXIFS(Token!$C:$C,Token!$A:$A,$D708),)</f>
        <v/>
      </c>
    </row>
    <row r="709">
      <c r="A709" s="39" t="str">
        <f>IF(AND($L709*1&gt;=$G$3,$L709*1&lt;=$G$4,$I709*$J709&gt;0,OR($I709&lt;&gt;$I710,$L709-$L710&gt;25),IF(ABS($I709)&gt;10,$I709/POW(10,$J709),$J709/POW(10,$I709))*MAXIFS(Token!$C:$C,Token!$A:$A,$K709)&gt;0.01),$L709/86400+DATE(1970,1,1)+$G$6,)</f>
        <v/>
      </c>
      <c r="B709" s="27" t="str">
        <f t="shared" si="1"/>
        <v/>
      </c>
      <c r="C709" s="14" t="str">
        <f>IF($A709&lt;&gt;"",MINIFS(Merchant!$A:$A,Merchant!$B:$B,$G$2),)</f>
        <v/>
      </c>
      <c r="D709" s="14" t="str">
        <f t="shared" si="2"/>
        <v/>
      </c>
      <c r="E709" s="14" t="str">
        <f t="shared" si="3"/>
        <v/>
      </c>
      <c r="F709" s="7" t="str">
        <f>IF($A709&lt;&gt;"",MAXIFS(Token!$C:$C,Token!$A:$A,$D709),)</f>
        <v/>
      </c>
    </row>
    <row r="710">
      <c r="A710" s="39" t="str">
        <f>IF(AND($L710*1&gt;=$G$3,$L710*1&lt;=$G$4,$I710*$J710&gt;0,OR($I710&lt;&gt;$I711,$L710-$L711&gt;25),IF(ABS($I710)&gt;10,$I710/POW(10,$J710),$J710/POW(10,$I710))*MAXIFS(Token!$C:$C,Token!$A:$A,$K710)&gt;0.01),$L710/86400+DATE(1970,1,1)+$G$6,)</f>
        <v/>
      </c>
      <c r="B710" s="27" t="str">
        <f t="shared" si="1"/>
        <v/>
      </c>
      <c r="C710" s="14" t="str">
        <f>IF($A710&lt;&gt;"",MINIFS(Merchant!$A:$A,Merchant!$B:$B,$G$2),)</f>
        <v/>
      </c>
      <c r="D710" s="14" t="str">
        <f t="shared" si="2"/>
        <v/>
      </c>
      <c r="E710" s="14" t="str">
        <f t="shared" si="3"/>
        <v/>
      </c>
      <c r="F710" s="7" t="str">
        <f>IF($A710&lt;&gt;"",MAXIFS(Token!$C:$C,Token!$A:$A,$D710),)</f>
        <v/>
      </c>
    </row>
    <row r="711">
      <c r="A711" s="39" t="str">
        <f>IF(AND($L711*1&gt;=$G$3,$L711*1&lt;=$G$4,$I711*$J711&gt;0,OR($I711&lt;&gt;$I712,$L711-$L712&gt;25),IF(ABS($I711)&gt;10,$I711/POW(10,$J711),$J711/POW(10,$I711))*MAXIFS(Token!$C:$C,Token!$A:$A,$K711)&gt;0.01),$L711/86400+DATE(1970,1,1)+$G$6,)</f>
        <v/>
      </c>
      <c r="B711" s="27" t="str">
        <f t="shared" si="1"/>
        <v/>
      </c>
      <c r="C711" s="14" t="str">
        <f>IF($A711&lt;&gt;"",MINIFS(Merchant!$A:$A,Merchant!$B:$B,$G$2),)</f>
        <v/>
      </c>
      <c r="D711" s="14" t="str">
        <f t="shared" si="2"/>
        <v/>
      </c>
      <c r="E711" s="14" t="str">
        <f t="shared" si="3"/>
        <v/>
      </c>
      <c r="F711" s="7" t="str">
        <f>IF($A711&lt;&gt;"",MAXIFS(Token!$C:$C,Token!$A:$A,$D711),)</f>
        <v/>
      </c>
    </row>
    <row r="712">
      <c r="A712" s="39" t="str">
        <f>IF(AND($L712*1&gt;=$G$3,$L712*1&lt;=$G$4,$I712*$J712&gt;0,OR($I712&lt;&gt;$I713,$L712-$L713&gt;25),IF(ABS($I712)&gt;10,$I712/POW(10,$J712),$J712/POW(10,$I712))*MAXIFS(Token!$C:$C,Token!$A:$A,$K712)&gt;0.01),$L712/86400+DATE(1970,1,1)+$G$6,)</f>
        <v/>
      </c>
      <c r="B712" s="27" t="str">
        <f t="shared" si="1"/>
        <v/>
      </c>
      <c r="C712" s="14" t="str">
        <f>IF($A712&lt;&gt;"",MINIFS(Merchant!$A:$A,Merchant!$B:$B,$G$2),)</f>
        <v/>
      </c>
      <c r="D712" s="14" t="str">
        <f t="shared" si="2"/>
        <v/>
      </c>
      <c r="E712" s="14" t="str">
        <f t="shared" si="3"/>
        <v/>
      </c>
      <c r="F712" s="7" t="str">
        <f>IF($A712&lt;&gt;"",MAXIFS(Token!$C:$C,Token!$A:$A,$D712),)</f>
        <v/>
      </c>
    </row>
    <row r="713">
      <c r="A713" s="39" t="str">
        <f>IF(AND($L713*1&gt;=$G$3,$L713*1&lt;=$G$4,$I713*$J713&gt;0,OR($I713&lt;&gt;$I714,$L713-$L714&gt;25),IF(ABS($I713)&gt;10,$I713/POW(10,$J713),$J713/POW(10,$I713))*MAXIFS(Token!$C:$C,Token!$A:$A,$K713)&gt;0.01),$L713/86400+DATE(1970,1,1)+$G$6,)</f>
        <v/>
      </c>
      <c r="B713" s="27" t="str">
        <f t="shared" si="1"/>
        <v/>
      </c>
      <c r="C713" s="14" t="str">
        <f>IF($A713&lt;&gt;"",MINIFS(Merchant!$A:$A,Merchant!$B:$B,$G$2),)</f>
        <v/>
      </c>
      <c r="D713" s="14" t="str">
        <f t="shared" si="2"/>
        <v/>
      </c>
      <c r="E713" s="14" t="str">
        <f t="shared" si="3"/>
        <v/>
      </c>
      <c r="F713" s="7" t="str">
        <f>IF($A713&lt;&gt;"",MAXIFS(Token!$C:$C,Token!$A:$A,$D713),)</f>
        <v/>
      </c>
    </row>
    <row r="714">
      <c r="A714" s="39" t="str">
        <f>IF(AND($L714*1&gt;=$G$3,$L714*1&lt;=$G$4,$I714*$J714&gt;0,OR($I714&lt;&gt;$I715,$L714-$L715&gt;25),IF(ABS($I714)&gt;10,$I714/POW(10,$J714),$J714/POW(10,$I714))*MAXIFS(Token!$C:$C,Token!$A:$A,$K714)&gt;0.01),$L714/86400+DATE(1970,1,1)+$G$6,)</f>
        <v/>
      </c>
      <c r="B714" s="27" t="str">
        <f t="shared" si="1"/>
        <v/>
      </c>
      <c r="C714" s="14" t="str">
        <f>IF($A714&lt;&gt;"",MINIFS(Merchant!$A:$A,Merchant!$B:$B,$G$2),)</f>
        <v/>
      </c>
      <c r="D714" s="14" t="str">
        <f t="shared" si="2"/>
        <v/>
      </c>
      <c r="E714" s="14" t="str">
        <f t="shared" si="3"/>
        <v/>
      </c>
      <c r="F714" s="7" t="str">
        <f>IF($A714&lt;&gt;"",MAXIFS(Token!$C:$C,Token!$A:$A,$D714),)</f>
        <v/>
      </c>
    </row>
    <row r="715">
      <c r="A715" s="39" t="str">
        <f>IF(AND($L715*1&gt;=$G$3,$L715*1&lt;=$G$4,$I715*$J715&gt;0,OR($I715&lt;&gt;$I716,$L715-$L716&gt;25),IF(ABS($I715)&gt;10,$I715/POW(10,$J715),$J715/POW(10,$I715))*MAXIFS(Token!$C:$C,Token!$A:$A,$K715)&gt;0.01),$L715/86400+DATE(1970,1,1)+$G$6,)</f>
        <v/>
      </c>
      <c r="B715" s="27" t="str">
        <f t="shared" si="1"/>
        <v/>
      </c>
      <c r="C715" s="14" t="str">
        <f>IF($A715&lt;&gt;"",MINIFS(Merchant!$A:$A,Merchant!$B:$B,$G$2),)</f>
        <v/>
      </c>
      <c r="D715" s="14" t="str">
        <f t="shared" si="2"/>
        <v/>
      </c>
      <c r="E715" s="14" t="str">
        <f t="shared" si="3"/>
        <v/>
      </c>
      <c r="F715" s="7" t="str">
        <f>IF($A715&lt;&gt;"",MAXIFS(Token!$C:$C,Token!$A:$A,$D715),)</f>
        <v/>
      </c>
    </row>
    <row r="716">
      <c r="A716" s="39" t="str">
        <f>IF(AND($L716*1&gt;=$G$3,$L716*1&lt;=$G$4,$I716*$J716&gt;0,OR($I716&lt;&gt;$I717,$L716-$L717&gt;25),IF(ABS($I716)&gt;10,$I716/POW(10,$J716),$J716/POW(10,$I716))*MAXIFS(Token!$C:$C,Token!$A:$A,$K716)&gt;0.01),$L716/86400+DATE(1970,1,1)+$G$6,)</f>
        <v/>
      </c>
      <c r="B716" s="27" t="str">
        <f t="shared" si="1"/>
        <v/>
      </c>
      <c r="C716" s="14" t="str">
        <f>IF($A716&lt;&gt;"",MINIFS(Merchant!$A:$A,Merchant!$B:$B,$G$2),)</f>
        <v/>
      </c>
      <c r="D716" s="14" t="str">
        <f t="shared" si="2"/>
        <v/>
      </c>
      <c r="E716" s="14" t="str">
        <f t="shared" si="3"/>
        <v/>
      </c>
      <c r="F716" s="7" t="str">
        <f>IF($A716&lt;&gt;"",MAXIFS(Token!$C:$C,Token!$A:$A,$D716),)</f>
        <v/>
      </c>
    </row>
    <row r="717">
      <c r="A717" s="39" t="str">
        <f>IF(AND($L717*1&gt;=$G$3,$L717*1&lt;=$G$4,$I717*$J717&gt;0,OR($I717&lt;&gt;$I718,$L717-$L718&gt;25),IF(ABS($I717)&gt;10,$I717/POW(10,$J717),$J717/POW(10,$I717))*MAXIFS(Token!$C:$C,Token!$A:$A,$K717)&gt;0.01),$L717/86400+DATE(1970,1,1)+$G$6,)</f>
        <v/>
      </c>
      <c r="B717" s="27" t="str">
        <f t="shared" si="1"/>
        <v/>
      </c>
      <c r="C717" s="14" t="str">
        <f>IF($A717&lt;&gt;"",MINIFS(Merchant!$A:$A,Merchant!$B:$B,$G$2),)</f>
        <v/>
      </c>
      <c r="D717" s="14" t="str">
        <f t="shared" si="2"/>
        <v/>
      </c>
      <c r="E717" s="14" t="str">
        <f t="shared" si="3"/>
        <v/>
      </c>
      <c r="F717" s="7" t="str">
        <f>IF($A717&lt;&gt;"",MAXIFS(Token!$C:$C,Token!$A:$A,$D717),)</f>
        <v/>
      </c>
    </row>
    <row r="718">
      <c r="A718" s="39" t="str">
        <f>IF(AND($L718*1&gt;=$G$3,$L718*1&lt;=$G$4,$I718*$J718&gt;0,OR($I718&lt;&gt;$I719,$L718-$L719&gt;25),IF(ABS($I718)&gt;10,$I718/POW(10,$J718),$J718/POW(10,$I718))*MAXIFS(Token!$C:$C,Token!$A:$A,$K718)&gt;0.01),$L718/86400+DATE(1970,1,1)+$G$6,)</f>
        <v/>
      </c>
      <c r="B718" s="27" t="str">
        <f t="shared" si="1"/>
        <v/>
      </c>
      <c r="C718" s="14" t="str">
        <f>IF($A718&lt;&gt;"",MINIFS(Merchant!$A:$A,Merchant!$B:$B,$G$2),)</f>
        <v/>
      </c>
      <c r="D718" s="14" t="str">
        <f t="shared" si="2"/>
        <v/>
      </c>
      <c r="E718" s="14" t="str">
        <f t="shared" si="3"/>
        <v/>
      </c>
      <c r="F718" s="7" t="str">
        <f>IF($A718&lt;&gt;"",MAXIFS(Token!$C:$C,Token!$A:$A,$D718),)</f>
        <v/>
      </c>
    </row>
    <row r="719">
      <c r="A719" s="39" t="str">
        <f>IF(AND($L719*1&gt;=$G$3,$L719*1&lt;=$G$4,$I719*$J719&gt;0,OR($I719&lt;&gt;$I720,$L719-$L720&gt;25),IF(ABS($I719)&gt;10,$I719/POW(10,$J719),$J719/POW(10,$I719))*MAXIFS(Token!$C:$C,Token!$A:$A,$K719)&gt;0.01),$L719/86400+DATE(1970,1,1)+$G$6,)</f>
        <v/>
      </c>
      <c r="B719" s="27" t="str">
        <f t="shared" si="1"/>
        <v/>
      </c>
      <c r="C719" s="14" t="str">
        <f>IF($A719&lt;&gt;"",MINIFS(Merchant!$A:$A,Merchant!$B:$B,$G$2),)</f>
        <v/>
      </c>
      <c r="D719" s="14" t="str">
        <f t="shared" si="2"/>
        <v/>
      </c>
      <c r="E719" s="14" t="str">
        <f t="shared" si="3"/>
        <v/>
      </c>
      <c r="F719" s="7" t="str">
        <f>IF($A719&lt;&gt;"",MAXIFS(Token!$C:$C,Token!$A:$A,$D719),)</f>
        <v/>
      </c>
    </row>
    <row r="720">
      <c r="A720" s="39" t="str">
        <f>IF(AND($L720*1&gt;=$G$3,$L720*1&lt;=$G$4,$I720*$J720&gt;0,OR($I720&lt;&gt;$I721,$L720-$L721&gt;25),IF(ABS($I720)&gt;10,$I720/POW(10,$J720),$J720/POW(10,$I720))*MAXIFS(Token!$C:$C,Token!$A:$A,$K720)&gt;0.01),$L720/86400+DATE(1970,1,1)+$G$6,)</f>
        <v/>
      </c>
      <c r="B720" s="27" t="str">
        <f t="shared" si="1"/>
        <v/>
      </c>
      <c r="C720" s="14" t="str">
        <f>IF($A720&lt;&gt;"",MINIFS(Merchant!$A:$A,Merchant!$B:$B,$G$2),)</f>
        <v/>
      </c>
      <c r="D720" s="14" t="str">
        <f t="shared" si="2"/>
        <v/>
      </c>
      <c r="E720" s="14" t="str">
        <f t="shared" si="3"/>
        <v/>
      </c>
      <c r="F720" s="7" t="str">
        <f>IF($A720&lt;&gt;"",MAXIFS(Token!$C:$C,Token!$A:$A,$D720),)</f>
        <v/>
      </c>
    </row>
    <row r="721">
      <c r="A721" s="39" t="str">
        <f>IF(AND($L721*1&gt;=$G$3,$L721*1&lt;=$G$4,$I721*$J721&gt;0,OR($I721&lt;&gt;$I722,$L721-$L722&gt;25),IF(ABS($I721)&gt;10,$I721/POW(10,$J721),$J721/POW(10,$I721))*MAXIFS(Token!$C:$C,Token!$A:$A,$K721)&gt;0.01),$L721/86400+DATE(1970,1,1)+$G$6,)</f>
        <v/>
      </c>
      <c r="B721" s="27" t="str">
        <f t="shared" si="1"/>
        <v/>
      </c>
      <c r="C721" s="14" t="str">
        <f>IF($A721&lt;&gt;"",MINIFS(Merchant!$A:$A,Merchant!$B:$B,$G$2),)</f>
        <v/>
      </c>
      <c r="D721" s="14" t="str">
        <f t="shared" si="2"/>
        <v/>
      </c>
      <c r="E721" s="14" t="str">
        <f t="shared" si="3"/>
        <v/>
      </c>
      <c r="F721" s="7" t="str">
        <f>IF($A721&lt;&gt;"",MAXIFS(Token!$C:$C,Token!$A:$A,$D721),)</f>
        <v/>
      </c>
    </row>
    <row r="722">
      <c r="A722" s="39" t="str">
        <f>IF(AND($L722*1&gt;=$G$3,$L722*1&lt;=$G$4,$I722*$J722&gt;0,OR($I722&lt;&gt;$I723,$L722-$L723&gt;25),IF(ABS($I722)&gt;10,$I722/POW(10,$J722),$J722/POW(10,$I722))*MAXIFS(Token!$C:$C,Token!$A:$A,$K722)&gt;0.01),$L722/86400+DATE(1970,1,1)+$G$6,)</f>
        <v/>
      </c>
      <c r="B722" s="27" t="str">
        <f t="shared" si="1"/>
        <v/>
      </c>
      <c r="C722" s="14" t="str">
        <f>IF($A722&lt;&gt;"",MINIFS(Merchant!$A:$A,Merchant!$B:$B,$G$2),)</f>
        <v/>
      </c>
      <c r="D722" s="14" t="str">
        <f t="shared" si="2"/>
        <v/>
      </c>
      <c r="E722" s="14" t="str">
        <f t="shared" si="3"/>
        <v/>
      </c>
      <c r="F722" s="7" t="str">
        <f>IF($A722&lt;&gt;"",MAXIFS(Token!$C:$C,Token!$A:$A,$D722),)</f>
        <v/>
      </c>
    </row>
    <row r="723">
      <c r="A723" s="39" t="str">
        <f>IF(AND($L723*1&gt;=$G$3,$L723*1&lt;=$G$4,$I723*$J723&gt;0,OR($I723&lt;&gt;$I724,$L723-$L724&gt;25),IF(ABS($I723)&gt;10,$I723/POW(10,$J723),$J723/POW(10,$I723))*MAXIFS(Token!$C:$C,Token!$A:$A,$K723)&gt;0.01),$L723/86400+DATE(1970,1,1)+$G$6,)</f>
        <v/>
      </c>
      <c r="B723" s="27" t="str">
        <f t="shared" si="1"/>
        <v/>
      </c>
      <c r="C723" s="14" t="str">
        <f>IF($A723&lt;&gt;"",MINIFS(Merchant!$A:$A,Merchant!$B:$B,$G$2),)</f>
        <v/>
      </c>
      <c r="D723" s="14" t="str">
        <f t="shared" si="2"/>
        <v/>
      </c>
      <c r="E723" s="14" t="str">
        <f t="shared" si="3"/>
        <v/>
      </c>
      <c r="F723" s="7" t="str">
        <f>IF($A723&lt;&gt;"",MAXIFS(Token!$C:$C,Token!$A:$A,$D723),)</f>
        <v/>
      </c>
    </row>
    <row r="724">
      <c r="A724" s="39" t="str">
        <f>IF(AND($L724*1&gt;=$G$3,$L724*1&lt;=$G$4,$I724*$J724&gt;0,OR($I724&lt;&gt;$I725,$L724-$L725&gt;25),IF(ABS($I724)&gt;10,$I724/POW(10,$J724),$J724/POW(10,$I724))*MAXIFS(Token!$C:$C,Token!$A:$A,$K724)&gt;0.01),$L724/86400+DATE(1970,1,1)+$G$6,)</f>
        <v/>
      </c>
      <c r="B724" s="27" t="str">
        <f t="shared" si="1"/>
        <v/>
      </c>
      <c r="C724" s="14" t="str">
        <f>IF($A724&lt;&gt;"",MINIFS(Merchant!$A:$A,Merchant!$B:$B,$G$2),)</f>
        <v/>
      </c>
      <c r="D724" s="14" t="str">
        <f t="shared" si="2"/>
        <v/>
      </c>
      <c r="E724" s="14" t="str">
        <f t="shared" si="3"/>
        <v/>
      </c>
      <c r="F724" s="7" t="str">
        <f>IF($A724&lt;&gt;"",MAXIFS(Token!$C:$C,Token!$A:$A,$D724),)</f>
        <v/>
      </c>
    </row>
    <row r="725">
      <c r="A725" s="39" t="str">
        <f>IF(AND($L725*1&gt;=$G$3,$L725*1&lt;=$G$4,$I725*$J725&gt;0,OR($I725&lt;&gt;$I726,$L725-$L726&gt;25),IF(ABS($I725)&gt;10,$I725/POW(10,$J725),$J725/POW(10,$I725))*MAXIFS(Token!$C:$C,Token!$A:$A,$K725)&gt;0.01),$L725/86400+DATE(1970,1,1)+$G$6,)</f>
        <v/>
      </c>
      <c r="B725" s="27" t="str">
        <f t="shared" si="1"/>
        <v/>
      </c>
      <c r="C725" s="14" t="str">
        <f>IF($A725&lt;&gt;"",MINIFS(Merchant!$A:$A,Merchant!$B:$B,$G$2),)</f>
        <v/>
      </c>
      <c r="D725" s="14" t="str">
        <f t="shared" si="2"/>
        <v/>
      </c>
      <c r="E725" s="14" t="str">
        <f t="shared" si="3"/>
        <v/>
      </c>
      <c r="F725" s="7" t="str">
        <f>IF($A725&lt;&gt;"",MAXIFS(Token!$C:$C,Token!$A:$A,$D725),)</f>
        <v/>
      </c>
    </row>
    <row r="726">
      <c r="A726" s="39" t="str">
        <f>IF(AND($L726*1&gt;=$G$3,$L726*1&lt;=$G$4,$I726*$J726&gt;0,OR($I726&lt;&gt;$I727,$L726-$L727&gt;25),IF(ABS($I726)&gt;10,$I726/POW(10,$J726),$J726/POW(10,$I726))*MAXIFS(Token!$C:$C,Token!$A:$A,$K726)&gt;0.01),$L726/86400+DATE(1970,1,1)+$G$6,)</f>
        <v/>
      </c>
      <c r="B726" s="27" t="str">
        <f t="shared" si="1"/>
        <v/>
      </c>
      <c r="C726" s="14" t="str">
        <f>IF($A726&lt;&gt;"",MINIFS(Merchant!$A:$A,Merchant!$B:$B,$G$2),)</f>
        <v/>
      </c>
      <c r="D726" s="14" t="str">
        <f t="shared" si="2"/>
        <v/>
      </c>
      <c r="E726" s="14" t="str">
        <f t="shared" si="3"/>
        <v/>
      </c>
      <c r="F726" s="7" t="str">
        <f>IF($A726&lt;&gt;"",MAXIFS(Token!$C:$C,Token!$A:$A,$D726),)</f>
        <v/>
      </c>
    </row>
    <row r="727">
      <c r="A727" s="39" t="str">
        <f>IF(AND($L727*1&gt;=$G$3,$L727*1&lt;=$G$4,$I727*$J727&gt;0,OR($I727&lt;&gt;$I728,$L727-$L728&gt;25),IF(ABS($I727)&gt;10,$I727/POW(10,$J727),$J727/POW(10,$I727))*MAXIFS(Token!$C:$C,Token!$A:$A,$K727)&gt;0.01),$L727/86400+DATE(1970,1,1)+$G$6,)</f>
        <v/>
      </c>
      <c r="B727" s="27" t="str">
        <f t="shared" si="1"/>
        <v/>
      </c>
      <c r="C727" s="14" t="str">
        <f>IF($A727&lt;&gt;"",MINIFS(Merchant!$A:$A,Merchant!$B:$B,$G$2),)</f>
        <v/>
      </c>
      <c r="D727" s="14" t="str">
        <f t="shared" si="2"/>
        <v/>
      </c>
      <c r="E727" s="14" t="str">
        <f t="shared" si="3"/>
        <v/>
      </c>
      <c r="F727" s="7" t="str">
        <f>IF($A727&lt;&gt;"",MAXIFS(Token!$C:$C,Token!$A:$A,$D727),)</f>
        <v/>
      </c>
    </row>
    <row r="728">
      <c r="A728" s="39" t="str">
        <f>IF(AND($L728*1&gt;=$G$3,$L728*1&lt;=$G$4,$I728*$J728&gt;0,OR($I728&lt;&gt;$I729,$L728-$L729&gt;25),IF(ABS($I728)&gt;10,$I728/POW(10,$J728),$J728/POW(10,$I728))*MAXIFS(Token!$C:$C,Token!$A:$A,$K728)&gt;0.01),$L728/86400+DATE(1970,1,1)+$G$6,)</f>
        <v/>
      </c>
      <c r="B728" s="27" t="str">
        <f t="shared" si="1"/>
        <v/>
      </c>
      <c r="C728" s="14" t="str">
        <f>IF($A728&lt;&gt;"",MINIFS(Merchant!$A:$A,Merchant!$B:$B,$G$2),)</f>
        <v/>
      </c>
      <c r="D728" s="14" t="str">
        <f t="shared" si="2"/>
        <v/>
      </c>
      <c r="E728" s="14" t="str">
        <f t="shared" si="3"/>
        <v/>
      </c>
      <c r="F728" s="7" t="str">
        <f>IF($A728&lt;&gt;"",MAXIFS(Token!$C:$C,Token!$A:$A,$D728),)</f>
        <v/>
      </c>
    </row>
    <row r="729">
      <c r="A729" s="39" t="str">
        <f>IF(AND($L729*1&gt;=$G$3,$L729*1&lt;=$G$4,$I729*$J729&gt;0,OR($I729&lt;&gt;$I730,$L729-$L730&gt;25),IF(ABS($I729)&gt;10,$I729/POW(10,$J729),$J729/POW(10,$I729))*MAXIFS(Token!$C:$C,Token!$A:$A,$K729)&gt;0.01),$L729/86400+DATE(1970,1,1)+$G$6,)</f>
        <v/>
      </c>
      <c r="B729" s="27" t="str">
        <f t="shared" si="1"/>
        <v/>
      </c>
      <c r="C729" s="14" t="str">
        <f>IF($A729&lt;&gt;"",MINIFS(Merchant!$A:$A,Merchant!$B:$B,$G$2),)</f>
        <v/>
      </c>
      <c r="D729" s="14" t="str">
        <f t="shared" si="2"/>
        <v/>
      </c>
      <c r="E729" s="14" t="str">
        <f t="shared" si="3"/>
        <v/>
      </c>
      <c r="F729" s="7" t="str">
        <f>IF($A729&lt;&gt;"",MAXIFS(Token!$C:$C,Token!$A:$A,$D729),)</f>
        <v/>
      </c>
    </row>
    <row r="730">
      <c r="A730" s="39" t="str">
        <f>IF(AND($L730*1&gt;=$G$3,$L730*1&lt;=$G$4,$I730*$J730&gt;0,OR($I730&lt;&gt;$I731,$L730-$L731&gt;25),IF(ABS($I730)&gt;10,$I730/POW(10,$J730),$J730/POW(10,$I730))*MAXIFS(Token!$C:$C,Token!$A:$A,$K730)&gt;0.01),$L730/86400+DATE(1970,1,1)+$G$6,)</f>
        <v/>
      </c>
      <c r="B730" s="27" t="str">
        <f t="shared" si="1"/>
        <v/>
      </c>
      <c r="C730" s="14" t="str">
        <f>IF($A730&lt;&gt;"",MINIFS(Merchant!$A:$A,Merchant!$B:$B,$G$2),)</f>
        <v/>
      </c>
      <c r="D730" s="14" t="str">
        <f t="shared" si="2"/>
        <v/>
      </c>
      <c r="E730" s="14" t="str">
        <f t="shared" si="3"/>
        <v/>
      </c>
      <c r="F730" s="7" t="str">
        <f>IF($A730&lt;&gt;"",MAXIFS(Token!$C:$C,Token!$A:$A,$D730),)</f>
        <v/>
      </c>
    </row>
    <row r="731">
      <c r="A731" s="39" t="str">
        <f>IF(AND($L731*1&gt;=$G$3,$L731*1&lt;=$G$4,$I731*$J731&gt;0,OR($I731&lt;&gt;$I732,$L731-$L732&gt;25),IF(ABS($I731)&gt;10,$I731/POW(10,$J731),$J731/POW(10,$I731))*MAXIFS(Token!$C:$C,Token!$A:$A,$K731)&gt;0.01),$L731/86400+DATE(1970,1,1)+$G$6,)</f>
        <v/>
      </c>
      <c r="B731" s="27" t="str">
        <f t="shared" si="1"/>
        <v/>
      </c>
      <c r="C731" s="14" t="str">
        <f>IF($A731&lt;&gt;"",MINIFS(Merchant!$A:$A,Merchant!$B:$B,$G$2),)</f>
        <v/>
      </c>
      <c r="D731" s="14" t="str">
        <f t="shared" si="2"/>
        <v/>
      </c>
      <c r="E731" s="14" t="str">
        <f t="shared" si="3"/>
        <v/>
      </c>
      <c r="F731" s="7" t="str">
        <f>IF($A731&lt;&gt;"",MAXIFS(Token!$C:$C,Token!$A:$A,$D731),)</f>
        <v/>
      </c>
    </row>
    <row r="732">
      <c r="A732" s="39" t="str">
        <f>IF(AND($L732*1&gt;=$G$3,$L732*1&lt;=$G$4,$I732*$J732&gt;0,OR($I732&lt;&gt;$I733,$L732-$L733&gt;25),IF(ABS($I732)&gt;10,$I732/POW(10,$J732),$J732/POW(10,$I732))*MAXIFS(Token!$C:$C,Token!$A:$A,$K732)&gt;0.01),$L732/86400+DATE(1970,1,1)+$G$6,)</f>
        <v/>
      </c>
      <c r="B732" s="27" t="str">
        <f t="shared" si="1"/>
        <v/>
      </c>
      <c r="C732" s="14" t="str">
        <f>IF($A732&lt;&gt;"",MINIFS(Merchant!$A:$A,Merchant!$B:$B,$G$2),)</f>
        <v/>
      </c>
      <c r="D732" s="14" t="str">
        <f t="shared" si="2"/>
        <v/>
      </c>
      <c r="E732" s="14" t="str">
        <f t="shared" si="3"/>
        <v/>
      </c>
      <c r="F732" s="7" t="str">
        <f>IF($A732&lt;&gt;"",MAXIFS(Token!$C:$C,Token!$A:$A,$D732),)</f>
        <v/>
      </c>
    </row>
    <row r="733">
      <c r="A733" s="39" t="str">
        <f>IF(AND($L733*1&gt;=$G$3,$L733*1&lt;=$G$4,$I733*$J733&gt;0,OR($I733&lt;&gt;$I734,$L733-$L734&gt;25),IF(ABS($I733)&gt;10,$I733/POW(10,$J733),$J733/POW(10,$I733))*MAXIFS(Token!$C:$C,Token!$A:$A,$K733)&gt;0.01),$L733/86400+DATE(1970,1,1)+$G$6,)</f>
        <v/>
      </c>
      <c r="B733" s="27" t="str">
        <f t="shared" si="1"/>
        <v/>
      </c>
      <c r="C733" s="14" t="str">
        <f>IF($A733&lt;&gt;"",MINIFS(Merchant!$A:$A,Merchant!$B:$B,$G$2),)</f>
        <v/>
      </c>
      <c r="D733" s="14" t="str">
        <f t="shared" si="2"/>
        <v/>
      </c>
      <c r="E733" s="14" t="str">
        <f t="shared" si="3"/>
        <v/>
      </c>
      <c r="F733" s="7" t="str">
        <f>IF($A733&lt;&gt;"",MAXIFS(Token!$C:$C,Token!$A:$A,$D733),)</f>
        <v/>
      </c>
    </row>
    <row r="734">
      <c r="A734" s="39" t="str">
        <f>IF(AND($L734*1&gt;=$G$3,$L734*1&lt;=$G$4,$I734*$J734&gt;0,OR($I734&lt;&gt;$I735,$L734-$L735&gt;25),IF(ABS($I734)&gt;10,$I734/POW(10,$J734),$J734/POW(10,$I734))*MAXIFS(Token!$C:$C,Token!$A:$A,$K734)&gt;0.01),$L734/86400+DATE(1970,1,1)+$G$6,)</f>
        <v/>
      </c>
      <c r="B734" s="27" t="str">
        <f t="shared" si="1"/>
        <v/>
      </c>
      <c r="C734" s="14" t="str">
        <f>IF($A734&lt;&gt;"",MINIFS(Merchant!$A:$A,Merchant!$B:$B,$G$2),)</f>
        <v/>
      </c>
      <c r="D734" s="14" t="str">
        <f t="shared" si="2"/>
        <v/>
      </c>
      <c r="E734" s="14" t="str">
        <f t="shared" si="3"/>
        <v/>
      </c>
      <c r="F734" s="7" t="str">
        <f>IF($A734&lt;&gt;"",MAXIFS(Token!$C:$C,Token!$A:$A,$D734),)</f>
        <v/>
      </c>
    </row>
    <row r="735">
      <c r="A735" s="39" t="str">
        <f>IF(AND($L735*1&gt;=$G$3,$L735*1&lt;=$G$4,$I735*$J735&gt;0,OR($I735&lt;&gt;$I736,$L735-$L736&gt;25),IF(ABS($I735)&gt;10,$I735/POW(10,$J735),$J735/POW(10,$I735))*MAXIFS(Token!$C:$C,Token!$A:$A,$K735)&gt;0.01),$L735/86400+DATE(1970,1,1)+$G$6,)</f>
        <v/>
      </c>
      <c r="B735" s="27" t="str">
        <f t="shared" si="1"/>
        <v/>
      </c>
      <c r="C735" s="14" t="str">
        <f>IF($A735&lt;&gt;"",MINIFS(Merchant!$A:$A,Merchant!$B:$B,$G$2),)</f>
        <v/>
      </c>
      <c r="D735" s="14" t="str">
        <f t="shared" si="2"/>
        <v/>
      </c>
      <c r="E735" s="14" t="str">
        <f t="shared" si="3"/>
        <v/>
      </c>
      <c r="F735" s="7" t="str">
        <f>IF($A735&lt;&gt;"",MAXIFS(Token!$C:$C,Token!$A:$A,$D735),)</f>
        <v/>
      </c>
    </row>
    <row r="736">
      <c r="A736" s="39" t="str">
        <f>IF(AND($L736*1&gt;=$G$3,$L736*1&lt;=$G$4,$I736*$J736&gt;0,OR($I736&lt;&gt;$I737,$L736-$L737&gt;25),IF(ABS($I736)&gt;10,$I736/POW(10,$J736),$J736/POW(10,$I736))*MAXIFS(Token!$C:$C,Token!$A:$A,$K736)&gt;0.01),$L736/86400+DATE(1970,1,1)+$G$6,)</f>
        <v/>
      </c>
      <c r="B736" s="27" t="str">
        <f t="shared" si="1"/>
        <v/>
      </c>
      <c r="C736" s="14" t="str">
        <f>IF($A736&lt;&gt;"",MINIFS(Merchant!$A:$A,Merchant!$B:$B,$G$2),)</f>
        <v/>
      </c>
      <c r="D736" s="14" t="str">
        <f t="shared" si="2"/>
        <v/>
      </c>
      <c r="E736" s="14" t="str">
        <f t="shared" si="3"/>
        <v/>
      </c>
      <c r="F736" s="7" t="str">
        <f>IF($A736&lt;&gt;"",MAXIFS(Token!$C:$C,Token!$A:$A,$D736),)</f>
        <v/>
      </c>
    </row>
    <row r="737">
      <c r="A737" s="39" t="str">
        <f>IF(AND($L737*1&gt;=$G$3,$L737*1&lt;=$G$4,$I737*$J737&gt;0,OR($I737&lt;&gt;$I738,$L737-$L738&gt;25),IF(ABS($I737)&gt;10,$I737/POW(10,$J737),$J737/POW(10,$I737))*MAXIFS(Token!$C:$C,Token!$A:$A,$K737)&gt;0.01),$L737/86400+DATE(1970,1,1)+$G$6,)</f>
        <v/>
      </c>
      <c r="B737" s="27" t="str">
        <f t="shared" si="1"/>
        <v/>
      </c>
      <c r="C737" s="14" t="str">
        <f>IF($A737&lt;&gt;"",MINIFS(Merchant!$A:$A,Merchant!$B:$B,$G$2),)</f>
        <v/>
      </c>
      <c r="D737" s="14" t="str">
        <f t="shared" si="2"/>
        <v/>
      </c>
      <c r="E737" s="14" t="str">
        <f t="shared" si="3"/>
        <v/>
      </c>
      <c r="F737" s="7" t="str">
        <f>IF($A737&lt;&gt;"",MAXIFS(Token!$C:$C,Token!$A:$A,$D737),)</f>
        <v/>
      </c>
    </row>
    <row r="738">
      <c r="A738" s="39" t="str">
        <f>IF(AND($L738*1&gt;=$G$3,$L738*1&lt;=$G$4,$I738*$J738&gt;0,OR($I738&lt;&gt;$I739,$L738-$L739&gt;25),IF(ABS($I738)&gt;10,$I738/POW(10,$J738),$J738/POW(10,$I738))*MAXIFS(Token!$C:$C,Token!$A:$A,$K738)&gt;0.01),$L738/86400+DATE(1970,1,1)+$G$6,)</f>
        <v/>
      </c>
      <c r="B738" s="27" t="str">
        <f t="shared" si="1"/>
        <v/>
      </c>
      <c r="C738" s="14" t="str">
        <f>IF($A738&lt;&gt;"",MINIFS(Merchant!$A:$A,Merchant!$B:$B,$G$2),)</f>
        <v/>
      </c>
      <c r="D738" s="14" t="str">
        <f t="shared" si="2"/>
        <v/>
      </c>
      <c r="E738" s="14" t="str">
        <f t="shared" si="3"/>
        <v/>
      </c>
      <c r="F738" s="7" t="str">
        <f>IF($A738&lt;&gt;"",MAXIFS(Token!$C:$C,Token!$A:$A,$D738),)</f>
        <v/>
      </c>
    </row>
    <row r="739">
      <c r="A739" s="39" t="str">
        <f>IF(AND($L739*1&gt;=$G$3,$L739*1&lt;=$G$4,$I739*$J739&gt;0,OR($I739&lt;&gt;$I740,$L739-$L740&gt;25),IF(ABS($I739)&gt;10,$I739/POW(10,$J739),$J739/POW(10,$I739))*MAXIFS(Token!$C:$C,Token!$A:$A,$K739)&gt;0.01),$L739/86400+DATE(1970,1,1)+$G$6,)</f>
        <v/>
      </c>
      <c r="B739" s="27" t="str">
        <f t="shared" si="1"/>
        <v/>
      </c>
      <c r="C739" s="14" t="str">
        <f>IF($A739&lt;&gt;"",MINIFS(Merchant!$A:$A,Merchant!$B:$B,$G$2),)</f>
        <v/>
      </c>
      <c r="D739" s="14" t="str">
        <f t="shared" si="2"/>
        <v/>
      </c>
      <c r="E739" s="14" t="str">
        <f t="shared" si="3"/>
        <v/>
      </c>
      <c r="F739" s="7" t="str">
        <f>IF($A739&lt;&gt;"",MAXIFS(Token!$C:$C,Token!$A:$A,$D739),)</f>
        <v/>
      </c>
    </row>
    <row r="740">
      <c r="A740" s="39" t="str">
        <f>IF(AND($L740*1&gt;=$G$3,$L740*1&lt;=$G$4,$I740*$J740&gt;0,OR($I740&lt;&gt;$I741,$L740-$L741&gt;25),IF(ABS($I740)&gt;10,$I740/POW(10,$J740),$J740/POW(10,$I740))*MAXIFS(Token!$C:$C,Token!$A:$A,$K740)&gt;0.01),$L740/86400+DATE(1970,1,1)+$G$6,)</f>
        <v/>
      </c>
      <c r="B740" s="27" t="str">
        <f t="shared" si="1"/>
        <v/>
      </c>
      <c r="C740" s="14" t="str">
        <f>IF($A740&lt;&gt;"",MINIFS(Merchant!$A:$A,Merchant!$B:$B,$G$2),)</f>
        <v/>
      </c>
      <c r="D740" s="14" t="str">
        <f t="shared" si="2"/>
        <v/>
      </c>
      <c r="E740" s="14" t="str">
        <f t="shared" si="3"/>
        <v/>
      </c>
      <c r="F740" s="7" t="str">
        <f>IF($A740&lt;&gt;"",MAXIFS(Token!$C:$C,Token!$A:$A,$D740),)</f>
        <v/>
      </c>
    </row>
    <row r="741">
      <c r="A741" s="39" t="str">
        <f>IF(AND($L741*1&gt;=$G$3,$L741*1&lt;=$G$4,$I741*$J741&gt;0,OR($I741&lt;&gt;$I742,$L741-$L742&gt;25),IF(ABS($I741)&gt;10,$I741/POW(10,$J741),$J741/POW(10,$I741))*MAXIFS(Token!$C:$C,Token!$A:$A,$K741)&gt;0.01),$L741/86400+DATE(1970,1,1)+$G$6,)</f>
        <v/>
      </c>
      <c r="B741" s="27" t="str">
        <f t="shared" si="1"/>
        <v/>
      </c>
      <c r="C741" s="14" t="str">
        <f>IF($A741&lt;&gt;"",MINIFS(Merchant!$A:$A,Merchant!$B:$B,$G$2),)</f>
        <v/>
      </c>
      <c r="D741" s="14" t="str">
        <f t="shared" si="2"/>
        <v/>
      </c>
      <c r="E741" s="14" t="str">
        <f t="shared" si="3"/>
        <v/>
      </c>
      <c r="F741" s="7" t="str">
        <f>IF($A741&lt;&gt;"",MAXIFS(Token!$C:$C,Token!$A:$A,$D741),)</f>
        <v/>
      </c>
    </row>
    <row r="742">
      <c r="A742" s="39" t="str">
        <f>IF(AND($L742*1&gt;=$G$3,$L742*1&lt;=$G$4,$I742*$J742&gt;0,OR($I742&lt;&gt;$I743,$L742-$L743&gt;25),IF(ABS($I742)&gt;10,$I742/POW(10,$J742),$J742/POW(10,$I742))*MAXIFS(Token!$C:$C,Token!$A:$A,$K742)&gt;0.01),$L742/86400+DATE(1970,1,1)+$G$6,)</f>
        <v/>
      </c>
      <c r="B742" s="27" t="str">
        <f t="shared" si="1"/>
        <v/>
      </c>
      <c r="C742" s="14" t="str">
        <f>IF($A742&lt;&gt;"",MINIFS(Merchant!$A:$A,Merchant!$B:$B,$G$2),)</f>
        <v/>
      </c>
      <c r="D742" s="14" t="str">
        <f t="shared" si="2"/>
        <v/>
      </c>
      <c r="E742" s="14" t="str">
        <f t="shared" si="3"/>
        <v/>
      </c>
      <c r="F742" s="7" t="str">
        <f>IF($A742&lt;&gt;"",MAXIFS(Token!$C:$C,Token!$A:$A,$D742),)</f>
        <v/>
      </c>
    </row>
    <row r="743">
      <c r="A743" s="39" t="str">
        <f>IF(AND($L743*1&gt;=$G$3,$L743*1&lt;=$G$4,$I743*$J743&gt;0,OR($I743&lt;&gt;$I744,$L743-$L744&gt;25),IF(ABS($I743)&gt;10,$I743/POW(10,$J743),$J743/POW(10,$I743))*MAXIFS(Token!$C:$C,Token!$A:$A,$K743)&gt;0.01),$L743/86400+DATE(1970,1,1)+$G$6,)</f>
        <v/>
      </c>
      <c r="B743" s="27" t="str">
        <f t="shared" si="1"/>
        <v/>
      </c>
      <c r="C743" s="14" t="str">
        <f>IF($A743&lt;&gt;"",MINIFS(Merchant!$A:$A,Merchant!$B:$B,$G$2),)</f>
        <v/>
      </c>
      <c r="D743" s="14" t="str">
        <f t="shared" si="2"/>
        <v/>
      </c>
      <c r="E743" s="14" t="str">
        <f t="shared" si="3"/>
        <v/>
      </c>
      <c r="F743" s="7" t="str">
        <f>IF($A743&lt;&gt;"",MAXIFS(Token!$C:$C,Token!$A:$A,$D743),)</f>
        <v/>
      </c>
    </row>
    <row r="744">
      <c r="A744" s="39" t="str">
        <f>IF(AND($L744*1&gt;=$G$3,$L744*1&lt;=$G$4,$I744*$J744&gt;0,OR($I744&lt;&gt;$I745,$L744-$L745&gt;25),IF(ABS($I744)&gt;10,$I744/POW(10,$J744),$J744/POW(10,$I744))*MAXIFS(Token!$C:$C,Token!$A:$A,$K744)&gt;0.01),$L744/86400+DATE(1970,1,1)+$G$6,)</f>
        <v/>
      </c>
      <c r="B744" s="27" t="str">
        <f t="shared" si="1"/>
        <v/>
      </c>
      <c r="C744" s="14" t="str">
        <f>IF($A744&lt;&gt;"",MINIFS(Merchant!$A:$A,Merchant!$B:$B,$G$2),)</f>
        <v/>
      </c>
      <c r="D744" s="14" t="str">
        <f t="shared" si="2"/>
        <v/>
      </c>
      <c r="E744" s="14" t="str">
        <f t="shared" si="3"/>
        <v/>
      </c>
      <c r="F744" s="7" t="str">
        <f>IF($A744&lt;&gt;"",MAXIFS(Token!$C:$C,Token!$A:$A,$D744),)</f>
        <v/>
      </c>
    </row>
    <row r="745">
      <c r="A745" s="39" t="str">
        <f>IF(AND($L745*1&gt;=$G$3,$L745*1&lt;=$G$4,$I745*$J745&gt;0,OR($I745&lt;&gt;$I746,$L745-$L746&gt;25),IF(ABS($I745)&gt;10,$I745/POW(10,$J745),$J745/POW(10,$I745))*MAXIFS(Token!$C:$C,Token!$A:$A,$K745)&gt;0.01),$L745/86400+DATE(1970,1,1)+$G$6,)</f>
        <v/>
      </c>
      <c r="B745" s="27" t="str">
        <f t="shared" si="1"/>
        <v/>
      </c>
      <c r="C745" s="14" t="str">
        <f>IF($A745&lt;&gt;"",MINIFS(Merchant!$A:$A,Merchant!$B:$B,$G$2),)</f>
        <v/>
      </c>
      <c r="D745" s="14" t="str">
        <f t="shared" si="2"/>
        <v/>
      </c>
      <c r="E745" s="14" t="str">
        <f t="shared" si="3"/>
        <v/>
      </c>
      <c r="F745" s="7" t="str">
        <f>IF($A745&lt;&gt;"",MAXIFS(Token!$C:$C,Token!$A:$A,$D745),)</f>
        <v/>
      </c>
    </row>
    <row r="746">
      <c r="A746" s="39" t="str">
        <f>IF(AND($L746*1&gt;=$G$3,$L746*1&lt;=$G$4,$I746*$J746&gt;0,OR($I746&lt;&gt;$I747,$L746-$L747&gt;25),IF(ABS($I746)&gt;10,$I746/POW(10,$J746),$J746/POW(10,$I746))*MAXIFS(Token!$C:$C,Token!$A:$A,$K746)&gt;0.01),$L746/86400+DATE(1970,1,1)+$G$6,)</f>
        <v/>
      </c>
      <c r="B746" s="27" t="str">
        <f t="shared" si="1"/>
        <v/>
      </c>
      <c r="C746" s="14" t="str">
        <f>IF($A746&lt;&gt;"",MINIFS(Merchant!$A:$A,Merchant!$B:$B,$G$2),)</f>
        <v/>
      </c>
      <c r="D746" s="14" t="str">
        <f t="shared" si="2"/>
        <v/>
      </c>
      <c r="E746" s="14" t="str">
        <f t="shared" si="3"/>
        <v/>
      </c>
      <c r="F746" s="7" t="str">
        <f>IF($A746&lt;&gt;"",MAXIFS(Token!$C:$C,Token!$A:$A,$D746),)</f>
        <v/>
      </c>
    </row>
    <row r="747">
      <c r="A747" s="39" t="str">
        <f>IF(AND($L747*1&gt;=$G$3,$L747*1&lt;=$G$4,$I747*$J747&gt;0,OR($I747&lt;&gt;$I748,$L747-$L748&gt;25),IF(ABS($I747)&gt;10,$I747/POW(10,$J747),$J747/POW(10,$I747))*MAXIFS(Token!$C:$C,Token!$A:$A,$K747)&gt;0.01),$L747/86400+DATE(1970,1,1)+$G$6,)</f>
        <v/>
      </c>
      <c r="B747" s="27" t="str">
        <f t="shared" si="1"/>
        <v/>
      </c>
      <c r="C747" s="14" t="str">
        <f>IF($A747&lt;&gt;"",MINIFS(Merchant!$A:$A,Merchant!$B:$B,$G$2),)</f>
        <v/>
      </c>
      <c r="D747" s="14" t="str">
        <f t="shared" si="2"/>
        <v/>
      </c>
      <c r="E747" s="14" t="str">
        <f t="shared" si="3"/>
        <v/>
      </c>
      <c r="F747" s="7" t="str">
        <f>IF($A747&lt;&gt;"",MAXIFS(Token!$C:$C,Token!$A:$A,$D747),)</f>
        <v/>
      </c>
    </row>
    <row r="748">
      <c r="A748" s="39" t="str">
        <f>IF(AND($L748*1&gt;=$G$3,$L748*1&lt;=$G$4,$I748*$J748&gt;0,OR($I748&lt;&gt;$I749,$L748-$L749&gt;25),IF(ABS($I748)&gt;10,$I748/POW(10,$J748),$J748/POW(10,$I748))*MAXIFS(Token!$C:$C,Token!$A:$A,$K748)&gt;0.01),$L748/86400+DATE(1970,1,1)+$G$6,)</f>
        <v/>
      </c>
      <c r="B748" s="27" t="str">
        <f t="shared" si="1"/>
        <v/>
      </c>
      <c r="C748" s="14" t="str">
        <f>IF($A748&lt;&gt;"",MINIFS(Merchant!$A:$A,Merchant!$B:$B,$G$2),)</f>
        <v/>
      </c>
      <c r="D748" s="14" t="str">
        <f t="shared" si="2"/>
        <v/>
      </c>
      <c r="E748" s="14" t="str">
        <f t="shared" si="3"/>
        <v/>
      </c>
      <c r="F748" s="7" t="str">
        <f>IF($A748&lt;&gt;"",MAXIFS(Token!$C:$C,Token!$A:$A,$D748),)</f>
        <v/>
      </c>
    </row>
    <row r="749">
      <c r="A749" s="39" t="str">
        <f>IF(AND($L749*1&gt;=$G$3,$L749*1&lt;=$G$4,$I749*$J749&gt;0,OR($I749&lt;&gt;$I750,$L749-$L750&gt;25),IF(ABS($I749)&gt;10,$I749/POW(10,$J749),$J749/POW(10,$I749))*MAXIFS(Token!$C:$C,Token!$A:$A,$K749)&gt;0.01),$L749/86400+DATE(1970,1,1)+$G$6,)</f>
        <v/>
      </c>
      <c r="B749" s="27" t="str">
        <f t="shared" si="1"/>
        <v/>
      </c>
      <c r="C749" s="14" t="str">
        <f>IF($A749&lt;&gt;"",MINIFS(Merchant!$A:$A,Merchant!$B:$B,$G$2),)</f>
        <v/>
      </c>
      <c r="D749" s="14" t="str">
        <f t="shared" si="2"/>
        <v/>
      </c>
      <c r="E749" s="14" t="str">
        <f t="shared" si="3"/>
        <v/>
      </c>
      <c r="F749" s="7" t="str">
        <f>IF($A749&lt;&gt;"",MAXIFS(Token!$C:$C,Token!$A:$A,$D749),)</f>
        <v/>
      </c>
    </row>
    <row r="750">
      <c r="A750" s="39" t="str">
        <f>IF(AND($L750*1&gt;=$G$3,$L750*1&lt;=$G$4,$I750*$J750&gt;0,OR($I750&lt;&gt;$I751,$L750-$L751&gt;25),IF(ABS($I750)&gt;10,$I750/POW(10,$J750),$J750/POW(10,$I750))*MAXIFS(Token!$C:$C,Token!$A:$A,$K750)&gt;0.01),$L750/86400+DATE(1970,1,1)+$G$6,)</f>
        <v/>
      </c>
      <c r="B750" s="27" t="str">
        <f t="shared" si="1"/>
        <v/>
      </c>
      <c r="C750" s="14" t="str">
        <f>IF($A750&lt;&gt;"",MINIFS(Merchant!$A:$A,Merchant!$B:$B,$G$2),)</f>
        <v/>
      </c>
      <c r="D750" s="14" t="str">
        <f t="shared" si="2"/>
        <v/>
      </c>
      <c r="E750" s="14" t="str">
        <f t="shared" si="3"/>
        <v/>
      </c>
      <c r="F750" s="7" t="str">
        <f>IF($A750&lt;&gt;"",MAXIFS(Token!$C:$C,Token!$A:$A,$D750),)</f>
        <v/>
      </c>
    </row>
    <row r="751">
      <c r="A751" s="39" t="str">
        <f>IF(AND($L751*1&gt;=$G$3,$L751*1&lt;=$G$4,$I751*$J751&gt;0,OR($I751&lt;&gt;$I752,$L751-$L752&gt;25),IF(ABS($I751)&gt;10,$I751/POW(10,$J751),$J751/POW(10,$I751))*MAXIFS(Token!$C:$C,Token!$A:$A,$K751)&gt;0.01),$L751/86400+DATE(1970,1,1)+$G$6,)</f>
        <v/>
      </c>
      <c r="B751" s="27" t="str">
        <f t="shared" si="1"/>
        <v/>
      </c>
      <c r="C751" s="14" t="str">
        <f>IF($A751&lt;&gt;"",MINIFS(Merchant!$A:$A,Merchant!$B:$B,$G$2),)</f>
        <v/>
      </c>
      <c r="D751" s="14" t="str">
        <f t="shared" si="2"/>
        <v/>
      </c>
      <c r="E751" s="14" t="str">
        <f t="shared" si="3"/>
        <v/>
      </c>
      <c r="F751" s="7" t="str">
        <f>IF($A751&lt;&gt;"",MAXIFS(Token!$C:$C,Token!$A:$A,$D751),)</f>
        <v/>
      </c>
    </row>
    <row r="752">
      <c r="A752" s="39" t="str">
        <f>IF(AND($L752*1&gt;=$G$3,$L752*1&lt;=$G$4,$I752*$J752&gt;0,OR($I752&lt;&gt;$I753,$L752-$L753&gt;25),IF(ABS($I752)&gt;10,$I752/POW(10,$J752),$J752/POW(10,$I752))*MAXIFS(Token!$C:$C,Token!$A:$A,$K752)&gt;0.01),$L752/86400+DATE(1970,1,1)+$G$6,)</f>
        <v/>
      </c>
      <c r="B752" s="27" t="str">
        <f t="shared" si="1"/>
        <v/>
      </c>
      <c r="C752" s="14" t="str">
        <f>IF($A752&lt;&gt;"",MINIFS(Merchant!$A:$A,Merchant!$B:$B,$G$2),)</f>
        <v/>
      </c>
      <c r="D752" s="14" t="str">
        <f t="shared" si="2"/>
        <v/>
      </c>
      <c r="E752" s="14" t="str">
        <f t="shared" si="3"/>
        <v/>
      </c>
      <c r="F752" s="7" t="str">
        <f>IF($A752&lt;&gt;"",MAXIFS(Token!$C:$C,Token!$A:$A,$D752),)</f>
        <v/>
      </c>
    </row>
    <row r="753">
      <c r="A753" s="39" t="str">
        <f>IF(AND($L753*1&gt;=$G$3,$L753*1&lt;=$G$4,$I753*$J753&gt;0,OR($I753&lt;&gt;$I754,$L753-$L754&gt;25),IF(ABS($I753)&gt;10,$I753/POW(10,$J753),$J753/POW(10,$I753))*MAXIFS(Token!$C:$C,Token!$A:$A,$K753)&gt;0.01),$L753/86400+DATE(1970,1,1)+$G$6,)</f>
        <v/>
      </c>
      <c r="B753" s="27" t="str">
        <f t="shared" si="1"/>
        <v/>
      </c>
      <c r="C753" s="14" t="str">
        <f>IF($A753&lt;&gt;"",MINIFS(Merchant!$A:$A,Merchant!$B:$B,$G$2),)</f>
        <v/>
      </c>
      <c r="D753" s="14" t="str">
        <f t="shared" si="2"/>
        <v/>
      </c>
      <c r="E753" s="14" t="str">
        <f t="shared" si="3"/>
        <v/>
      </c>
      <c r="F753" s="7" t="str">
        <f>IF($A753&lt;&gt;"",MAXIFS(Token!$C:$C,Token!$A:$A,$D753),)</f>
        <v/>
      </c>
    </row>
    <row r="754">
      <c r="A754" s="39" t="str">
        <f>IF(AND($L754*1&gt;=$G$3,$L754*1&lt;=$G$4,$I754*$J754&gt;0,OR($I754&lt;&gt;$I755,$L754-$L755&gt;25),IF(ABS($I754)&gt;10,$I754/POW(10,$J754),$J754/POW(10,$I754))*MAXIFS(Token!$C:$C,Token!$A:$A,$K754)&gt;0.01),$L754/86400+DATE(1970,1,1)+$G$6,)</f>
        <v/>
      </c>
      <c r="B754" s="27" t="str">
        <f t="shared" si="1"/>
        <v/>
      </c>
      <c r="C754" s="14" t="str">
        <f>IF($A754&lt;&gt;"",MINIFS(Merchant!$A:$A,Merchant!$B:$B,$G$2),)</f>
        <v/>
      </c>
      <c r="D754" s="14" t="str">
        <f t="shared" si="2"/>
        <v/>
      </c>
      <c r="E754" s="14" t="str">
        <f t="shared" si="3"/>
        <v/>
      </c>
      <c r="F754" s="7" t="str">
        <f>IF($A754&lt;&gt;"",MAXIFS(Token!$C:$C,Token!$A:$A,$D754),)</f>
        <v/>
      </c>
    </row>
    <row r="755">
      <c r="A755" s="39" t="str">
        <f>IF(AND($L755*1&gt;=$G$3,$L755*1&lt;=$G$4,$I755*$J755&gt;0,OR($I755&lt;&gt;$I756,$L755-$L756&gt;25),IF(ABS($I755)&gt;10,$I755/POW(10,$J755),$J755/POW(10,$I755))*MAXIFS(Token!$C:$C,Token!$A:$A,$K755)&gt;0.01),$L755/86400+DATE(1970,1,1)+$G$6,)</f>
        <v/>
      </c>
      <c r="B755" s="27" t="str">
        <f t="shared" si="1"/>
        <v/>
      </c>
      <c r="C755" s="14" t="str">
        <f>IF($A755&lt;&gt;"",MINIFS(Merchant!$A:$A,Merchant!$B:$B,$G$2),)</f>
        <v/>
      </c>
      <c r="D755" s="14" t="str">
        <f t="shared" si="2"/>
        <v/>
      </c>
      <c r="E755" s="14" t="str">
        <f t="shared" si="3"/>
        <v/>
      </c>
      <c r="F755" s="7" t="str">
        <f>IF($A755&lt;&gt;"",MAXIFS(Token!$C:$C,Token!$A:$A,$D755),)</f>
        <v/>
      </c>
    </row>
    <row r="756">
      <c r="A756" s="39" t="str">
        <f>IF(AND($L756*1&gt;=$G$3,$L756*1&lt;=$G$4,$I756*$J756&gt;0,OR($I756&lt;&gt;$I757,$L756-$L757&gt;25),IF(ABS($I756)&gt;10,$I756/POW(10,$J756),$J756/POW(10,$I756))*MAXIFS(Token!$C:$C,Token!$A:$A,$K756)&gt;0.01),$L756/86400+DATE(1970,1,1)+$G$6,)</f>
        <v/>
      </c>
      <c r="B756" s="27" t="str">
        <f t="shared" si="1"/>
        <v/>
      </c>
      <c r="C756" s="14" t="str">
        <f>IF($A756&lt;&gt;"",MINIFS(Merchant!$A:$A,Merchant!$B:$B,$G$2),)</f>
        <v/>
      </c>
      <c r="D756" s="14" t="str">
        <f t="shared" si="2"/>
        <v/>
      </c>
      <c r="E756" s="14" t="str">
        <f t="shared" si="3"/>
        <v/>
      </c>
      <c r="F756" s="7" t="str">
        <f>IF($A756&lt;&gt;"",MAXIFS(Token!$C:$C,Token!$A:$A,$D756),)</f>
        <v/>
      </c>
    </row>
    <row r="757">
      <c r="A757" s="39" t="str">
        <f>IF(AND($L757*1&gt;=$G$3,$L757*1&lt;=$G$4,$I757*$J757&gt;0,OR($I757&lt;&gt;$I758,$L757-$L758&gt;25),IF(ABS($I757)&gt;10,$I757/POW(10,$J757),$J757/POW(10,$I757))*MAXIFS(Token!$C:$C,Token!$A:$A,$K757)&gt;0.01),$L757/86400+DATE(1970,1,1)+$G$6,)</f>
        <v/>
      </c>
      <c r="B757" s="27" t="str">
        <f t="shared" si="1"/>
        <v/>
      </c>
      <c r="C757" s="14" t="str">
        <f>IF($A757&lt;&gt;"",MINIFS(Merchant!$A:$A,Merchant!$B:$B,$G$2),)</f>
        <v/>
      </c>
      <c r="D757" s="14" t="str">
        <f t="shared" si="2"/>
        <v/>
      </c>
      <c r="E757" s="14" t="str">
        <f t="shared" si="3"/>
        <v/>
      </c>
      <c r="F757" s="7" t="str">
        <f>IF($A757&lt;&gt;"",MAXIFS(Token!$C:$C,Token!$A:$A,$D757),)</f>
        <v/>
      </c>
    </row>
    <row r="758">
      <c r="A758" s="39" t="str">
        <f>IF(AND($L758*1&gt;=$G$3,$L758*1&lt;=$G$4,$I758*$J758&gt;0,OR($I758&lt;&gt;$I759,$L758-$L759&gt;25),IF(ABS($I758)&gt;10,$I758/POW(10,$J758),$J758/POW(10,$I758))*MAXIFS(Token!$C:$C,Token!$A:$A,$K758)&gt;0.01),$L758/86400+DATE(1970,1,1)+$G$6,)</f>
        <v/>
      </c>
      <c r="B758" s="27" t="str">
        <f t="shared" si="1"/>
        <v/>
      </c>
      <c r="C758" s="14" t="str">
        <f>IF($A758&lt;&gt;"",MINIFS(Merchant!$A:$A,Merchant!$B:$B,$G$2),)</f>
        <v/>
      </c>
      <c r="D758" s="14" t="str">
        <f t="shared" si="2"/>
        <v/>
      </c>
      <c r="E758" s="14" t="str">
        <f t="shared" si="3"/>
        <v/>
      </c>
      <c r="F758" s="7" t="str">
        <f>IF($A758&lt;&gt;"",MAXIFS(Token!$C:$C,Token!$A:$A,$D758),)</f>
        <v/>
      </c>
    </row>
    <row r="759">
      <c r="A759" s="39" t="str">
        <f>IF(AND($L759*1&gt;=$G$3,$L759*1&lt;=$G$4,$I759*$J759&gt;0,OR($I759&lt;&gt;$I760,$L759-$L760&gt;25),IF(ABS($I759)&gt;10,$I759/POW(10,$J759),$J759/POW(10,$I759))*MAXIFS(Token!$C:$C,Token!$A:$A,$K759)&gt;0.01),$L759/86400+DATE(1970,1,1)+$G$6,)</f>
        <v/>
      </c>
      <c r="B759" s="27" t="str">
        <f t="shared" si="1"/>
        <v/>
      </c>
      <c r="C759" s="14" t="str">
        <f>IF($A759&lt;&gt;"",MINIFS(Merchant!$A:$A,Merchant!$B:$B,$G$2),)</f>
        <v/>
      </c>
      <c r="D759" s="14" t="str">
        <f t="shared" si="2"/>
        <v/>
      </c>
      <c r="E759" s="14" t="str">
        <f t="shared" si="3"/>
        <v/>
      </c>
      <c r="F759" s="7" t="str">
        <f>IF($A759&lt;&gt;"",MAXIFS(Token!$C:$C,Token!$A:$A,$D759),)</f>
        <v/>
      </c>
    </row>
    <row r="760">
      <c r="A760" s="39" t="str">
        <f>IF(AND($L760*1&gt;=$G$3,$L760*1&lt;=$G$4,$I760*$J760&gt;0,OR($I760&lt;&gt;$I761,$L760-$L761&gt;25),IF(ABS($I760)&gt;10,$I760/POW(10,$J760),$J760/POW(10,$I760))*MAXIFS(Token!$C:$C,Token!$A:$A,$K760)&gt;0.01),$L760/86400+DATE(1970,1,1)+$G$6,)</f>
        <v/>
      </c>
      <c r="B760" s="27" t="str">
        <f t="shared" si="1"/>
        <v/>
      </c>
      <c r="C760" s="14" t="str">
        <f>IF($A760&lt;&gt;"",MINIFS(Merchant!$A:$A,Merchant!$B:$B,$G$2),)</f>
        <v/>
      </c>
      <c r="D760" s="14" t="str">
        <f t="shared" si="2"/>
        <v/>
      </c>
      <c r="E760" s="14" t="str">
        <f t="shared" si="3"/>
        <v/>
      </c>
      <c r="F760" s="7" t="str">
        <f>IF($A760&lt;&gt;"",MAXIFS(Token!$C:$C,Token!$A:$A,$D760),)</f>
        <v/>
      </c>
    </row>
    <row r="761">
      <c r="A761" s="39" t="str">
        <f>IF(AND($L761*1&gt;=$G$3,$L761*1&lt;=$G$4,$I761*$J761&gt;0,OR($I761&lt;&gt;$I762,$L761-$L762&gt;25),IF(ABS($I761)&gt;10,$I761/POW(10,$J761),$J761/POW(10,$I761))*MAXIFS(Token!$C:$C,Token!$A:$A,$K761)&gt;0.01),$L761/86400+DATE(1970,1,1)+$G$6,)</f>
        <v/>
      </c>
      <c r="B761" s="27" t="str">
        <f t="shared" si="1"/>
        <v/>
      </c>
      <c r="C761" s="14" t="str">
        <f>IF($A761&lt;&gt;"",MINIFS(Merchant!$A:$A,Merchant!$B:$B,$G$2),)</f>
        <v/>
      </c>
      <c r="D761" s="14" t="str">
        <f t="shared" si="2"/>
        <v/>
      </c>
      <c r="E761" s="14" t="str">
        <f t="shared" si="3"/>
        <v/>
      </c>
      <c r="F761" s="7" t="str">
        <f>IF($A761&lt;&gt;"",MAXIFS(Token!$C:$C,Token!$A:$A,$D761),)</f>
        <v/>
      </c>
    </row>
    <row r="762">
      <c r="A762" s="39" t="str">
        <f>IF(AND($L762*1&gt;=$G$3,$L762*1&lt;=$G$4,$I762*$J762&gt;0,OR($I762&lt;&gt;$I763,$L762-$L763&gt;25),IF(ABS($I762)&gt;10,$I762/POW(10,$J762),$J762/POW(10,$I762))*MAXIFS(Token!$C:$C,Token!$A:$A,$K762)&gt;0.01),$L762/86400+DATE(1970,1,1)+$G$6,)</f>
        <v/>
      </c>
      <c r="B762" s="27" t="str">
        <f t="shared" si="1"/>
        <v/>
      </c>
      <c r="C762" s="14" t="str">
        <f>IF($A762&lt;&gt;"",MINIFS(Merchant!$A:$A,Merchant!$B:$B,$G$2),)</f>
        <v/>
      </c>
      <c r="D762" s="14" t="str">
        <f t="shared" si="2"/>
        <v/>
      </c>
      <c r="E762" s="14" t="str">
        <f t="shared" si="3"/>
        <v/>
      </c>
      <c r="F762" s="7" t="str">
        <f>IF($A762&lt;&gt;"",MAXIFS(Token!$C:$C,Token!$A:$A,$D762),)</f>
        <v/>
      </c>
    </row>
    <row r="763">
      <c r="A763" s="39" t="str">
        <f>IF(AND($L763*1&gt;=$G$3,$L763*1&lt;=$G$4,$I763*$J763&gt;0,OR($I763&lt;&gt;$I764,$L763-$L764&gt;25),IF(ABS($I763)&gt;10,$I763/POW(10,$J763),$J763/POW(10,$I763))*MAXIFS(Token!$C:$C,Token!$A:$A,$K763)&gt;0.01),$L763/86400+DATE(1970,1,1)+$G$6,)</f>
        <v/>
      </c>
      <c r="B763" s="27" t="str">
        <f t="shared" si="1"/>
        <v/>
      </c>
      <c r="C763" s="14" t="str">
        <f>IF($A763&lt;&gt;"",MINIFS(Merchant!$A:$A,Merchant!$B:$B,$G$2),)</f>
        <v/>
      </c>
      <c r="D763" s="14" t="str">
        <f t="shared" si="2"/>
        <v/>
      </c>
      <c r="E763" s="14" t="str">
        <f t="shared" si="3"/>
        <v/>
      </c>
      <c r="F763" s="7" t="str">
        <f>IF($A763&lt;&gt;"",MAXIFS(Token!$C:$C,Token!$A:$A,$D763),)</f>
        <v/>
      </c>
    </row>
    <row r="764">
      <c r="A764" s="39" t="str">
        <f>IF(AND($L764*1&gt;=$G$3,$L764*1&lt;=$G$4,$I764*$J764&gt;0,OR($I764&lt;&gt;$I765,$L764-$L765&gt;25),IF(ABS($I764)&gt;10,$I764/POW(10,$J764),$J764/POW(10,$I764))*MAXIFS(Token!$C:$C,Token!$A:$A,$K764)&gt;0.01),$L764/86400+DATE(1970,1,1)+$G$6,)</f>
        <v/>
      </c>
      <c r="B764" s="27" t="str">
        <f t="shared" si="1"/>
        <v/>
      </c>
      <c r="C764" s="14" t="str">
        <f>IF($A764&lt;&gt;"",MINIFS(Merchant!$A:$A,Merchant!$B:$B,$G$2),)</f>
        <v/>
      </c>
      <c r="D764" s="14" t="str">
        <f t="shared" si="2"/>
        <v/>
      </c>
      <c r="E764" s="14" t="str">
        <f t="shared" si="3"/>
        <v/>
      </c>
      <c r="F764" s="7" t="str">
        <f>IF($A764&lt;&gt;"",MAXIFS(Token!$C:$C,Token!$A:$A,$D764),)</f>
        <v/>
      </c>
    </row>
    <row r="765">
      <c r="A765" s="39" t="str">
        <f>IF(AND($L765*1&gt;=$G$3,$L765*1&lt;=$G$4,$I765*$J765&gt;0,OR($I765&lt;&gt;$I766,$L765-$L766&gt;25),IF(ABS($I765)&gt;10,$I765/POW(10,$J765),$J765/POW(10,$I765))*MAXIFS(Token!$C:$C,Token!$A:$A,$K765)&gt;0.01),$L765/86400+DATE(1970,1,1)+$G$6,)</f>
        <v/>
      </c>
      <c r="B765" s="27" t="str">
        <f t="shared" si="1"/>
        <v/>
      </c>
      <c r="C765" s="14" t="str">
        <f>IF($A765&lt;&gt;"",MINIFS(Merchant!$A:$A,Merchant!$B:$B,$G$2),)</f>
        <v/>
      </c>
      <c r="D765" s="14" t="str">
        <f t="shared" si="2"/>
        <v/>
      </c>
      <c r="E765" s="14" t="str">
        <f t="shared" si="3"/>
        <v/>
      </c>
      <c r="F765" s="7" t="str">
        <f>IF($A765&lt;&gt;"",MAXIFS(Token!$C:$C,Token!$A:$A,$D765),)</f>
        <v/>
      </c>
    </row>
    <row r="766">
      <c r="A766" s="39" t="str">
        <f>IF(AND($L766*1&gt;=$G$3,$L766*1&lt;=$G$4,$I766*$J766&gt;0,OR($I766&lt;&gt;$I767,$L766-$L767&gt;25),IF(ABS($I766)&gt;10,$I766/POW(10,$J766),$J766/POW(10,$I766))*MAXIFS(Token!$C:$C,Token!$A:$A,$K766)&gt;0.01),$L766/86400+DATE(1970,1,1)+$G$6,)</f>
        <v/>
      </c>
      <c r="B766" s="27" t="str">
        <f t="shared" si="1"/>
        <v/>
      </c>
      <c r="C766" s="14" t="str">
        <f>IF($A766&lt;&gt;"",MINIFS(Merchant!$A:$A,Merchant!$B:$B,$G$2),)</f>
        <v/>
      </c>
      <c r="D766" s="14" t="str">
        <f t="shared" si="2"/>
        <v/>
      </c>
      <c r="E766" s="14" t="str">
        <f t="shared" si="3"/>
        <v/>
      </c>
      <c r="F766" s="7" t="str">
        <f>IF($A766&lt;&gt;"",MAXIFS(Token!$C:$C,Token!$A:$A,$D766),)</f>
        <v/>
      </c>
    </row>
    <row r="767">
      <c r="A767" s="39" t="str">
        <f>IF(AND($L767*1&gt;=$G$3,$L767*1&lt;=$G$4,$I767*$J767&gt;0,OR($I767&lt;&gt;$I768,$L767-$L768&gt;25),IF(ABS($I767)&gt;10,$I767/POW(10,$J767),$J767/POW(10,$I767))*MAXIFS(Token!$C:$C,Token!$A:$A,$K767)&gt;0.01),$L767/86400+DATE(1970,1,1)+$G$6,)</f>
        <v/>
      </c>
      <c r="B767" s="27" t="str">
        <f t="shared" si="1"/>
        <v/>
      </c>
      <c r="C767" s="14" t="str">
        <f>IF($A767&lt;&gt;"",MINIFS(Merchant!$A:$A,Merchant!$B:$B,$G$2),)</f>
        <v/>
      </c>
      <c r="D767" s="14" t="str">
        <f t="shared" si="2"/>
        <v/>
      </c>
      <c r="E767" s="14" t="str">
        <f t="shared" si="3"/>
        <v/>
      </c>
      <c r="F767" s="7" t="str">
        <f>IF($A767&lt;&gt;"",MAXIFS(Token!$C:$C,Token!$A:$A,$D767),)</f>
        <v/>
      </c>
    </row>
    <row r="768">
      <c r="A768" s="39" t="str">
        <f>IF(AND($L768*1&gt;=$G$3,$L768*1&lt;=$G$4,$I768*$J768&gt;0,OR($I768&lt;&gt;$I769,$L768-$L769&gt;25),IF(ABS($I768)&gt;10,$I768/POW(10,$J768),$J768/POW(10,$I768))*MAXIFS(Token!$C:$C,Token!$A:$A,$K768)&gt;0.01),$L768/86400+DATE(1970,1,1)+$G$6,)</f>
        <v/>
      </c>
      <c r="B768" s="27" t="str">
        <f t="shared" si="1"/>
        <v/>
      </c>
      <c r="C768" s="14" t="str">
        <f>IF($A768&lt;&gt;"",MINIFS(Merchant!$A:$A,Merchant!$B:$B,$G$2),)</f>
        <v/>
      </c>
      <c r="D768" s="14" t="str">
        <f t="shared" si="2"/>
        <v/>
      </c>
      <c r="E768" s="14" t="str">
        <f t="shared" si="3"/>
        <v/>
      </c>
      <c r="F768" s="7" t="str">
        <f>IF($A768&lt;&gt;"",MAXIFS(Token!$C:$C,Token!$A:$A,$D768),)</f>
        <v/>
      </c>
    </row>
    <row r="769">
      <c r="A769" s="39" t="str">
        <f>IF(AND($L769*1&gt;=$G$3,$L769*1&lt;=$G$4,$I769*$J769&gt;0,OR($I769&lt;&gt;$I770,$L769-$L770&gt;25),IF(ABS($I769)&gt;10,$I769/POW(10,$J769),$J769/POW(10,$I769))*MAXIFS(Token!$C:$C,Token!$A:$A,$K769)&gt;0.01),$L769/86400+DATE(1970,1,1)+$G$6,)</f>
        <v/>
      </c>
      <c r="B769" s="27" t="str">
        <f t="shared" si="1"/>
        <v/>
      </c>
      <c r="C769" s="14" t="str">
        <f>IF($A769&lt;&gt;"",MINIFS(Merchant!$A:$A,Merchant!$B:$B,$G$2),)</f>
        <v/>
      </c>
      <c r="D769" s="14" t="str">
        <f t="shared" si="2"/>
        <v/>
      </c>
      <c r="E769" s="14" t="str">
        <f t="shared" si="3"/>
        <v/>
      </c>
      <c r="F769" s="7" t="str">
        <f>IF($A769&lt;&gt;"",MAXIFS(Token!$C:$C,Token!$A:$A,$D769),)</f>
        <v/>
      </c>
    </row>
    <row r="770">
      <c r="A770" s="39" t="str">
        <f>IF(AND($L770*1&gt;=$G$3,$L770*1&lt;=$G$4,$I770*$J770&gt;0,OR($I770&lt;&gt;$I771,$L770-$L771&gt;25),IF(ABS($I770)&gt;10,$I770/POW(10,$J770),$J770/POW(10,$I770))*MAXIFS(Token!$C:$C,Token!$A:$A,$K770)&gt;0.01),$L770/86400+DATE(1970,1,1)+$G$6,)</f>
        <v/>
      </c>
      <c r="B770" s="27" t="str">
        <f t="shared" si="1"/>
        <v/>
      </c>
      <c r="C770" s="14" t="str">
        <f>IF($A770&lt;&gt;"",MINIFS(Merchant!$A:$A,Merchant!$B:$B,$G$2),)</f>
        <v/>
      </c>
      <c r="D770" s="14" t="str">
        <f t="shared" si="2"/>
        <v/>
      </c>
      <c r="E770" s="14" t="str">
        <f t="shared" si="3"/>
        <v/>
      </c>
      <c r="F770" s="7" t="str">
        <f>IF($A770&lt;&gt;"",MAXIFS(Token!$C:$C,Token!$A:$A,$D770),)</f>
        <v/>
      </c>
    </row>
    <row r="771">
      <c r="A771" s="39" t="str">
        <f>IF(AND($L771*1&gt;=$G$3,$L771*1&lt;=$G$4,$I771*$J771&gt;0,OR($I771&lt;&gt;$I772,$L771-$L772&gt;25),IF(ABS($I771)&gt;10,$I771/POW(10,$J771),$J771/POW(10,$I771))*MAXIFS(Token!$C:$C,Token!$A:$A,$K771)&gt;0.01),$L771/86400+DATE(1970,1,1)+$G$6,)</f>
        <v/>
      </c>
      <c r="B771" s="27" t="str">
        <f t="shared" si="1"/>
        <v/>
      </c>
      <c r="C771" s="14" t="str">
        <f>IF($A771&lt;&gt;"",MINIFS(Merchant!$A:$A,Merchant!$B:$B,$G$2),)</f>
        <v/>
      </c>
      <c r="D771" s="14" t="str">
        <f t="shared" si="2"/>
        <v/>
      </c>
      <c r="E771" s="14" t="str">
        <f t="shared" si="3"/>
        <v/>
      </c>
      <c r="F771" s="7" t="str">
        <f>IF($A771&lt;&gt;"",MAXIFS(Token!$C:$C,Token!$A:$A,$D771),)</f>
        <v/>
      </c>
    </row>
    <row r="772">
      <c r="A772" s="39" t="str">
        <f>IF(AND($L772*1&gt;=$G$3,$L772*1&lt;=$G$4,$I772*$J772&gt;0,OR($I772&lt;&gt;$I773,$L772-$L773&gt;25),IF(ABS($I772)&gt;10,$I772/POW(10,$J772),$J772/POW(10,$I772))*MAXIFS(Token!$C:$C,Token!$A:$A,$K772)&gt;0.01),$L772/86400+DATE(1970,1,1)+$G$6,)</f>
        <v/>
      </c>
      <c r="B772" s="27" t="str">
        <f t="shared" si="1"/>
        <v/>
      </c>
      <c r="C772" s="14" t="str">
        <f>IF($A772&lt;&gt;"",MINIFS(Merchant!$A:$A,Merchant!$B:$B,$G$2),)</f>
        <v/>
      </c>
      <c r="D772" s="14" t="str">
        <f t="shared" si="2"/>
        <v/>
      </c>
      <c r="E772" s="14" t="str">
        <f t="shared" si="3"/>
        <v/>
      </c>
      <c r="F772" s="7" t="str">
        <f>IF($A772&lt;&gt;"",MAXIFS(Token!$C:$C,Token!$A:$A,$D772),)</f>
        <v/>
      </c>
    </row>
    <row r="773">
      <c r="A773" s="39" t="str">
        <f>IF(AND($L773*1&gt;=$G$3,$L773*1&lt;=$G$4,$I773*$J773&gt;0,OR($I773&lt;&gt;$I774,$L773-$L774&gt;25),IF(ABS($I773)&gt;10,$I773/POW(10,$J773),$J773/POW(10,$I773))*MAXIFS(Token!$C:$C,Token!$A:$A,$K773)&gt;0.01),$L773/86400+DATE(1970,1,1)+$G$6,)</f>
        <v/>
      </c>
      <c r="B773" s="27" t="str">
        <f t="shared" si="1"/>
        <v/>
      </c>
      <c r="C773" s="14" t="str">
        <f>IF($A773&lt;&gt;"",MINIFS(Merchant!$A:$A,Merchant!$B:$B,$G$2),)</f>
        <v/>
      </c>
      <c r="D773" s="14" t="str">
        <f t="shared" si="2"/>
        <v/>
      </c>
      <c r="E773" s="14" t="str">
        <f t="shared" si="3"/>
        <v/>
      </c>
      <c r="F773" s="7" t="str">
        <f>IF($A773&lt;&gt;"",MAXIFS(Token!$C:$C,Token!$A:$A,$D773),)</f>
        <v/>
      </c>
    </row>
    <row r="774">
      <c r="A774" s="39" t="str">
        <f>IF(AND($L774*1&gt;=$G$3,$L774*1&lt;=$G$4,$I774*$J774&gt;0,OR($I774&lt;&gt;$I775,$L774-$L775&gt;25),IF(ABS($I774)&gt;10,$I774/POW(10,$J774),$J774/POW(10,$I774))*MAXIFS(Token!$C:$C,Token!$A:$A,$K774)&gt;0.01),$L774/86400+DATE(1970,1,1)+$G$6,)</f>
        <v/>
      </c>
      <c r="B774" s="27" t="str">
        <f t="shared" si="1"/>
        <v/>
      </c>
      <c r="C774" s="14" t="str">
        <f>IF($A774&lt;&gt;"",MINIFS(Merchant!$A:$A,Merchant!$B:$B,$G$2),)</f>
        <v/>
      </c>
      <c r="D774" s="14" t="str">
        <f t="shared" si="2"/>
        <v/>
      </c>
      <c r="E774" s="14" t="str">
        <f t="shared" si="3"/>
        <v/>
      </c>
      <c r="F774" s="7" t="str">
        <f>IF($A774&lt;&gt;"",MAXIFS(Token!$C:$C,Token!$A:$A,$D774),)</f>
        <v/>
      </c>
    </row>
    <row r="775">
      <c r="A775" s="39" t="str">
        <f>IF(AND($L775*1&gt;=$G$3,$L775*1&lt;=$G$4,$I775*$J775&gt;0,OR($I775&lt;&gt;$I776,$L775-$L776&gt;25),IF(ABS($I775)&gt;10,$I775/POW(10,$J775),$J775/POW(10,$I775))*MAXIFS(Token!$C:$C,Token!$A:$A,$K775)&gt;0.01),$L775/86400+DATE(1970,1,1)+$G$6,)</f>
        <v/>
      </c>
      <c r="B775" s="27" t="str">
        <f t="shared" si="1"/>
        <v/>
      </c>
      <c r="C775" s="14" t="str">
        <f>IF($A775&lt;&gt;"",MINIFS(Merchant!$A:$A,Merchant!$B:$B,$G$2),)</f>
        <v/>
      </c>
      <c r="D775" s="14" t="str">
        <f t="shared" si="2"/>
        <v/>
      </c>
      <c r="E775" s="14" t="str">
        <f t="shared" si="3"/>
        <v/>
      </c>
      <c r="F775" s="7" t="str">
        <f>IF($A775&lt;&gt;"",MAXIFS(Token!$C:$C,Token!$A:$A,$D775),)</f>
        <v/>
      </c>
    </row>
    <row r="776">
      <c r="A776" s="39" t="str">
        <f>IF(AND($L776*1&gt;=$G$3,$L776*1&lt;=$G$4,$I776*$J776&gt;0,OR($I776&lt;&gt;$I777,$L776-$L777&gt;25),IF(ABS($I776)&gt;10,$I776/POW(10,$J776),$J776/POW(10,$I776))*MAXIFS(Token!$C:$C,Token!$A:$A,$K776)&gt;0.01),$L776/86400+DATE(1970,1,1)+$G$6,)</f>
        <v/>
      </c>
      <c r="B776" s="27" t="str">
        <f t="shared" si="1"/>
        <v/>
      </c>
      <c r="C776" s="14" t="str">
        <f>IF($A776&lt;&gt;"",MINIFS(Merchant!$A:$A,Merchant!$B:$B,$G$2),)</f>
        <v/>
      </c>
      <c r="D776" s="14" t="str">
        <f t="shared" si="2"/>
        <v/>
      </c>
      <c r="E776" s="14" t="str">
        <f t="shared" si="3"/>
        <v/>
      </c>
      <c r="F776" s="7" t="str">
        <f>IF($A776&lt;&gt;"",MAXIFS(Token!$C:$C,Token!$A:$A,$D776),)</f>
        <v/>
      </c>
    </row>
    <row r="777">
      <c r="A777" s="39" t="str">
        <f>IF(AND($L777*1&gt;=$G$3,$L777*1&lt;=$G$4,$I777*$J777&gt;0,OR($I777&lt;&gt;$I778,$L777-$L778&gt;25),IF(ABS($I777)&gt;10,$I777/POW(10,$J777),$J777/POW(10,$I777))*MAXIFS(Token!$C:$C,Token!$A:$A,$K777)&gt;0.01),$L777/86400+DATE(1970,1,1)+$G$6,)</f>
        <v/>
      </c>
      <c r="B777" s="27" t="str">
        <f t="shared" si="1"/>
        <v/>
      </c>
      <c r="C777" s="14" t="str">
        <f>IF($A777&lt;&gt;"",MINIFS(Merchant!$A:$A,Merchant!$B:$B,$G$2),)</f>
        <v/>
      </c>
      <c r="D777" s="14" t="str">
        <f t="shared" si="2"/>
        <v/>
      </c>
      <c r="E777" s="14" t="str">
        <f t="shared" si="3"/>
        <v/>
      </c>
      <c r="F777" s="7" t="str">
        <f>IF($A777&lt;&gt;"",MAXIFS(Token!$C:$C,Token!$A:$A,$D777),)</f>
        <v/>
      </c>
    </row>
    <row r="778">
      <c r="A778" s="39" t="str">
        <f>IF(AND($L778*1&gt;=$G$3,$L778*1&lt;=$G$4,$I778*$J778&gt;0,OR($I778&lt;&gt;$I779,$L778-$L779&gt;25),IF(ABS($I778)&gt;10,$I778/POW(10,$J778),$J778/POW(10,$I778))*MAXIFS(Token!$C:$C,Token!$A:$A,$K778)&gt;0.01),$L778/86400+DATE(1970,1,1)+$G$6,)</f>
        <v/>
      </c>
      <c r="B778" s="27" t="str">
        <f t="shared" si="1"/>
        <v/>
      </c>
      <c r="C778" s="14" t="str">
        <f>IF($A778&lt;&gt;"",MINIFS(Merchant!$A:$A,Merchant!$B:$B,$G$2),)</f>
        <v/>
      </c>
      <c r="D778" s="14" t="str">
        <f t="shared" si="2"/>
        <v/>
      </c>
      <c r="E778" s="14" t="str">
        <f t="shared" si="3"/>
        <v/>
      </c>
      <c r="F778" s="7" t="str">
        <f>IF($A778&lt;&gt;"",MAXIFS(Token!$C:$C,Token!$A:$A,$D778),)</f>
        <v/>
      </c>
    </row>
    <row r="779">
      <c r="A779" s="39" t="str">
        <f>IF(AND($L779*1&gt;=$G$3,$L779*1&lt;=$G$4,$I779*$J779&gt;0,OR($I779&lt;&gt;$I780,$L779-$L780&gt;25),IF(ABS($I779)&gt;10,$I779/POW(10,$J779),$J779/POW(10,$I779))*MAXIFS(Token!$C:$C,Token!$A:$A,$K779)&gt;0.01),$L779/86400+DATE(1970,1,1)+$G$6,)</f>
        <v/>
      </c>
      <c r="B779" s="27" t="str">
        <f t="shared" si="1"/>
        <v/>
      </c>
      <c r="C779" s="14" t="str">
        <f>IF($A779&lt;&gt;"",MINIFS(Merchant!$A:$A,Merchant!$B:$B,$G$2),)</f>
        <v/>
      </c>
      <c r="D779" s="14" t="str">
        <f t="shared" si="2"/>
        <v/>
      </c>
      <c r="E779" s="14" t="str">
        <f t="shared" si="3"/>
        <v/>
      </c>
      <c r="F779" s="7" t="str">
        <f>IF($A779&lt;&gt;"",MAXIFS(Token!$C:$C,Token!$A:$A,$D779),)</f>
        <v/>
      </c>
    </row>
    <row r="780">
      <c r="A780" s="39" t="str">
        <f>IF(AND($L780*1&gt;=$G$3,$L780*1&lt;=$G$4,$I780*$J780&gt;0,OR($I780&lt;&gt;$I781,$L780-$L781&gt;25),IF(ABS($I780)&gt;10,$I780/POW(10,$J780),$J780/POW(10,$I780))*MAXIFS(Token!$C:$C,Token!$A:$A,$K780)&gt;0.01),$L780/86400+DATE(1970,1,1)+$G$6,)</f>
        <v/>
      </c>
      <c r="B780" s="27" t="str">
        <f t="shared" si="1"/>
        <v/>
      </c>
      <c r="C780" s="14" t="str">
        <f>IF($A780&lt;&gt;"",MINIFS(Merchant!$A:$A,Merchant!$B:$B,$G$2),)</f>
        <v/>
      </c>
      <c r="D780" s="14" t="str">
        <f t="shared" si="2"/>
        <v/>
      </c>
      <c r="E780" s="14" t="str">
        <f t="shared" si="3"/>
        <v/>
      </c>
      <c r="F780" s="7" t="str">
        <f>IF($A780&lt;&gt;"",MAXIFS(Token!$C:$C,Token!$A:$A,$D780),)</f>
        <v/>
      </c>
    </row>
    <row r="781">
      <c r="A781" s="39" t="str">
        <f>IF(AND($L781*1&gt;=$G$3,$L781*1&lt;=$G$4,$I781*$J781&gt;0,OR($I781&lt;&gt;$I782,$L781-$L782&gt;25),IF(ABS($I781)&gt;10,$I781/POW(10,$J781),$J781/POW(10,$I781))*MAXIFS(Token!$C:$C,Token!$A:$A,$K781)&gt;0.01),$L781/86400+DATE(1970,1,1)+$G$6,)</f>
        <v/>
      </c>
      <c r="B781" s="27" t="str">
        <f t="shared" si="1"/>
        <v/>
      </c>
      <c r="C781" s="14" t="str">
        <f>IF($A781&lt;&gt;"",MINIFS(Merchant!$A:$A,Merchant!$B:$B,$G$2),)</f>
        <v/>
      </c>
      <c r="D781" s="14" t="str">
        <f t="shared" si="2"/>
        <v/>
      </c>
      <c r="E781" s="14" t="str">
        <f t="shared" si="3"/>
        <v/>
      </c>
      <c r="F781" s="7" t="str">
        <f>IF($A781&lt;&gt;"",MAXIFS(Token!$C:$C,Token!$A:$A,$D781),)</f>
        <v/>
      </c>
    </row>
    <row r="782">
      <c r="A782" s="39" t="str">
        <f>IF(AND($L782*1&gt;=$G$3,$L782*1&lt;=$G$4,$I782*$J782&gt;0,OR($I782&lt;&gt;$I783,$L782-$L783&gt;25),IF(ABS($I782)&gt;10,$I782/POW(10,$J782),$J782/POW(10,$I782))*MAXIFS(Token!$C:$C,Token!$A:$A,$K782)&gt;0.01),$L782/86400+DATE(1970,1,1)+$G$6,)</f>
        <v/>
      </c>
      <c r="B782" s="27" t="str">
        <f t="shared" si="1"/>
        <v/>
      </c>
      <c r="C782" s="14" t="str">
        <f>IF($A782&lt;&gt;"",MINIFS(Merchant!$A:$A,Merchant!$B:$B,$G$2),)</f>
        <v/>
      </c>
      <c r="D782" s="14" t="str">
        <f t="shared" si="2"/>
        <v/>
      </c>
      <c r="E782" s="14" t="str">
        <f t="shared" si="3"/>
        <v/>
      </c>
      <c r="F782" s="7" t="str">
        <f>IF($A782&lt;&gt;"",MAXIFS(Token!$C:$C,Token!$A:$A,$D782),)</f>
        <v/>
      </c>
    </row>
    <row r="783">
      <c r="A783" s="39" t="str">
        <f>IF(AND($L783*1&gt;=$G$3,$L783*1&lt;=$G$4,$I783*$J783&gt;0,OR($I783&lt;&gt;$I784,$L783-$L784&gt;25),IF(ABS($I783)&gt;10,$I783/POW(10,$J783),$J783/POW(10,$I783))*MAXIFS(Token!$C:$C,Token!$A:$A,$K783)&gt;0.01),$L783/86400+DATE(1970,1,1)+$G$6,)</f>
        <v/>
      </c>
      <c r="B783" s="27" t="str">
        <f t="shared" si="1"/>
        <v/>
      </c>
      <c r="C783" s="14" t="str">
        <f>IF($A783&lt;&gt;"",MINIFS(Merchant!$A:$A,Merchant!$B:$B,$G$2),)</f>
        <v/>
      </c>
      <c r="D783" s="14" t="str">
        <f t="shared" si="2"/>
        <v/>
      </c>
      <c r="E783" s="14" t="str">
        <f t="shared" si="3"/>
        <v/>
      </c>
      <c r="F783" s="7" t="str">
        <f>IF($A783&lt;&gt;"",MAXIFS(Token!$C:$C,Token!$A:$A,$D783),)</f>
        <v/>
      </c>
    </row>
    <row r="784">
      <c r="A784" s="39" t="str">
        <f>IF(AND($L784*1&gt;=$G$3,$L784*1&lt;=$G$4,$I784*$J784&gt;0,OR($I784&lt;&gt;$I785,$L784-$L785&gt;25),IF(ABS($I784)&gt;10,$I784/POW(10,$J784),$J784/POW(10,$I784))*MAXIFS(Token!$C:$C,Token!$A:$A,$K784)&gt;0.01),$L784/86400+DATE(1970,1,1)+$G$6,)</f>
        <v/>
      </c>
      <c r="B784" s="27" t="str">
        <f t="shared" si="1"/>
        <v/>
      </c>
      <c r="C784" s="14" t="str">
        <f>IF($A784&lt;&gt;"",MINIFS(Merchant!$A:$A,Merchant!$B:$B,$G$2),)</f>
        <v/>
      </c>
      <c r="D784" s="14" t="str">
        <f t="shared" si="2"/>
        <v/>
      </c>
      <c r="E784" s="14" t="str">
        <f t="shared" si="3"/>
        <v/>
      </c>
      <c r="F784" s="7" t="str">
        <f>IF($A784&lt;&gt;"",MAXIFS(Token!$C:$C,Token!$A:$A,$D784),)</f>
        <v/>
      </c>
    </row>
    <row r="785">
      <c r="A785" s="39" t="str">
        <f>IF(AND($L785*1&gt;=$G$3,$L785*1&lt;=$G$4,$I785*$J785&gt;0,OR($I785&lt;&gt;$I786,$L785-$L786&gt;25),IF(ABS($I785)&gt;10,$I785/POW(10,$J785),$J785/POW(10,$I785))*MAXIFS(Token!$C:$C,Token!$A:$A,$K785)&gt;0.01),$L785/86400+DATE(1970,1,1)+$G$6,)</f>
        <v/>
      </c>
      <c r="B785" s="27" t="str">
        <f t="shared" si="1"/>
        <v/>
      </c>
      <c r="C785" s="14" t="str">
        <f>IF($A785&lt;&gt;"",MINIFS(Merchant!$A:$A,Merchant!$B:$B,$G$2),)</f>
        <v/>
      </c>
      <c r="D785" s="14" t="str">
        <f t="shared" si="2"/>
        <v/>
      </c>
      <c r="E785" s="14" t="str">
        <f t="shared" si="3"/>
        <v/>
      </c>
      <c r="F785" s="7" t="str">
        <f>IF($A785&lt;&gt;"",MAXIFS(Token!$C:$C,Token!$A:$A,$D785),)</f>
        <v/>
      </c>
    </row>
    <row r="786">
      <c r="A786" s="39" t="str">
        <f>IF(AND($L786*1&gt;=$G$3,$L786*1&lt;=$G$4,$I786*$J786&gt;0,OR($I786&lt;&gt;$I787,$L786-$L787&gt;25),IF(ABS($I786)&gt;10,$I786/POW(10,$J786),$J786/POW(10,$I786))*MAXIFS(Token!$C:$C,Token!$A:$A,$K786)&gt;0.01),$L786/86400+DATE(1970,1,1)+$G$6,)</f>
        <v/>
      </c>
      <c r="B786" s="27" t="str">
        <f t="shared" si="1"/>
        <v/>
      </c>
      <c r="C786" s="14" t="str">
        <f>IF($A786&lt;&gt;"",MINIFS(Merchant!$A:$A,Merchant!$B:$B,$G$2),)</f>
        <v/>
      </c>
      <c r="D786" s="14" t="str">
        <f t="shared" si="2"/>
        <v/>
      </c>
      <c r="E786" s="14" t="str">
        <f t="shared" si="3"/>
        <v/>
      </c>
      <c r="F786" s="7" t="str">
        <f>IF($A786&lt;&gt;"",MAXIFS(Token!$C:$C,Token!$A:$A,$D786),)</f>
        <v/>
      </c>
    </row>
    <row r="787">
      <c r="A787" s="39" t="str">
        <f>IF(AND($L787*1&gt;=$G$3,$L787*1&lt;=$G$4,$I787*$J787&gt;0,OR($I787&lt;&gt;$I788,$L787-$L788&gt;25),IF(ABS($I787)&gt;10,$I787/POW(10,$J787),$J787/POW(10,$I787))*MAXIFS(Token!$C:$C,Token!$A:$A,$K787)&gt;0.01),$L787/86400+DATE(1970,1,1)+$G$6,)</f>
        <v/>
      </c>
      <c r="B787" s="27" t="str">
        <f t="shared" si="1"/>
        <v/>
      </c>
      <c r="C787" s="14" t="str">
        <f>IF($A787&lt;&gt;"",MINIFS(Merchant!$A:$A,Merchant!$B:$B,$G$2),)</f>
        <v/>
      </c>
      <c r="D787" s="14" t="str">
        <f t="shared" si="2"/>
        <v/>
      </c>
      <c r="E787" s="14" t="str">
        <f t="shared" si="3"/>
        <v/>
      </c>
      <c r="F787" s="7" t="str">
        <f>IF($A787&lt;&gt;"",MAXIFS(Token!$C:$C,Token!$A:$A,$D787),)</f>
        <v/>
      </c>
    </row>
    <row r="788">
      <c r="A788" s="39" t="str">
        <f>IF(AND($L788*1&gt;=$G$3,$L788*1&lt;=$G$4,$I788*$J788&gt;0,OR($I788&lt;&gt;$I789,$L788-$L789&gt;25),IF(ABS($I788)&gt;10,$I788/POW(10,$J788),$J788/POW(10,$I788))*MAXIFS(Token!$C:$C,Token!$A:$A,$K788)&gt;0.01),$L788/86400+DATE(1970,1,1)+$G$6,)</f>
        <v/>
      </c>
      <c r="B788" s="27" t="str">
        <f t="shared" si="1"/>
        <v/>
      </c>
      <c r="C788" s="14" t="str">
        <f>IF($A788&lt;&gt;"",MINIFS(Merchant!$A:$A,Merchant!$B:$B,$G$2),)</f>
        <v/>
      </c>
      <c r="D788" s="14" t="str">
        <f t="shared" si="2"/>
        <v/>
      </c>
      <c r="E788" s="14" t="str">
        <f t="shared" si="3"/>
        <v/>
      </c>
      <c r="F788" s="7" t="str">
        <f>IF($A788&lt;&gt;"",MAXIFS(Token!$C:$C,Token!$A:$A,$D788),)</f>
        <v/>
      </c>
    </row>
    <row r="789">
      <c r="A789" s="39" t="str">
        <f>IF(AND($L789*1&gt;=$G$3,$L789*1&lt;=$G$4,$I789*$J789&gt;0,OR($I789&lt;&gt;$I790,$L789-$L790&gt;25),IF(ABS($I789)&gt;10,$I789/POW(10,$J789),$J789/POW(10,$I789))*MAXIFS(Token!$C:$C,Token!$A:$A,$K789)&gt;0.01),$L789/86400+DATE(1970,1,1)+$G$6,)</f>
        <v/>
      </c>
      <c r="B789" s="27" t="str">
        <f t="shared" si="1"/>
        <v/>
      </c>
      <c r="C789" s="14" t="str">
        <f>IF($A789&lt;&gt;"",MINIFS(Merchant!$A:$A,Merchant!$B:$B,$G$2),)</f>
        <v/>
      </c>
      <c r="D789" s="14" t="str">
        <f t="shared" si="2"/>
        <v/>
      </c>
      <c r="E789" s="14" t="str">
        <f t="shared" si="3"/>
        <v/>
      </c>
      <c r="F789" s="7" t="str">
        <f>IF($A789&lt;&gt;"",MAXIFS(Token!$C:$C,Token!$A:$A,$D789),)</f>
        <v/>
      </c>
    </row>
    <row r="790">
      <c r="A790" s="39" t="str">
        <f>IF(AND($L790*1&gt;=$G$3,$L790*1&lt;=$G$4,$I790*$J790&gt;0,OR($I790&lt;&gt;$I791,$L790-$L791&gt;25),IF(ABS($I790)&gt;10,$I790/POW(10,$J790),$J790/POW(10,$I790))*MAXIFS(Token!$C:$C,Token!$A:$A,$K790)&gt;0.01),$L790/86400+DATE(1970,1,1)+$G$6,)</f>
        <v/>
      </c>
      <c r="B790" s="27" t="str">
        <f t="shared" si="1"/>
        <v/>
      </c>
      <c r="C790" s="14" t="str">
        <f>IF($A790&lt;&gt;"",MINIFS(Merchant!$A:$A,Merchant!$B:$B,$G$2),)</f>
        <v/>
      </c>
      <c r="D790" s="14" t="str">
        <f t="shared" si="2"/>
        <v/>
      </c>
      <c r="E790" s="14" t="str">
        <f t="shared" si="3"/>
        <v/>
      </c>
      <c r="F790" s="7" t="str">
        <f>IF($A790&lt;&gt;"",MAXIFS(Token!$C:$C,Token!$A:$A,$D790),)</f>
        <v/>
      </c>
    </row>
    <row r="791">
      <c r="A791" s="39" t="str">
        <f>IF(AND($L791*1&gt;=$G$3,$L791*1&lt;=$G$4,$I791*$J791&gt;0,OR($I791&lt;&gt;$I792,$L791-$L792&gt;25),IF(ABS($I791)&gt;10,$I791/POW(10,$J791),$J791/POW(10,$I791))*MAXIFS(Token!$C:$C,Token!$A:$A,$K791)&gt;0.01),$L791/86400+DATE(1970,1,1)+$G$6,)</f>
        <v/>
      </c>
      <c r="B791" s="27" t="str">
        <f t="shared" si="1"/>
        <v/>
      </c>
      <c r="C791" s="14" t="str">
        <f>IF($A791&lt;&gt;"",MINIFS(Merchant!$A:$A,Merchant!$B:$B,$G$2),)</f>
        <v/>
      </c>
      <c r="D791" s="14" t="str">
        <f t="shared" si="2"/>
        <v/>
      </c>
      <c r="E791" s="14" t="str">
        <f t="shared" si="3"/>
        <v/>
      </c>
      <c r="F791" s="7" t="str">
        <f>IF($A791&lt;&gt;"",MAXIFS(Token!$C:$C,Token!$A:$A,$D791),)</f>
        <v/>
      </c>
    </row>
    <row r="792">
      <c r="A792" s="39" t="str">
        <f>IF(AND($L792*1&gt;=$G$3,$L792*1&lt;=$G$4,$I792*$J792&gt;0,OR($I792&lt;&gt;$I793,$L792-$L793&gt;25),IF(ABS($I792)&gt;10,$I792/POW(10,$J792),$J792/POW(10,$I792))*MAXIFS(Token!$C:$C,Token!$A:$A,$K792)&gt;0.01),$L792/86400+DATE(1970,1,1)+$G$6,)</f>
        <v/>
      </c>
      <c r="B792" s="27" t="str">
        <f t="shared" si="1"/>
        <v/>
      </c>
      <c r="C792" s="14" t="str">
        <f>IF($A792&lt;&gt;"",MINIFS(Merchant!$A:$A,Merchant!$B:$B,$G$2),)</f>
        <v/>
      </c>
      <c r="D792" s="14" t="str">
        <f t="shared" si="2"/>
        <v/>
      </c>
      <c r="E792" s="14" t="str">
        <f t="shared" si="3"/>
        <v/>
      </c>
      <c r="F792" s="7" t="str">
        <f>IF($A792&lt;&gt;"",MAXIFS(Token!$C:$C,Token!$A:$A,$D792),)</f>
        <v/>
      </c>
    </row>
    <row r="793">
      <c r="A793" s="39" t="str">
        <f>IF(AND($L793*1&gt;=$G$3,$L793*1&lt;=$G$4,$I793*$J793&gt;0,OR($I793&lt;&gt;$I794,$L793-$L794&gt;25),IF(ABS($I793)&gt;10,$I793/POW(10,$J793),$J793/POW(10,$I793))*MAXIFS(Token!$C:$C,Token!$A:$A,$K793)&gt;0.01),$L793/86400+DATE(1970,1,1)+$G$6,)</f>
        <v/>
      </c>
      <c r="B793" s="27" t="str">
        <f t="shared" si="1"/>
        <v/>
      </c>
      <c r="C793" s="14" t="str">
        <f>IF($A793&lt;&gt;"",MINIFS(Merchant!$A:$A,Merchant!$B:$B,$G$2),)</f>
        <v/>
      </c>
      <c r="D793" s="14" t="str">
        <f t="shared" si="2"/>
        <v/>
      </c>
      <c r="E793" s="14" t="str">
        <f t="shared" si="3"/>
        <v/>
      </c>
      <c r="F793" s="7" t="str">
        <f>IF($A793&lt;&gt;"",MAXIFS(Token!$C:$C,Token!$A:$A,$D793),)</f>
        <v/>
      </c>
    </row>
    <row r="794">
      <c r="A794" s="39" t="str">
        <f>IF(AND($L794*1&gt;=$G$3,$L794*1&lt;=$G$4,$I794*$J794&gt;0,OR($I794&lt;&gt;$I795,$L794-$L795&gt;25),IF(ABS($I794)&gt;10,$I794/POW(10,$J794),$J794/POW(10,$I794))*MAXIFS(Token!$C:$C,Token!$A:$A,$K794)&gt;0.01),$L794/86400+DATE(1970,1,1)+$G$6,)</f>
        <v/>
      </c>
      <c r="B794" s="27" t="str">
        <f t="shared" si="1"/>
        <v/>
      </c>
      <c r="C794" s="14" t="str">
        <f>IF($A794&lt;&gt;"",MINIFS(Merchant!$A:$A,Merchant!$B:$B,$G$2),)</f>
        <v/>
      </c>
      <c r="D794" s="14" t="str">
        <f t="shared" si="2"/>
        <v/>
      </c>
      <c r="E794" s="14" t="str">
        <f t="shared" si="3"/>
        <v/>
      </c>
      <c r="F794" s="7" t="str">
        <f>IF($A794&lt;&gt;"",MAXIFS(Token!$C:$C,Token!$A:$A,$D794),)</f>
        <v/>
      </c>
    </row>
    <row r="795">
      <c r="A795" s="39" t="str">
        <f>IF(AND($L795*1&gt;=$G$3,$L795*1&lt;=$G$4,$I795*$J795&gt;0,OR($I795&lt;&gt;$I796,$L795-$L796&gt;25),IF(ABS($I795)&gt;10,$I795/POW(10,$J795),$J795/POW(10,$I795))*MAXIFS(Token!$C:$C,Token!$A:$A,$K795)&gt;0.01),$L795/86400+DATE(1970,1,1)+$G$6,)</f>
        <v/>
      </c>
      <c r="B795" s="27" t="str">
        <f t="shared" si="1"/>
        <v/>
      </c>
      <c r="C795" s="14" t="str">
        <f>IF($A795&lt;&gt;"",MINIFS(Merchant!$A:$A,Merchant!$B:$B,$G$2),)</f>
        <v/>
      </c>
      <c r="D795" s="14" t="str">
        <f t="shared" si="2"/>
        <v/>
      </c>
      <c r="E795" s="14" t="str">
        <f t="shared" si="3"/>
        <v/>
      </c>
      <c r="F795" s="7" t="str">
        <f>IF($A795&lt;&gt;"",MAXIFS(Token!$C:$C,Token!$A:$A,$D795),)</f>
        <v/>
      </c>
    </row>
    <row r="796">
      <c r="A796" s="39" t="str">
        <f>IF(AND($L796*1&gt;=$G$3,$L796*1&lt;=$G$4,$I796*$J796&gt;0,OR($I796&lt;&gt;$I797,$L796-$L797&gt;25),IF(ABS($I796)&gt;10,$I796/POW(10,$J796),$J796/POW(10,$I796))*MAXIFS(Token!$C:$C,Token!$A:$A,$K796)&gt;0.01),$L796/86400+DATE(1970,1,1)+$G$6,)</f>
        <v/>
      </c>
      <c r="B796" s="27" t="str">
        <f t="shared" si="1"/>
        <v/>
      </c>
      <c r="C796" s="14" t="str">
        <f>IF($A796&lt;&gt;"",MINIFS(Merchant!$A:$A,Merchant!$B:$B,$G$2),)</f>
        <v/>
      </c>
      <c r="D796" s="14" t="str">
        <f t="shared" si="2"/>
        <v/>
      </c>
      <c r="E796" s="14" t="str">
        <f t="shared" si="3"/>
        <v/>
      </c>
      <c r="F796" s="7" t="str">
        <f>IF($A796&lt;&gt;"",MAXIFS(Token!$C:$C,Token!$A:$A,$D796),)</f>
        <v/>
      </c>
    </row>
    <row r="797">
      <c r="A797" s="39" t="str">
        <f>IF(AND($L797*1&gt;=$G$3,$L797*1&lt;=$G$4,$I797*$J797&gt;0,OR($I797&lt;&gt;$I798,$L797-$L798&gt;25),IF(ABS($I797)&gt;10,$I797/POW(10,$J797),$J797/POW(10,$I797))*MAXIFS(Token!$C:$C,Token!$A:$A,$K797)&gt;0.01),$L797/86400+DATE(1970,1,1)+$G$6,)</f>
        <v/>
      </c>
      <c r="B797" s="27" t="str">
        <f t="shared" si="1"/>
        <v/>
      </c>
      <c r="C797" s="14" t="str">
        <f>IF($A797&lt;&gt;"",MINIFS(Merchant!$A:$A,Merchant!$B:$B,$G$2),)</f>
        <v/>
      </c>
      <c r="D797" s="14" t="str">
        <f t="shared" si="2"/>
        <v/>
      </c>
      <c r="E797" s="14" t="str">
        <f t="shared" si="3"/>
        <v/>
      </c>
      <c r="F797" s="7" t="str">
        <f>IF($A797&lt;&gt;"",MAXIFS(Token!$C:$C,Token!$A:$A,$D797),)</f>
        <v/>
      </c>
    </row>
    <row r="798">
      <c r="A798" s="39" t="str">
        <f>IF(AND($L798*1&gt;=$G$3,$L798*1&lt;=$G$4,$I798*$J798&gt;0,OR($I798&lt;&gt;$I799,$L798-$L799&gt;25),IF(ABS($I798)&gt;10,$I798/POW(10,$J798),$J798/POW(10,$I798))*MAXIFS(Token!$C:$C,Token!$A:$A,$K798)&gt;0.01),$L798/86400+DATE(1970,1,1)+$G$6,)</f>
        <v/>
      </c>
      <c r="B798" s="27" t="str">
        <f t="shared" si="1"/>
        <v/>
      </c>
      <c r="C798" s="14" t="str">
        <f>IF($A798&lt;&gt;"",MINIFS(Merchant!$A:$A,Merchant!$B:$B,$G$2),)</f>
        <v/>
      </c>
      <c r="D798" s="14" t="str">
        <f t="shared" si="2"/>
        <v/>
      </c>
      <c r="E798" s="14" t="str">
        <f t="shared" si="3"/>
        <v/>
      </c>
      <c r="F798" s="7" t="str">
        <f>IF($A798&lt;&gt;"",MAXIFS(Token!$C:$C,Token!$A:$A,$D798),)</f>
        <v/>
      </c>
    </row>
    <row r="799">
      <c r="A799" s="39" t="str">
        <f>IF(AND($L799*1&gt;=$G$3,$L799*1&lt;=$G$4,$I799*$J799&gt;0,OR($I799&lt;&gt;$I800,$L799-$L800&gt;25),IF(ABS($I799)&gt;10,$I799/POW(10,$J799),$J799/POW(10,$I799))*MAXIFS(Token!$C:$C,Token!$A:$A,$K799)&gt;0.01),$L799/86400+DATE(1970,1,1)+$G$6,)</f>
        <v/>
      </c>
      <c r="B799" s="27" t="str">
        <f t="shared" si="1"/>
        <v/>
      </c>
      <c r="C799" s="14" t="str">
        <f>IF($A799&lt;&gt;"",MINIFS(Merchant!$A:$A,Merchant!$B:$B,$G$2),)</f>
        <v/>
      </c>
      <c r="D799" s="14" t="str">
        <f t="shared" si="2"/>
        <v/>
      </c>
      <c r="E799" s="14" t="str">
        <f t="shared" si="3"/>
        <v/>
      </c>
      <c r="F799" s="7" t="str">
        <f>IF($A799&lt;&gt;"",MAXIFS(Token!$C:$C,Token!$A:$A,$D799),)</f>
        <v/>
      </c>
    </row>
    <row r="800">
      <c r="A800" s="39" t="str">
        <f>IF(AND($L800*1&gt;=$G$3,$L800*1&lt;=$G$4,$I800*$J800&gt;0,OR($I800&lt;&gt;$I801,$L800-$L801&gt;25),IF(ABS($I800)&gt;10,$I800/POW(10,$J800),$J800/POW(10,$I800))*MAXIFS(Token!$C:$C,Token!$A:$A,$K800)&gt;0.01),$L800/86400+DATE(1970,1,1)+$G$6,)</f>
        <v/>
      </c>
      <c r="B800" s="27" t="str">
        <f t="shared" si="1"/>
        <v/>
      </c>
      <c r="C800" s="14" t="str">
        <f>IF($A800&lt;&gt;"",MINIFS(Merchant!$A:$A,Merchant!$B:$B,$G$2),)</f>
        <v/>
      </c>
      <c r="D800" s="14" t="str">
        <f t="shared" si="2"/>
        <v/>
      </c>
      <c r="E800" s="14" t="str">
        <f t="shared" si="3"/>
        <v/>
      </c>
      <c r="F800" s="7" t="str">
        <f>IF($A800&lt;&gt;"",MAXIFS(Token!$C:$C,Token!$A:$A,$D800),)</f>
        <v/>
      </c>
    </row>
    <row r="801">
      <c r="A801" s="39" t="str">
        <f>IF(AND($L801*1&gt;=$G$3,$L801*1&lt;=$G$4,$I801*$J801&gt;0,OR($I801&lt;&gt;$I802,$L801-$L802&gt;25),IF(ABS($I801)&gt;10,$I801/POW(10,$J801),$J801/POW(10,$I801))*MAXIFS(Token!$C:$C,Token!$A:$A,$K801)&gt;0.01),$L801/86400+DATE(1970,1,1)+$G$6,)</f>
        <v/>
      </c>
      <c r="B801" s="27" t="str">
        <f t="shared" si="1"/>
        <v/>
      </c>
      <c r="C801" s="14" t="str">
        <f>IF($A801&lt;&gt;"",MINIFS(Merchant!$A:$A,Merchant!$B:$B,$G$2),)</f>
        <v/>
      </c>
      <c r="D801" s="14" t="str">
        <f t="shared" si="2"/>
        <v/>
      </c>
      <c r="E801" s="14" t="str">
        <f t="shared" si="3"/>
        <v/>
      </c>
      <c r="F801" s="7" t="str">
        <f>IF($A801&lt;&gt;"",MAXIFS(Token!$C:$C,Token!$A:$A,$D801),)</f>
        <v/>
      </c>
    </row>
    <row r="802">
      <c r="A802" s="39" t="str">
        <f>IF(AND($L802*1&gt;=$G$3,$L802*1&lt;=$G$4,$I802*$J802&gt;0,OR($I802&lt;&gt;$I803,$L802-$L803&gt;25),IF(ABS($I802)&gt;10,$I802/POW(10,$J802),$J802/POW(10,$I802))*MAXIFS(Token!$C:$C,Token!$A:$A,$K802)&gt;0.01),$L802/86400+DATE(1970,1,1)+$G$6,)</f>
        <v/>
      </c>
      <c r="B802" s="27" t="str">
        <f t="shared" si="1"/>
        <v/>
      </c>
      <c r="C802" s="14" t="str">
        <f>IF($A802&lt;&gt;"",MINIFS(Merchant!$A:$A,Merchant!$B:$B,$G$2),)</f>
        <v/>
      </c>
      <c r="D802" s="14" t="str">
        <f t="shared" si="2"/>
        <v/>
      </c>
      <c r="E802" s="14" t="str">
        <f t="shared" si="3"/>
        <v/>
      </c>
      <c r="F802" s="7" t="str">
        <f>IF($A802&lt;&gt;"",MAXIFS(Token!$C:$C,Token!$A:$A,$D802),)</f>
        <v/>
      </c>
    </row>
    <row r="803">
      <c r="A803" s="39" t="str">
        <f>IF(AND($L803*1&gt;=$G$3,$L803*1&lt;=$G$4,$I803*$J803&gt;0,OR($I803&lt;&gt;$I804,$L803-$L804&gt;25),IF(ABS($I803)&gt;10,$I803/POW(10,$J803),$J803/POW(10,$I803))*MAXIFS(Token!$C:$C,Token!$A:$A,$K803)&gt;0.01),$L803/86400+DATE(1970,1,1)+$G$6,)</f>
        <v/>
      </c>
      <c r="B803" s="27" t="str">
        <f t="shared" si="1"/>
        <v/>
      </c>
      <c r="C803" s="14" t="str">
        <f>IF($A803&lt;&gt;"",MINIFS(Merchant!$A:$A,Merchant!$B:$B,$G$2),)</f>
        <v/>
      </c>
      <c r="D803" s="14" t="str">
        <f t="shared" si="2"/>
        <v/>
      </c>
      <c r="E803" s="14" t="str">
        <f t="shared" si="3"/>
        <v/>
      </c>
      <c r="F803" s="7" t="str">
        <f>IF($A803&lt;&gt;"",MAXIFS(Token!$C:$C,Token!$A:$A,$D803),)</f>
        <v/>
      </c>
    </row>
    <row r="804">
      <c r="A804" s="39" t="str">
        <f>IF(AND($L804*1&gt;=$G$3,$L804*1&lt;=$G$4,$I804*$J804&gt;0,OR($I804&lt;&gt;$I805,$L804-$L805&gt;25),IF(ABS($I804)&gt;10,$I804/POW(10,$J804),$J804/POW(10,$I804))*MAXIFS(Token!$C:$C,Token!$A:$A,$K804)&gt;0.01),$L804/86400+DATE(1970,1,1)+$G$6,)</f>
        <v/>
      </c>
      <c r="B804" s="27" t="str">
        <f t="shared" si="1"/>
        <v/>
      </c>
      <c r="C804" s="14" t="str">
        <f>IF($A804&lt;&gt;"",MINIFS(Merchant!$A:$A,Merchant!$B:$B,$G$2),)</f>
        <v/>
      </c>
      <c r="D804" s="14" t="str">
        <f t="shared" si="2"/>
        <v/>
      </c>
      <c r="E804" s="14" t="str">
        <f t="shared" si="3"/>
        <v/>
      </c>
      <c r="F804" s="7" t="str">
        <f>IF($A804&lt;&gt;"",MAXIFS(Token!$C:$C,Token!$A:$A,$D804),)</f>
        <v/>
      </c>
    </row>
    <row r="805">
      <c r="A805" s="39" t="str">
        <f>IF(AND($L805*1&gt;=$G$3,$L805*1&lt;=$G$4,$I805*$J805&gt;0,OR($I805&lt;&gt;$I806,$L805-$L806&gt;25),IF(ABS($I805)&gt;10,$I805/POW(10,$J805),$J805/POW(10,$I805))*MAXIFS(Token!$C:$C,Token!$A:$A,$K805)&gt;0.01),$L805/86400+DATE(1970,1,1)+$G$6,)</f>
        <v/>
      </c>
      <c r="B805" s="27" t="str">
        <f t="shared" si="1"/>
        <v/>
      </c>
      <c r="C805" s="14" t="str">
        <f>IF($A805&lt;&gt;"",MINIFS(Merchant!$A:$A,Merchant!$B:$B,$G$2),)</f>
        <v/>
      </c>
      <c r="D805" s="14" t="str">
        <f t="shared" si="2"/>
        <v/>
      </c>
      <c r="E805" s="14" t="str">
        <f t="shared" si="3"/>
        <v/>
      </c>
      <c r="F805" s="7" t="str">
        <f>IF($A805&lt;&gt;"",MAXIFS(Token!$C:$C,Token!$A:$A,$D805),)</f>
        <v/>
      </c>
    </row>
    <row r="806">
      <c r="A806" s="39" t="str">
        <f>IF(AND($L806*1&gt;=$G$3,$L806*1&lt;=$G$4,$I806*$J806&gt;0,OR($I806&lt;&gt;$I807,$L806-$L807&gt;25),IF(ABS($I806)&gt;10,$I806/POW(10,$J806),$J806/POW(10,$I806))*MAXIFS(Token!$C:$C,Token!$A:$A,$K806)&gt;0.01),$L806/86400+DATE(1970,1,1)+$G$6,)</f>
        <v/>
      </c>
      <c r="B806" s="27" t="str">
        <f t="shared" si="1"/>
        <v/>
      </c>
      <c r="C806" s="14" t="str">
        <f>IF($A806&lt;&gt;"",MINIFS(Merchant!$A:$A,Merchant!$B:$B,$G$2),)</f>
        <v/>
      </c>
      <c r="D806" s="14" t="str">
        <f t="shared" si="2"/>
        <v/>
      </c>
      <c r="E806" s="14" t="str">
        <f t="shared" si="3"/>
        <v/>
      </c>
      <c r="F806" s="7" t="str">
        <f>IF($A806&lt;&gt;"",MAXIFS(Token!$C:$C,Token!$A:$A,$D806),)</f>
        <v/>
      </c>
    </row>
    <row r="807">
      <c r="A807" s="39" t="str">
        <f>IF(AND($L807*1&gt;=$G$3,$L807*1&lt;=$G$4,$I807*$J807&gt;0,OR($I807&lt;&gt;$I808,$L807-$L808&gt;25),IF(ABS($I807)&gt;10,$I807/POW(10,$J807),$J807/POW(10,$I807))*MAXIFS(Token!$C:$C,Token!$A:$A,$K807)&gt;0.01),$L807/86400+DATE(1970,1,1)+$G$6,)</f>
        <v/>
      </c>
      <c r="B807" s="27" t="str">
        <f t="shared" si="1"/>
        <v/>
      </c>
      <c r="C807" s="14" t="str">
        <f>IF($A807&lt;&gt;"",MINIFS(Merchant!$A:$A,Merchant!$B:$B,$G$2),)</f>
        <v/>
      </c>
      <c r="D807" s="14" t="str">
        <f t="shared" si="2"/>
        <v/>
      </c>
      <c r="E807" s="14" t="str">
        <f t="shared" si="3"/>
        <v/>
      </c>
      <c r="F807" s="7" t="str">
        <f>IF($A807&lt;&gt;"",MAXIFS(Token!$C:$C,Token!$A:$A,$D807),)</f>
        <v/>
      </c>
    </row>
    <row r="808">
      <c r="A808" s="39" t="str">
        <f>IF(AND($L808*1&gt;=$G$3,$L808*1&lt;=$G$4,$I808*$J808&gt;0,OR($I808&lt;&gt;$I809,$L808-$L809&gt;25),IF(ABS($I808)&gt;10,$I808/POW(10,$J808),$J808/POW(10,$I808))*MAXIFS(Token!$C:$C,Token!$A:$A,$K808)&gt;0.01),$L808/86400+DATE(1970,1,1)+$G$6,)</f>
        <v/>
      </c>
      <c r="B808" s="27" t="str">
        <f t="shared" si="1"/>
        <v/>
      </c>
      <c r="C808" s="14" t="str">
        <f>IF($A808&lt;&gt;"",MINIFS(Merchant!$A:$A,Merchant!$B:$B,$G$2),)</f>
        <v/>
      </c>
      <c r="D808" s="14" t="str">
        <f t="shared" si="2"/>
        <v/>
      </c>
      <c r="E808" s="14" t="str">
        <f t="shared" si="3"/>
        <v/>
      </c>
      <c r="F808" s="7" t="str">
        <f>IF($A808&lt;&gt;"",MAXIFS(Token!$C:$C,Token!$A:$A,$D808),)</f>
        <v/>
      </c>
    </row>
    <row r="809">
      <c r="A809" s="39" t="str">
        <f>IF(AND($L809*1&gt;=$G$3,$L809*1&lt;=$G$4,$I809*$J809&gt;0,OR($I809&lt;&gt;$I810,$L809-$L810&gt;25),IF(ABS($I809)&gt;10,$I809/POW(10,$J809),$J809/POW(10,$I809))*MAXIFS(Token!$C:$C,Token!$A:$A,$K809)&gt;0.01),$L809/86400+DATE(1970,1,1)+$G$6,)</f>
        <v/>
      </c>
      <c r="B809" s="27" t="str">
        <f t="shared" si="1"/>
        <v/>
      </c>
      <c r="C809" s="14" t="str">
        <f>IF($A809&lt;&gt;"",MINIFS(Merchant!$A:$A,Merchant!$B:$B,$G$2),)</f>
        <v/>
      </c>
      <c r="D809" s="14" t="str">
        <f t="shared" si="2"/>
        <v/>
      </c>
      <c r="E809" s="14" t="str">
        <f t="shared" si="3"/>
        <v/>
      </c>
      <c r="F809" s="7" t="str">
        <f>IF($A809&lt;&gt;"",MAXIFS(Token!$C:$C,Token!$A:$A,$D809),)</f>
        <v/>
      </c>
    </row>
    <row r="810">
      <c r="A810" s="39" t="str">
        <f>IF(AND($L810*1&gt;=$G$3,$L810*1&lt;=$G$4,$I810*$J810&gt;0,OR($I810&lt;&gt;$I811,$L810-$L811&gt;25),IF(ABS($I810)&gt;10,$I810/POW(10,$J810),$J810/POW(10,$I810))*MAXIFS(Token!$C:$C,Token!$A:$A,$K810)&gt;0.01),$L810/86400+DATE(1970,1,1)+$G$6,)</f>
        <v/>
      </c>
      <c r="B810" s="27" t="str">
        <f t="shared" si="1"/>
        <v/>
      </c>
      <c r="C810" s="14" t="str">
        <f>IF($A810&lt;&gt;"",MINIFS(Merchant!$A:$A,Merchant!$B:$B,$G$2),)</f>
        <v/>
      </c>
      <c r="D810" s="14" t="str">
        <f t="shared" si="2"/>
        <v/>
      </c>
      <c r="E810" s="14" t="str">
        <f t="shared" si="3"/>
        <v/>
      </c>
      <c r="F810" s="7" t="str">
        <f>IF($A810&lt;&gt;"",MAXIFS(Token!$C:$C,Token!$A:$A,$D810),)</f>
        <v/>
      </c>
    </row>
    <row r="811">
      <c r="A811" s="39" t="str">
        <f>IF(AND($L811*1&gt;=$G$3,$L811*1&lt;=$G$4,$I811*$J811&gt;0,OR($I811&lt;&gt;$I812,$L811-$L812&gt;25),IF(ABS($I811)&gt;10,$I811/POW(10,$J811),$J811/POW(10,$I811))*MAXIFS(Token!$C:$C,Token!$A:$A,$K811)&gt;0.01),$L811/86400+DATE(1970,1,1)+$G$6,)</f>
        <v/>
      </c>
      <c r="B811" s="27" t="str">
        <f t="shared" si="1"/>
        <v/>
      </c>
      <c r="C811" s="14" t="str">
        <f>IF($A811&lt;&gt;"",MINIFS(Merchant!$A:$A,Merchant!$B:$B,$G$2),)</f>
        <v/>
      </c>
      <c r="D811" s="14" t="str">
        <f t="shared" si="2"/>
        <v/>
      </c>
      <c r="E811" s="14" t="str">
        <f t="shared" si="3"/>
        <v/>
      </c>
      <c r="F811" s="7" t="str">
        <f>IF($A811&lt;&gt;"",MAXIFS(Token!$C:$C,Token!$A:$A,$D811),)</f>
        <v/>
      </c>
    </row>
    <row r="812">
      <c r="A812" s="39" t="str">
        <f>IF(AND($L812*1&gt;=$G$3,$L812*1&lt;=$G$4,$I812*$J812&gt;0,OR($I812&lt;&gt;$I813,$L812-$L813&gt;25),IF(ABS($I812)&gt;10,$I812/POW(10,$J812),$J812/POW(10,$I812))*MAXIFS(Token!$C:$C,Token!$A:$A,$K812)&gt;0.01),$L812/86400+DATE(1970,1,1)+$G$6,)</f>
        <v/>
      </c>
      <c r="B812" s="27" t="str">
        <f t="shared" si="1"/>
        <v/>
      </c>
      <c r="C812" s="14" t="str">
        <f>IF($A812&lt;&gt;"",MINIFS(Merchant!$A:$A,Merchant!$B:$B,$G$2),)</f>
        <v/>
      </c>
      <c r="D812" s="14" t="str">
        <f t="shared" si="2"/>
        <v/>
      </c>
      <c r="E812" s="14" t="str">
        <f t="shared" si="3"/>
        <v/>
      </c>
      <c r="F812" s="7" t="str">
        <f>IF($A812&lt;&gt;"",MAXIFS(Token!$C:$C,Token!$A:$A,$D812),)</f>
        <v/>
      </c>
    </row>
    <row r="813">
      <c r="A813" s="39" t="str">
        <f>IF(AND($L813*1&gt;=$G$3,$L813*1&lt;=$G$4,$I813*$J813&gt;0,OR($I813&lt;&gt;$I814,$L813-$L814&gt;25),IF(ABS($I813)&gt;10,$I813/POW(10,$J813),$J813/POW(10,$I813))*MAXIFS(Token!$C:$C,Token!$A:$A,$K813)&gt;0.01),$L813/86400+DATE(1970,1,1)+$G$6,)</f>
        <v/>
      </c>
      <c r="B813" s="27" t="str">
        <f t="shared" si="1"/>
        <v/>
      </c>
      <c r="C813" s="14" t="str">
        <f>IF($A813&lt;&gt;"",MINIFS(Merchant!$A:$A,Merchant!$B:$B,$G$2),)</f>
        <v/>
      </c>
      <c r="D813" s="14" t="str">
        <f t="shared" si="2"/>
        <v/>
      </c>
      <c r="E813" s="14" t="str">
        <f t="shared" si="3"/>
        <v/>
      </c>
      <c r="F813" s="7" t="str">
        <f>IF($A813&lt;&gt;"",MAXIFS(Token!$C:$C,Token!$A:$A,$D813),)</f>
        <v/>
      </c>
    </row>
    <row r="814">
      <c r="A814" s="39" t="str">
        <f>IF(AND($L814*1&gt;=$G$3,$L814*1&lt;=$G$4,$I814*$J814&gt;0,OR($I814&lt;&gt;$I815,$L814-$L815&gt;25),IF(ABS($I814)&gt;10,$I814/POW(10,$J814),$J814/POW(10,$I814))*MAXIFS(Token!$C:$C,Token!$A:$A,$K814)&gt;0.01),$L814/86400+DATE(1970,1,1)+$G$6,)</f>
        <v/>
      </c>
      <c r="B814" s="27" t="str">
        <f t="shared" si="1"/>
        <v/>
      </c>
      <c r="C814" s="14" t="str">
        <f>IF($A814&lt;&gt;"",MINIFS(Merchant!$A:$A,Merchant!$B:$B,$G$2),)</f>
        <v/>
      </c>
      <c r="D814" s="14" t="str">
        <f t="shared" si="2"/>
        <v/>
      </c>
      <c r="E814" s="14" t="str">
        <f t="shared" si="3"/>
        <v/>
      </c>
      <c r="F814" s="7" t="str">
        <f>IF($A814&lt;&gt;"",MAXIFS(Token!$C:$C,Token!$A:$A,$D814),)</f>
        <v/>
      </c>
    </row>
    <row r="815">
      <c r="A815" s="39" t="str">
        <f>IF(AND($L815*1&gt;=$G$3,$L815*1&lt;=$G$4,$I815*$J815&gt;0,OR($I815&lt;&gt;$I816,$L815-$L816&gt;25),IF(ABS($I815)&gt;10,$I815/POW(10,$J815),$J815/POW(10,$I815))*MAXIFS(Token!$C:$C,Token!$A:$A,$K815)&gt;0.01),$L815/86400+DATE(1970,1,1)+$G$6,)</f>
        <v/>
      </c>
      <c r="B815" s="27" t="str">
        <f t="shared" si="1"/>
        <v/>
      </c>
      <c r="C815" s="14" t="str">
        <f>IF($A815&lt;&gt;"",MINIFS(Merchant!$A:$A,Merchant!$B:$B,$G$2),)</f>
        <v/>
      </c>
      <c r="D815" s="14" t="str">
        <f t="shared" si="2"/>
        <v/>
      </c>
      <c r="E815" s="14" t="str">
        <f t="shared" si="3"/>
        <v/>
      </c>
      <c r="F815" s="7" t="str">
        <f>IF($A815&lt;&gt;"",MAXIFS(Token!$C:$C,Token!$A:$A,$D815),)</f>
        <v/>
      </c>
    </row>
    <row r="816">
      <c r="A816" s="39" t="str">
        <f>IF(AND($L816*1&gt;=$G$3,$L816*1&lt;=$G$4,$I816*$J816&gt;0,OR($I816&lt;&gt;$I817,$L816-$L817&gt;25),IF(ABS($I816)&gt;10,$I816/POW(10,$J816),$J816/POW(10,$I816))*MAXIFS(Token!$C:$C,Token!$A:$A,$K816)&gt;0.01),$L816/86400+DATE(1970,1,1)+$G$6,)</f>
        <v/>
      </c>
      <c r="B816" s="27" t="str">
        <f t="shared" si="1"/>
        <v/>
      </c>
      <c r="C816" s="14" t="str">
        <f>IF($A816&lt;&gt;"",MINIFS(Merchant!$A:$A,Merchant!$B:$B,$G$2),)</f>
        <v/>
      </c>
      <c r="D816" s="14" t="str">
        <f t="shared" si="2"/>
        <v/>
      </c>
      <c r="E816" s="14" t="str">
        <f t="shared" si="3"/>
        <v/>
      </c>
      <c r="F816" s="7" t="str">
        <f>IF($A816&lt;&gt;"",MAXIFS(Token!$C:$C,Token!$A:$A,$D816),)</f>
        <v/>
      </c>
    </row>
    <row r="817">
      <c r="A817" s="39" t="str">
        <f>IF(AND($L817*1&gt;=$G$3,$L817*1&lt;=$G$4,$I817*$J817&gt;0,OR($I817&lt;&gt;$I818,$L817-$L818&gt;25),IF(ABS($I817)&gt;10,$I817/POW(10,$J817),$J817/POW(10,$I817))*MAXIFS(Token!$C:$C,Token!$A:$A,$K817)&gt;0.01),$L817/86400+DATE(1970,1,1)+$G$6,)</f>
        <v/>
      </c>
      <c r="B817" s="27" t="str">
        <f t="shared" si="1"/>
        <v/>
      </c>
      <c r="C817" s="14" t="str">
        <f>IF($A817&lt;&gt;"",MINIFS(Merchant!$A:$A,Merchant!$B:$B,$G$2),)</f>
        <v/>
      </c>
      <c r="D817" s="14" t="str">
        <f t="shared" si="2"/>
        <v/>
      </c>
      <c r="E817" s="14" t="str">
        <f t="shared" si="3"/>
        <v/>
      </c>
      <c r="F817" s="7" t="str">
        <f>IF($A817&lt;&gt;"",MAXIFS(Token!$C:$C,Token!$A:$A,$D817),)</f>
        <v/>
      </c>
    </row>
    <row r="818">
      <c r="A818" s="39" t="str">
        <f>IF(AND($L818*1&gt;=$G$3,$L818*1&lt;=$G$4,$I818*$J818&gt;0,OR($I818&lt;&gt;$I819,$L818-$L819&gt;25),IF(ABS($I818)&gt;10,$I818/POW(10,$J818),$J818/POW(10,$I818))*MAXIFS(Token!$C:$C,Token!$A:$A,$K818)&gt;0.01),$L818/86400+DATE(1970,1,1)+$G$6,)</f>
        <v/>
      </c>
      <c r="B818" s="27" t="str">
        <f t="shared" si="1"/>
        <v/>
      </c>
      <c r="C818" s="14" t="str">
        <f>IF($A818&lt;&gt;"",MINIFS(Merchant!$A:$A,Merchant!$B:$B,$G$2),)</f>
        <v/>
      </c>
      <c r="D818" s="14" t="str">
        <f t="shared" si="2"/>
        <v/>
      </c>
      <c r="E818" s="14" t="str">
        <f t="shared" si="3"/>
        <v/>
      </c>
      <c r="F818" s="7" t="str">
        <f>IF($A818&lt;&gt;"",MAXIFS(Token!$C:$C,Token!$A:$A,$D818),)</f>
        <v/>
      </c>
    </row>
    <row r="819">
      <c r="A819" s="39" t="str">
        <f>IF(AND($L819*1&gt;=$G$3,$L819*1&lt;=$G$4,$I819*$J819&gt;0,OR($I819&lt;&gt;$I820,$L819-$L820&gt;25),IF(ABS($I819)&gt;10,$I819/POW(10,$J819),$J819/POW(10,$I819))*MAXIFS(Token!$C:$C,Token!$A:$A,$K819)&gt;0.01),$L819/86400+DATE(1970,1,1)+$G$6,)</f>
        <v/>
      </c>
      <c r="B819" s="27" t="str">
        <f t="shared" si="1"/>
        <v/>
      </c>
      <c r="C819" s="14" t="str">
        <f>IF($A819&lt;&gt;"",MINIFS(Merchant!$A:$A,Merchant!$B:$B,$G$2),)</f>
        <v/>
      </c>
      <c r="D819" s="14" t="str">
        <f t="shared" si="2"/>
        <v/>
      </c>
      <c r="E819" s="14" t="str">
        <f t="shared" si="3"/>
        <v/>
      </c>
      <c r="F819" s="7" t="str">
        <f>IF($A819&lt;&gt;"",MAXIFS(Token!$C:$C,Token!$A:$A,$D819),)</f>
        <v/>
      </c>
    </row>
    <row r="820">
      <c r="A820" s="39" t="str">
        <f>IF(AND($L820*1&gt;=$G$3,$L820*1&lt;=$G$4,$I820*$J820&gt;0,OR($I820&lt;&gt;$I821,$L820-$L821&gt;25),IF(ABS($I820)&gt;10,$I820/POW(10,$J820),$J820/POW(10,$I820))*MAXIFS(Token!$C:$C,Token!$A:$A,$K820)&gt;0.01),$L820/86400+DATE(1970,1,1)+$G$6,)</f>
        <v/>
      </c>
      <c r="B820" s="27" t="str">
        <f t="shared" si="1"/>
        <v/>
      </c>
      <c r="C820" s="14" t="str">
        <f>IF($A820&lt;&gt;"",MINIFS(Merchant!$A:$A,Merchant!$B:$B,$G$2),)</f>
        <v/>
      </c>
      <c r="D820" s="14" t="str">
        <f t="shared" si="2"/>
        <v/>
      </c>
      <c r="E820" s="14" t="str">
        <f t="shared" si="3"/>
        <v/>
      </c>
      <c r="F820" s="7" t="str">
        <f>IF($A820&lt;&gt;"",MAXIFS(Token!$C:$C,Token!$A:$A,$D820),)</f>
        <v/>
      </c>
    </row>
    <row r="821">
      <c r="A821" s="39" t="str">
        <f>IF(AND($L821*1&gt;=$G$3,$L821*1&lt;=$G$4,$I821*$J821&gt;0,OR($I821&lt;&gt;$I822,$L821-$L822&gt;25),IF(ABS($I821)&gt;10,$I821/POW(10,$J821),$J821/POW(10,$I821))*MAXIFS(Token!$C:$C,Token!$A:$A,$K821)&gt;0.01),$L821/86400+DATE(1970,1,1)+$G$6,)</f>
        <v/>
      </c>
      <c r="B821" s="27" t="str">
        <f t="shared" si="1"/>
        <v/>
      </c>
      <c r="C821" s="14" t="str">
        <f>IF($A821&lt;&gt;"",MINIFS(Merchant!$A:$A,Merchant!$B:$B,$G$2),)</f>
        <v/>
      </c>
      <c r="D821" s="14" t="str">
        <f t="shared" si="2"/>
        <v/>
      </c>
      <c r="E821" s="14" t="str">
        <f t="shared" si="3"/>
        <v/>
      </c>
      <c r="F821" s="7" t="str">
        <f>IF($A821&lt;&gt;"",MAXIFS(Token!$C:$C,Token!$A:$A,$D821),)</f>
        <v/>
      </c>
    </row>
    <row r="822">
      <c r="A822" s="39" t="str">
        <f>IF(AND($L822*1&gt;=$G$3,$L822*1&lt;=$G$4,$I822*$J822&gt;0,OR($I822&lt;&gt;$I823,$L822-$L823&gt;25),IF(ABS($I822)&gt;10,$I822/POW(10,$J822),$J822/POW(10,$I822))*MAXIFS(Token!$C:$C,Token!$A:$A,$K822)&gt;0.01),$L822/86400+DATE(1970,1,1)+$G$6,)</f>
        <v/>
      </c>
      <c r="B822" s="27" t="str">
        <f t="shared" si="1"/>
        <v/>
      </c>
      <c r="C822" s="14" t="str">
        <f>IF($A822&lt;&gt;"",MINIFS(Merchant!$A:$A,Merchant!$B:$B,$G$2),)</f>
        <v/>
      </c>
      <c r="D822" s="14" t="str">
        <f t="shared" si="2"/>
        <v/>
      </c>
      <c r="E822" s="14" t="str">
        <f t="shared" si="3"/>
        <v/>
      </c>
      <c r="F822" s="7" t="str">
        <f>IF($A822&lt;&gt;"",MAXIFS(Token!$C:$C,Token!$A:$A,$D822),)</f>
        <v/>
      </c>
    </row>
    <row r="823">
      <c r="A823" s="39" t="str">
        <f>IF(AND($L823*1&gt;=$G$3,$L823*1&lt;=$G$4,$I823*$J823&gt;0,OR($I823&lt;&gt;$I824,$L823-$L824&gt;25),IF(ABS($I823)&gt;10,$I823/POW(10,$J823),$J823/POW(10,$I823))*MAXIFS(Token!$C:$C,Token!$A:$A,$K823)&gt;0.01),$L823/86400+DATE(1970,1,1)+$G$6,)</f>
        <v/>
      </c>
      <c r="B823" s="27" t="str">
        <f t="shared" si="1"/>
        <v/>
      </c>
      <c r="C823" s="14" t="str">
        <f>IF($A823&lt;&gt;"",MINIFS(Merchant!$A:$A,Merchant!$B:$B,$G$2),)</f>
        <v/>
      </c>
      <c r="D823" s="14" t="str">
        <f t="shared" si="2"/>
        <v/>
      </c>
      <c r="E823" s="14" t="str">
        <f t="shared" si="3"/>
        <v/>
      </c>
      <c r="F823" s="7" t="str">
        <f>IF($A823&lt;&gt;"",MAXIFS(Token!$C:$C,Token!$A:$A,$D823),)</f>
        <v/>
      </c>
    </row>
    <row r="824">
      <c r="A824" s="39" t="str">
        <f>IF(AND($L824*1&gt;=$G$3,$L824*1&lt;=$G$4,$I824*$J824&gt;0,OR($I824&lt;&gt;$I825,$L824-$L825&gt;25),IF(ABS($I824)&gt;10,$I824/POW(10,$J824),$J824/POW(10,$I824))*MAXIFS(Token!$C:$C,Token!$A:$A,$K824)&gt;0.01),$L824/86400+DATE(1970,1,1)+$G$6,)</f>
        <v/>
      </c>
      <c r="B824" s="27" t="str">
        <f t="shared" si="1"/>
        <v/>
      </c>
      <c r="C824" s="14" t="str">
        <f>IF($A824&lt;&gt;"",MINIFS(Merchant!$A:$A,Merchant!$B:$B,$G$2),)</f>
        <v/>
      </c>
      <c r="D824" s="14" t="str">
        <f t="shared" si="2"/>
        <v/>
      </c>
      <c r="E824" s="14" t="str">
        <f t="shared" si="3"/>
        <v/>
      </c>
      <c r="F824" s="7" t="str">
        <f>IF($A824&lt;&gt;"",MAXIFS(Token!$C:$C,Token!$A:$A,$D824),)</f>
        <v/>
      </c>
    </row>
    <row r="825">
      <c r="A825" s="39" t="str">
        <f>IF(AND($L825*1&gt;=$G$3,$L825*1&lt;=$G$4,$I825*$J825&gt;0,OR($I825&lt;&gt;$I826,$L825-$L826&gt;25),IF(ABS($I825)&gt;10,$I825/POW(10,$J825),$J825/POW(10,$I825))*MAXIFS(Token!$C:$C,Token!$A:$A,$K825)&gt;0.01),$L825/86400+DATE(1970,1,1)+$G$6,)</f>
        <v/>
      </c>
      <c r="B825" s="27" t="str">
        <f t="shared" si="1"/>
        <v/>
      </c>
      <c r="C825" s="14" t="str">
        <f>IF($A825&lt;&gt;"",MINIFS(Merchant!$A:$A,Merchant!$B:$B,$G$2),)</f>
        <v/>
      </c>
      <c r="D825" s="14" t="str">
        <f t="shared" si="2"/>
        <v/>
      </c>
      <c r="E825" s="14" t="str">
        <f t="shared" si="3"/>
        <v/>
      </c>
      <c r="F825" s="7" t="str">
        <f>IF($A825&lt;&gt;"",MAXIFS(Token!$C:$C,Token!$A:$A,$D825),)</f>
        <v/>
      </c>
    </row>
    <row r="826">
      <c r="A826" s="39" t="str">
        <f>IF(AND($L826*1&gt;=$G$3,$L826*1&lt;=$G$4,$I826*$J826&gt;0,OR($I826&lt;&gt;$I827,$L826-$L827&gt;25),IF(ABS($I826)&gt;10,$I826/POW(10,$J826),$J826/POW(10,$I826))*MAXIFS(Token!$C:$C,Token!$A:$A,$K826)&gt;0.01),$L826/86400+DATE(1970,1,1)+$G$6,)</f>
        <v/>
      </c>
      <c r="B826" s="27" t="str">
        <f t="shared" si="1"/>
        <v/>
      </c>
      <c r="C826" s="14" t="str">
        <f>IF($A826&lt;&gt;"",MINIFS(Merchant!$A:$A,Merchant!$B:$B,$G$2),)</f>
        <v/>
      </c>
      <c r="D826" s="14" t="str">
        <f t="shared" si="2"/>
        <v/>
      </c>
      <c r="E826" s="14" t="str">
        <f t="shared" si="3"/>
        <v/>
      </c>
      <c r="F826" s="7" t="str">
        <f>IF($A826&lt;&gt;"",MAXIFS(Token!$C:$C,Token!$A:$A,$D826),)</f>
        <v/>
      </c>
    </row>
    <row r="827">
      <c r="A827" s="39" t="str">
        <f>IF(AND($L827*1&gt;=$G$3,$L827*1&lt;=$G$4,$I827*$J827&gt;0,OR($I827&lt;&gt;$I828,$L827-$L828&gt;25),IF(ABS($I827)&gt;10,$I827/POW(10,$J827),$J827/POW(10,$I827))*MAXIFS(Token!$C:$C,Token!$A:$A,$K827)&gt;0.01),$L827/86400+DATE(1970,1,1)+$G$6,)</f>
        <v/>
      </c>
      <c r="B827" s="27" t="str">
        <f t="shared" si="1"/>
        <v/>
      </c>
      <c r="C827" s="14" t="str">
        <f>IF($A827&lt;&gt;"",MINIFS(Merchant!$A:$A,Merchant!$B:$B,$G$2),)</f>
        <v/>
      </c>
      <c r="D827" s="14" t="str">
        <f t="shared" si="2"/>
        <v/>
      </c>
      <c r="E827" s="14" t="str">
        <f t="shared" si="3"/>
        <v/>
      </c>
      <c r="F827" s="7" t="str">
        <f>IF($A827&lt;&gt;"",MAXIFS(Token!$C:$C,Token!$A:$A,$D827),)</f>
        <v/>
      </c>
    </row>
    <row r="828">
      <c r="A828" s="39" t="str">
        <f>IF(AND($L828*1&gt;=$G$3,$L828*1&lt;=$G$4,$I828*$J828&gt;0,OR($I828&lt;&gt;$I829,$L828-$L829&gt;25),IF(ABS($I828)&gt;10,$I828/POW(10,$J828),$J828/POW(10,$I828))*MAXIFS(Token!$C:$C,Token!$A:$A,$K828)&gt;0.01),$L828/86400+DATE(1970,1,1)+$G$6,)</f>
        <v/>
      </c>
      <c r="B828" s="27" t="str">
        <f t="shared" si="1"/>
        <v/>
      </c>
      <c r="C828" s="14" t="str">
        <f>IF($A828&lt;&gt;"",MINIFS(Merchant!$A:$A,Merchant!$B:$B,$G$2),)</f>
        <v/>
      </c>
      <c r="D828" s="14" t="str">
        <f t="shared" si="2"/>
        <v/>
      </c>
      <c r="E828" s="14" t="str">
        <f t="shared" si="3"/>
        <v/>
      </c>
      <c r="F828" s="7" t="str">
        <f>IF($A828&lt;&gt;"",MAXIFS(Token!$C:$C,Token!$A:$A,$D828),)</f>
        <v/>
      </c>
    </row>
    <row r="829">
      <c r="A829" s="39" t="str">
        <f>IF(AND($L829*1&gt;=$G$3,$L829*1&lt;=$G$4,$I829*$J829&gt;0,OR($I829&lt;&gt;$I830,$L829-$L830&gt;25),IF(ABS($I829)&gt;10,$I829/POW(10,$J829),$J829/POW(10,$I829))*MAXIFS(Token!$C:$C,Token!$A:$A,$K829)&gt;0.01),$L829/86400+DATE(1970,1,1)+$G$6,)</f>
        <v/>
      </c>
      <c r="B829" s="27" t="str">
        <f t="shared" si="1"/>
        <v/>
      </c>
      <c r="C829" s="14" t="str">
        <f>IF($A829&lt;&gt;"",MINIFS(Merchant!$A:$A,Merchant!$B:$B,$G$2),)</f>
        <v/>
      </c>
      <c r="D829" s="14" t="str">
        <f t="shared" si="2"/>
        <v/>
      </c>
      <c r="E829" s="14" t="str">
        <f t="shared" si="3"/>
        <v/>
      </c>
      <c r="F829" s="7" t="str">
        <f>IF($A829&lt;&gt;"",MAXIFS(Token!$C:$C,Token!$A:$A,$D829),)</f>
        <v/>
      </c>
    </row>
    <row r="830">
      <c r="A830" s="39" t="str">
        <f>IF(AND($L830*1&gt;=$G$3,$L830*1&lt;=$G$4,$I830*$J830&gt;0,OR($I830&lt;&gt;$I831,$L830-$L831&gt;25),IF(ABS($I830)&gt;10,$I830/POW(10,$J830),$J830/POW(10,$I830))*MAXIFS(Token!$C:$C,Token!$A:$A,$K830)&gt;0.01),$L830/86400+DATE(1970,1,1)+$G$6,)</f>
        <v/>
      </c>
      <c r="B830" s="27" t="str">
        <f t="shared" si="1"/>
        <v/>
      </c>
      <c r="C830" s="14" t="str">
        <f>IF($A830&lt;&gt;"",MINIFS(Merchant!$A:$A,Merchant!$B:$B,$G$2),)</f>
        <v/>
      </c>
      <c r="D830" s="14" t="str">
        <f t="shared" si="2"/>
        <v/>
      </c>
      <c r="E830" s="14" t="str">
        <f t="shared" si="3"/>
        <v/>
      </c>
      <c r="F830" s="7" t="str">
        <f>IF($A830&lt;&gt;"",MAXIFS(Token!$C:$C,Token!$A:$A,$D830),)</f>
        <v/>
      </c>
    </row>
    <row r="831">
      <c r="A831" s="39" t="str">
        <f>IF(AND($L831*1&gt;=$G$3,$L831*1&lt;=$G$4,$I831*$J831&gt;0,OR($I831&lt;&gt;$I832,$L831-$L832&gt;25),IF(ABS($I831)&gt;10,$I831/POW(10,$J831),$J831/POW(10,$I831))*MAXIFS(Token!$C:$C,Token!$A:$A,$K831)&gt;0.01),$L831/86400+DATE(1970,1,1)+$G$6,)</f>
        <v/>
      </c>
      <c r="B831" s="27" t="str">
        <f t="shared" si="1"/>
        <v/>
      </c>
      <c r="C831" s="14" t="str">
        <f>IF($A831&lt;&gt;"",MINIFS(Merchant!$A:$A,Merchant!$B:$B,$G$2),)</f>
        <v/>
      </c>
      <c r="D831" s="14" t="str">
        <f t="shared" si="2"/>
        <v/>
      </c>
      <c r="E831" s="14" t="str">
        <f t="shared" si="3"/>
        <v/>
      </c>
      <c r="F831" s="7" t="str">
        <f>IF($A831&lt;&gt;"",MAXIFS(Token!$C:$C,Token!$A:$A,$D831),)</f>
        <v/>
      </c>
    </row>
    <row r="832">
      <c r="A832" s="39" t="str">
        <f>IF(AND($L832*1&gt;=$G$3,$L832*1&lt;=$G$4,$I832*$J832&gt;0,OR($I832&lt;&gt;$I833,$L832-$L833&gt;25),IF(ABS($I832)&gt;10,$I832/POW(10,$J832),$J832/POW(10,$I832))*MAXIFS(Token!$C:$C,Token!$A:$A,$K832)&gt;0.01),$L832/86400+DATE(1970,1,1)+$G$6,)</f>
        <v/>
      </c>
      <c r="B832" s="27" t="str">
        <f t="shared" si="1"/>
        <v/>
      </c>
      <c r="C832" s="14" t="str">
        <f>IF($A832&lt;&gt;"",MINIFS(Merchant!$A:$A,Merchant!$B:$B,$G$2),)</f>
        <v/>
      </c>
      <c r="D832" s="14" t="str">
        <f t="shared" si="2"/>
        <v/>
      </c>
      <c r="E832" s="14" t="str">
        <f t="shared" si="3"/>
        <v/>
      </c>
      <c r="F832" s="7" t="str">
        <f>IF($A832&lt;&gt;"",MAXIFS(Token!$C:$C,Token!$A:$A,$D832),)</f>
        <v/>
      </c>
    </row>
    <row r="833">
      <c r="A833" s="39" t="str">
        <f>IF(AND($L833*1&gt;=$G$3,$L833*1&lt;=$G$4,$I833*$J833&gt;0,OR($I833&lt;&gt;$I834,$L833-$L834&gt;25),IF(ABS($I833)&gt;10,$I833/POW(10,$J833),$J833/POW(10,$I833))*MAXIFS(Token!$C:$C,Token!$A:$A,$K833)&gt;0.01),$L833/86400+DATE(1970,1,1)+$G$6,)</f>
        <v/>
      </c>
      <c r="B833" s="27" t="str">
        <f t="shared" si="1"/>
        <v/>
      </c>
      <c r="C833" s="14" t="str">
        <f>IF($A833&lt;&gt;"",MINIFS(Merchant!$A:$A,Merchant!$B:$B,$G$2),)</f>
        <v/>
      </c>
      <c r="D833" s="14" t="str">
        <f t="shared" si="2"/>
        <v/>
      </c>
      <c r="E833" s="14" t="str">
        <f t="shared" si="3"/>
        <v/>
      </c>
      <c r="F833" s="7" t="str">
        <f>IF($A833&lt;&gt;"",MAXIFS(Token!$C:$C,Token!$A:$A,$D833),)</f>
        <v/>
      </c>
    </row>
    <row r="834">
      <c r="A834" s="39" t="str">
        <f>IF(AND($L834*1&gt;=$G$3,$L834*1&lt;=$G$4,$I834*$J834&gt;0,OR($I834&lt;&gt;$I835,$L834-$L835&gt;25),IF(ABS($I834)&gt;10,$I834/POW(10,$J834),$J834/POW(10,$I834))*MAXIFS(Token!$C:$C,Token!$A:$A,$K834)&gt;0.01),$L834/86400+DATE(1970,1,1)+$G$6,)</f>
        <v/>
      </c>
      <c r="B834" s="27" t="str">
        <f t="shared" si="1"/>
        <v/>
      </c>
      <c r="C834" s="14" t="str">
        <f>IF($A834&lt;&gt;"",MINIFS(Merchant!$A:$A,Merchant!$B:$B,$G$2),)</f>
        <v/>
      </c>
      <c r="D834" s="14" t="str">
        <f t="shared" si="2"/>
        <v/>
      </c>
      <c r="E834" s="14" t="str">
        <f t="shared" si="3"/>
        <v/>
      </c>
      <c r="F834" s="7" t="str">
        <f>IF($A834&lt;&gt;"",MAXIFS(Token!$C:$C,Token!$A:$A,$D834),)</f>
        <v/>
      </c>
    </row>
    <row r="835">
      <c r="A835" s="39" t="str">
        <f>IF(AND($L835*1&gt;=$G$3,$L835*1&lt;=$G$4,$I835*$J835&gt;0,OR($I835&lt;&gt;$I836,$L835-$L836&gt;25),IF(ABS($I835)&gt;10,$I835/POW(10,$J835),$J835/POW(10,$I835))*MAXIFS(Token!$C:$C,Token!$A:$A,$K835)&gt;0.01),$L835/86400+DATE(1970,1,1)+$G$6,)</f>
        <v/>
      </c>
      <c r="B835" s="27" t="str">
        <f t="shared" si="1"/>
        <v/>
      </c>
      <c r="C835" s="14" t="str">
        <f>IF($A835&lt;&gt;"",MINIFS(Merchant!$A:$A,Merchant!$B:$B,$G$2),)</f>
        <v/>
      </c>
      <c r="D835" s="14" t="str">
        <f t="shared" si="2"/>
        <v/>
      </c>
      <c r="E835" s="14" t="str">
        <f t="shared" si="3"/>
        <v/>
      </c>
      <c r="F835" s="7" t="str">
        <f>IF($A835&lt;&gt;"",MAXIFS(Token!$C:$C,Token!$A:$A,$D835),)</f>
        <v/>
      </c>
    </row>
    <row r="836">
      <c r="A836" s="39" t="str">
        <f>IF(AND($L836*1&gt;=$G$3,$L836*1&lt;=$G$4,$I836*$J836&gt;0,OR($I836&lt;&gt;$I837,$L836-$L837&gt;25),IF(ABS($I836)&gt;10,$I836/POW(10,$J836),$J836/POW(10,$I836))*MAXIFS(Token!$C:$C,Token!$A:$A,$K836)&gt;0.01),$L836/86400+DATE(1970,1,1)+$G$6,)</f>
        <v/>
      </c>
      <c r="B836" s="27" t="str">
        <f t="shared" si="1"/>
        <v/>
      </c>
      <c r="C836" s="14" t="str">
        <f>IF($A836&lt;&gt;"",MINIFS(Merchant!$A:$A,Merchant!$B:$B,$G$2),)</f>
        <v/>
      </c>
      <c r="D836" s="14" t="str">
        <f t="shared" si="2"/>
        <v/>
      </c>
      <c r="E836" s="14" t="str">
        <f t="shared" si="3"/>
        <v/>
      </c>
      <c r="F836" s="7" t="str">
        <f>IF($A836&lt;&gt;"",MAXIFS(Token!$C:$C,Token!$A:$A,$D836),)</f>
        <v/>
      </c>
    </row>
    <row r="837">
      <c r="A837" s="39" t="str">
        <f>IF(AND($L837*1&gt;=$G$3,$L837*1&lt;=$G$4,$I837*$J837&gt;0,OR($I837&lt;&gt;$I838,$L837-$L838&gt;25),IF(ABS($I837)&gt;10,$I837/POW(10,$J837),$J837/POW(10,$I837))*MAXIFS(Token!$C:$C,Token!$A:$A,$K837)&gt;0.01),$L837/86400+DATE(1970,1,1)+$G$6,)</f>
        <v/>
      </c>
      <c r="B837" s="27" t="str">
        <f t="shared" si="1"/>
        <v/>
      </c>
      <c r="C837" s="14" t="str">
        <f>IF($A837&lt;&gt;"",MINIFS(Merchant!$A:$A,Merchant!$B:$B,$G$2),)</f>
        <v/>
      </c>
      <c r="D837" s="14" t="str">
        <f t="shared" si="2"/>
        <v/>
      </c>
      <c r="E837" s="14" t="str">
        <f t="shared" si="3"/>
        <v/>
      </c>
      <c r="F837" s="7" t="str">
        <f>IF($A837&lt;&gt;"",MAXIFS(Token!$C:$C,Token!$A:$A,$D837),)</f>
        <v/>
      </c>
    </row>
    <row r="838">
      <c r="A838" s="39" t="str">
        <f>IF(AND($L838*1&gt;=$G$3,$L838*1&lt;=$G$4,$I838*$J838&gt;0,OR($I838&lt;&gt;$I839,$L838-$L839&gt;25),IF(ABS($I838)&gt;10,$I838/POW(10,$J838),$J838/POW(10,$I838))*MAXIFS(Token!$C:$C,Token!$A:$A,$K838)&gt;0.01),$L838/86400+DATE(1970,1,1)+$G$6,)</f>
        <v/>
      </c>
      <c r="B838" s="27" t="str">
        <f t="shared" si="1"/>
        <v/>
      </c>
      <c r="C838" s="14" t="str">
        <f>IF($A838&lt;&gt;"",MINIFS(Merchant!$A:$A,Merchant!$B:$B,$G$2),)</f>
        <v/>
      </c>
      <c r="D838" s="14" t="str">
        <f t="shared" si="2"/>
        <v/>
      </c>
      <c r="E838" s="14" t="str">
        <f t="shared" si="3"/>
        <v/>
      </c>
      <c r="F838" s="7" t="str">
        <f>IF($A838&lt;&gt;"",MAXIFS(Token!$C:$C,Token!$A:$A,$D838),)</f>
        <v/>
      </c>
    </row>
    <row r="839">
      <c r="A839" s="39" t="str">
        <f>IF(AND($L839*1&gt;=$G$3,$L839*1&lt;=$G$4,$I839*$J839&gt;0,OR($I839&lt;&gt;$I840,$L839-$L840&gt;25),IF(ABS($I839)&gt;10,$I839/POW(10,$J839),$J839/POW(10,$I839))*MAXIFS(Token!$C:$C,Token!$A:$A,$K839)&gt;0.01),$L839/86400+DATE(1970,1,1)+$G$6,)</f>
        <v/>
      </c>
      <c r="B839" s="27" t="str">
        <f t="shared" si="1"/>
        <v/>
      </c>
      <c r="C839" s="14" t="str">
        <f>IF($A839&lt;&gt;"",MINIFS(Merchant!$A:$A,Merchant!$B:$B,$G$2),)</f>
        <v/>
      </c>
      <c r="D839" s="14" t="str">
        <f t="shared" si="2"/>
        <v/>
      </c>
      <c r="E839" s="14" t="str">
        <f t="shared" si="3"/>
        <v/>
      </c>
      <c r="F839" s="7" t="str">
        <f>IF($A839&lt;&gt;"",MAXIFS(Token!$C:$C,Token!$A:$A,$D839),)</f>
        <v/>
      </c>
    </row>
    <row r="840">
      <c r="A840" s="39" t="str">
        <f>IF(AND($L840*1&gt;=$G$3,$L840*1&lt;=$G$4,$I840*$J840&gt;0,OR($I840&lt;&gt;$I841,$L840-$L841&gt;25),IF(ABS($I840)&gt;10,$I840/POW(10,$J840),$J840/POW(10,$I840))*MAXIFS(Token!$C:$C,Token!$A:$A,$K840)&gt;0.01),$L840/86400+DATE(1970,1,1)+$G$6,)</f>
        <v/>
      </c>
      <c r="B840" s="27" t="str">
        <f t="shared" si="1"/>
        <v/>
      </c>
      <c r="C840" s="14" t="str">
        <f>IF($A840&lt;&gt;"",MINIFS(Merchant!$A:$A,Merchant!$B:$B,$G$2),)</f>
        <v/>
      </c>
      <c r="D840" s="14" t="str">
        <f t="shared" si="2"/>
        <v/>
      </c>
      <c r="E840" s="14" t="str">
        <f t="shared" si="3"/>
        <v/>
      </c>
      <c r="F840" s="7" t="str">
        <f>IF($A840&lt;&gt;"",MAXIFS(Token!$C:$C,Token!$A:$A,$D840),)</f>
        <v/>
      </c>
    </row>
    <row r="841">
      <c r="A841" s="39" t="str">
        <f>IF(AND($L841*1&gt;=$G$3,$L841*1&lt;=$G$4,$I841*$J841&gt;0,OR($I841&lt;&gt;$I842,$L841-$L842&gt;25),IF(ABS($I841)&gt;10,$I841/POW(10,$J841),$J841/POW(10,$I841))*MAXIFS(Token!$C:$C,Token!$A:$A,$K841)&gt;0.01),$L841/86400+DATE(1970,1,1)+$G$6,)</f>
        <v/>
      </c>
      <c r="B841" s="27" t="str">
        <f t="shared" si="1"/>
        <v/>
      </c>
      <c r="C841" s="14" t="str">
        <f>IF($A841&lt;&gt;"",MINIFS(Merchant!$A:$A,Merchant!$B:$B,$G$2),)</f>
        <v/>
      </c>
      <c r="D841" s="14" t="str">
        <f t="shared" si="2"/>
        <v/>
      </c>
      <c r="E841" s="14" t="str">
        <f t="shared" si="3"/>
        <v/>
      </c>
      <c r="F841" s="7" t="str">
        <f>IF($A841&lt;&gt;"",MAXIFS(Token!$C:$C,Token!$A:$A,$D841),)</f>
        <v/>
      </c>
    </row>
    <row r="842">
      <c r="A842" s="39" t="str">
        <f>IF(AND($L842*1&gt;=$G$3,$L842*1&lt;=$G$4,$I842*$J842&gt;0,OR($I842&lt;&gt;$I843,$L842-$L843&gt;25),IF(ABS($I842)&gt;10,$I842/POW(10,$J842),$J842/POW(10,$I842))*MAXIFS(Token!$C:$C,Token!$A:$A,$K842)&gt;0.01),$L842/86400+DATE(1970,1,1)+$G$6,)</f>
        <v/>
      </c>
      <c r="B842" s="27" t="str">
        <f t="shared" si="1"/>
        <v/>
      </c>
      <c r="C842" s="14" t="str">
        <f>IF($A842&lt;&gt;"",MINIFS(Merchant!$A:$A,Merchant!$B:$B,$G$2),)</f>
        <v/>
      </c>
      <c r="D842" s="14" t="str">
        <f t="shared" si="2"/>
        <v/>
      </c>
      <c r="E842" s="14" t="str">
        <f t="shared" si="3"/>
        <v/>
      </c>
      <c r="F842" s="7" t="str">
        <f>IF($A842&lt;&gt;"",MAXIFS(Token!$C:$C,Token!$A:$A,$D842),)</f>
        <v/>
      </c>
    </row>
    <row r="843">
      <c r="A843" s="39" t="str">
        <f>IF(AND($L843*1&gt;=$G$3,$L843*1&lt;=$G$4,$I843*$J843&gt;0,OR($I843&lt;&gt;$I844,$L843-$L844&gt;25),IF(ABS($I843)&gt;10,$I843/POW(10,$J843),$J843/POW(10,$I843))*MAXIFS(Token!$C:$C,Token!$A:$A,$K843)&gt;0.01),$L843/86400+DATE(1970,1,1)+$G$6,)</f>
        <v/>
      </c>
      <c r="B843" s="27" t="str">
        <f t="shared" si="1"/>
        <v/>
      </c>
      <c r="C843" s="14" t="str">
        <f>IF($A843&lt;&gt;"",MINIFS(Merchant!$A:$A,Merchant!$B:$B,$G$2),)</f>
        <v/>
      </c>
      <c r="D843" s="14" t="str">
        <f t="shared" si="2"/>
        <v/>
      </c>
      <c r="E843" s="14" t="str">
        <f t="shared" si="3"/>
        <v/>
      </c>
      <c r="F843" s="7" t="str">
        <f>IF($A843&lt;&gt;"",MAXIFS(Token!$C:$C,Token!$A:$A,$D843),)</f>
        <v/>
      </c>
    </row>
    <row r="844">
      <c r="A844" s="39" t="str">
        <f>IF(AND($L844*1&gt;=$G$3,$L844*1&lt;=$G$4,$I844*$J844&gt;0,OR($I844&lt;&gt;$I845,$L844-$L845&gt;25),IF(ABS($I844)&gt;10,$I844/POW(10,$J844),$J844/POW(10,$I844))*MAXIFS(Token!$C:$C,Token!$A:$A,$K844)&gt;0.01),$L844/86400+DATE(1970,1,1)+$G$6,)</f>
        <v/>
      </c>
      <c r="B844" s="27" t="str">
        <f t="shared" si="1"/>
        <v/>
      </c>
      <c r="C844" s="14" t="str">
        <f>IF($A844&lt;&gt;"",MINIFS(Merchant!$A:$A,Merchant!$B:$B,$G$2),)</f>
        <v/>
      </c>
      <c r="D844" s="14" t="str">
        <f t="shared" si="2"/>
        <v/>
      </c>
      <c r="E844" s="14" t="str">
        <f t="shared" si="3"/>
        <v/>
      </c>
      <c r="F844" s="7" t="str">
        <f>IF($A844&lt;&gt;"",MAXIFS(Token!$C:$C,Token!$A:$A,$D844),)</f>
        <v/>
      </c>
    </row>
    <row r="845">
      <c r="A845" s="39" t="str">
        <f>IF(AND($L845*1&gt;=$G$3,$L845*1&lt;=$G$4,$I845*$J845&gt;0,OR($I845&lt;&gt;$I846,$L845-$L846&gt;25),IF(ABS($I845)&gt;10,$I845/POW(10,$J845),$J845/POW(10,$I845))*MAXIFS(Token!$C:$C,Token!$A:$A,$K845)&gt;0.01),$L845/86400+DATE(1970,1,1)+$G$6,)</f>
        <v/>
      </c>
      <c r="B845" s="27" t="str">
        <f t="shared" si="1"/>
        <v/>
      </c>
      <c r="C845" s="14" t="str">
        <f>IF($A845&lt;&gt;"",MINIFS(Merchant!$A:$A,Merchant!$B:$B,$G$2),)</f>
        <v/>
      </c>
      <c r="D845" s="14" t="str">
        <f t="shared" si="2"/>
        <v/>
      </c>
      <c r="E845" s="14" t="str">
        <f t="shared" si="3"/>
        <v/>
      </c>
      <c r="F845" s="7" t="str">
        <f>IF($A845&lt;&gt;"",MAXIFS(Token!$C:$C,Token!$A:$A,$D845),)</f>
        <v/>
      </c>
    </row>
    <row r="846">
      <c r="A846" s="39" t="str">
        <f>IF(AND($L846*1&gt;=$G$3,$L846*1&lt;=$G$4,$I846*$J846&gt;0,OR($I846&lt;&gt;$I847,$L846-$L847&gt;25),IF(ABS($I846)&gt;10,$I846/POW(10,$J846),$J846/POW(10,$I846))*MAXIFS(Token!$C:$C,Token!$A:$A,$K846)&gt;0.01),$L846/86400+DATE(1970,1,1)+$G$6,)</f>
        <v/>
      </c>
      <c r="B846" s="27" t="str">
        <f t="shared" si="1"/>
        <v/>
      </c>
      <c r="C846" s="14" t="str">
        <f>IF($A846&lt;&gt;"",MINIFS(Merchant!$A:$A,Merchant!$B:$B,$G$2),)</f>
        <v/>
      </c>
      <c r="D846" s="14" t="str">
        <f t="shared" si="2"/>
        <v/>
      </c>
      <c r="E846" s="14" t="str">
        <f t="shared" si="3"/>
        <v/>
      </c>
      <c r="F846" s="7" t="str">
        <f>IF($A846&lt;&gt;"",MAXIFS(Token!$C:$C,Token!$A:$A,$D846),)</f>
        <v/>
      </c>
    </row>
    <row r="847">
      <c r="A847" s="39" t="str">
        <f>IF(AND($L847*1&gt;=$G$3,$L847*1&lt;=$G$4,$I847*$J847&gt;0,OR($I847&lt;&gt;$I848,$L847-$L848&gt;25),IF(ABS($I847)&gt;10,$I847/POW(10,$J847),$J847/POW(10,$I847))*MAXIFS(Token!$C:$C,Token!$A:$A,$K847)&gt;0.01),$L847/86400+DATE(1970,1,1)+$G$6,)</f>
        <v/>
      </c>
      <c r="B847" s="27" t="str">
        <f t="shared" si="1"/>
        <v/>
      </c>
      <c r="C847" s="14" t="str">
        <f>IF($A847&lt;&gt;"",MINIFS(Merchant!$A:$A,Merchant!$B:$B,$G$2),)</f>
        <v/>
      </c>
      <c r="D847" s="14" t="str">
        <f t="shared" si="2"/>
        <v/>
      </c>
      <c r="E847" s="14" t="str">
        <f t="shared" si="3"/>
        <v/>
      </c>
      <c r="F847" s="7" t="str">
        <f>IF($A847&lt;&gt;"",MAXIFS(Token!$C:$C,Token!$A:$A,$D847),)</f>
        <v/>
      </c>
    </row>
    <row r="848">
      <c r="A848" s="39" t="str">
        <f>IF(AND($L848*1&gt;=$G$3,$L848*1&lt;=$G$4,$I848*$J848&gt;0,OR($I848&lt;&gt;$I849,$L848-$L849&gt;25),IF(ABS($I848)&gt;10,$I848/POW(10,$J848),$J848/POW(10,$I848))*MAXIFS(Token!$C:$C,Token!$A:$A,$K848)&gt;0.01),$L848/86400+DATE(1970,1,1)+$G$6,)</f>
        <v/>
      </c>
      <c r="B848" s="27" t="str">
        <f t="shared" si="1"/>
        <v/>
      </c>
      <c r="C848" s="14" t="str">
        <f>IF($A848&lt;&gt;"",MINIFS(Merchant!$A:$A,Merchant!$B:$B,$G$2),)</f>
        <v/>
      </c>
      <c r="D848" s="14" t="str">
        <f t="shared" si="2"/>
        <v/>
      </c>
      <c r="E848" s="14" t="str">
        <f t="shared" si="3"/>
        <v/>
      </c>
      <c r="F848" s="7" t="str">
        <f>IF($A848&lt;&gt;"",MAXIFS(Token!$C:$C,Token!$A:$A,$D848),)</f>
        <v/>
      </c>
    </row>
    <row r="849">
      <c r="A849" s="39" t="str">
        <f>IF(AND($L849*1&gt;=$G$3,$L849*1&lt;=$G$4,$I849*$J849&gt;0,OR($I849&lt;&gt;$I850,$L849-$L850&gt;25),IF(ABS($I849)&gt;10,$I849/POW(10,$J849),$J849/POW(10,$I849))*MAXIFS(Token!$C:$C,Token!$A:$A,$K849)&gt;0.01),$L849/86400+DATE(1970,1,1)+$G$6,)</f>
        <v/>
      </c>
      <c r="B849" s="27" t="str">
        <f t="shared" si="1"/>
        <v/>
      </c>
      <c r="C849" s="14" t="str">
        <f>IF($A849&lt;&gt;"",MINIFS(Merchant!$A:$A,Merchant!$B:$B,$G$2),)</f>
        <v/>
      </c>
      <c r="D849" s="14" t="str">
        <f t="shared" si="2"/>
        <v/>
      </c>
      <c r="E849" s="14" t="str">
        <f t="shared" si="3"/>
        <v/>
      </c>
      <c r="F849" s="7" t="str">
        <f>IF($A849&lt;&gt;"",MAXIFS(Token!$C:$C,Token!$A:$A,$D849),)</f>
        <v/>
      </c>
    </row>
    <row r="850">
      <c r="A850" s="39" t="str">
        <f>IF(AND($L850*1&gt;=$G$3,$L850*1&lt;=$G$4,$I850*$J850&gt;0,OR($I850&lt;&gt;$I851,$L850-$L851&gt;25),IF(ABS($I850)&gt;10,$I850/POW(10,$J850),$J850/POW(10,$I850))*MAXIFS(Token!$C:$C,Token!$A:$A,$K850)&gt;0.01),$L850/86400+DATE(1970,1,1)+$G$6,)</f>
        <v/>
      </c>
      <c r="B850" s="27" t="str">
        <f t="shared" si="1"/>
        <v/>
      </c>
      <c r="C850" s="14" t="str">
        <f>IF($A850&lt;&gt;"",MINIFS(Merchant!$A:$A,Merchant!$B:$B,$G$2),)</f>
        <v/>
      </c>
      <c r="D850" s="14" t="str">
        <f t="shared" si="2"/>
        <v/>
      </c>
      <c r="E850" s="14" t="str">
        <f t="shared" si="3"/>
        <v/>
      </c>
      <c r="F850" s="7" t="str">
        <f>IF($A850&lt;&gt;"",MAXIFS(Token!$C:$C,Token!$A:$A,$D850),)</f>
        <v/>
      </c>
    </row>
    <row r="851">
      <c r="A851" s="39" t="str">
        <f>IF(AND($L851*1&gt;=$G$3,$L851*1&lt;=$G$4,$I851*$J851&gt;0,OR($I851&lt;&gt;$I852,$L851-$L852&gt;25),IF(ABS($I851)&gt;10,$I851/POW(10,$J851),$J851/POW(10,$I851))*MAXIFS(Token!$C:$C,Token!$A:$A,$K851)&gt;0.01),$L851/86400+DATE(1970,1,1)+$G$6,)</f>
        <v/>
      </c>
      <c r="B851" s="27" t="str">
        <f t="shared" si="1"/>
        <v/>
      </c>
      <c r="C851" s="14" t="str">
        <f>IF($A851&lt;&gt;"",MINIFS(Merchant!$A:$A,Merchant!$B:$B,$G$2),)</f>
        <v/>
      </c>
      <c r="D851" s="14" t="str">
        <f t="shared" si="2"/>
        <v/>
      </c>
      <c r="E851" s="14" t="str">
        <f t="shared" si="3"/>
        <v/>
      </c>
      <c r="F851" s="7" t="str">
        <f>IF($A851&lt;&gt;"",MAXIFS(Token!$C:$C,Token!$A:$A,$D851),)</f>
        <v/>
      </c>
    </row>
    <row r="852">
      <c r="A852" s="39" t="str">
        <f>IF(AND($L852*1&gt;=$G$3,$L852*1&lt;=$G$4,$I852*$J852&gt;0,OR($I852&lt;&gt;$I853,$L852-$L853&gt;25),IF(ABS($I852)&gt;10,$I852/POW(10,$J852),$J852/POW(10,$I852))*MAXIFS(Token!$C:$C,Token!$A:$A,$K852)&gt;0.01),$L852/86400+DATE(1970,1,1)+$G$6,)</f>
        <v/>
      </c>
      <c r="B852" s="27" t="str">
        <f t="shared" si="1"/>
        <v/>
      </c>
      <c r="C852" s="14" t="str">
        <f>IF($A852&lt;&gt;"",MINIFS(Merchant!$A:$A,Merchant!$B:$B,$G$2),)</f>
        <v/>
      </c>
      <c r="D852" s="14" t="str">
        <f t="shared" si="2"/>
        <v/>
      </c>
      <c r="E852" s="14" t="str">
        <f t="shared" si="3"/>
        <v/>
      </c>
      <c r="F852" s="7" t="str">
        <f>IF($A852&lt;&gt;"",MAXIFS(Token!$C:$C,Token!$A:$A,$D852),)</f>
        <v/>
      </c>
    </row>
    <row r="853">
      <c r="A853" s="39" t="str">
        <f>IF(AND($L853*1&gt;=$G$3,$L853*1&lt;=$G$4,$I853*$J853&gt;0,OR($I853&lt;&gt;$I854,$L853-$L854&gt;25),IF(ABS($I853)&gt;10,$I853/POW(10,$J853),$J853/POW(10,$I853))*MAXIFS(Token!$C:$C,Token!$A:$A,$K853)&gt;0.01),$L853/86400+DATE(1970,1,1)+$G$6,)</f>
        <v/>
      </c>
      <c r="B853" s="27" t="str">
        <f t="shared" si="1"/>
        <v/>
      </c>
      <c r="C853" s="14" t="str">
        <f>IF($A853&lt;&gt;"",MINIFS(Merchant!$A:$A,Merchant!$B:$B,$G$2),)</f>
        <v/>
      </c>
      <c r="D853" s="14" t="str">
        <f t="shared" si="2"/>
        <v/>
      </c>
      <c r="E853" s="14" t="str">
        <f t="shared" si="3"/>
        <v/>
      </c>
      <c r="F853" s="7" t="str">
        <f>IF($A853&lt;&gt;"",MAXIFS(Token!$C:$C,Token!$A:$A,$D853),)</f>
        <v/>
      </c>
    </row>
    <row r="854">
      <c r="A854" s="39" t="str">
        <f>IF(AND($L854*1&gt;=$G$3,$L854*1&lt;=$G$4,$I854*$J854&gt;0,OR($I854&lt;&gt;$I855,$L854-$L855&gt;25),IF(ABS($I854)&gt;10,$I854/POW(10,$J854),$J854/POW(10,$I854))*MAXIFS(Token!$C:$C,Token!$A:$A,$K854)&gt;0.01),$L854/86400+DATE(1970,1,1)+$G$6,)</f>
        <v/>
      </c>
      <c r="B854" s="27" t="str">
        <f t="shared" si="1"/>
        <v/>
      </c>
      <c r="C854" s="14" t="str">
        <f>IF($A854&lt;&gt;"",MINIFS(Merchant!$A:$A,Merchant!$B:$B,$G$2),)</f>
        <v/>
      </c>
      <c r="D854" s="14" t="str">
        <f t="shared" si="2"/>
        <v/>
      </c>
      <c r="E854" s="14" t="str">
        <f t="shared" si="3"/>
        <v/>
      </c>
      <c r="F854" s="7" t="str">
        <f>IF($A854&lt;&gt;"",MAXIFS(Token!$C:$C,Token!$A:$A,$D854),)</f>
        <v/>
      </c>
    </row>
    <row r="855">
      <c r="A855" s="39" t="str">
        <f>IF(AND($L855*1&gt;=$G$3,$L855*1&lt;=$G$4,$I855*$J855&gt;0,OR($I855&lt;&gt;$I856,$L855-$L856&gt;25),IF(ABS($I855)&gt;10,$I855/POW(10,$J855),$J855/POW(10,$I855))*MAXIFS(Token!$C:$C,Token!$A:$A,$K855)&gt;0.01),$L855/86400+DATE(1970,1,1)+$G$6,)</f>
        <v/>
      </c>
      <c r="B855" s="27" t="str">
        <f t="shared" si="1"/>
        <v/>
      </c>
      <c r="C855" s="14" t="str">
        <f>IF($A855&lt;&gt;"",MINIFS(Merchant!$A:$A,Merchant!$B:$B,$G$2),)</f>
        <v/>
      </c>
      <c r="D855" s="14" t="str">
        <f t="shared" si="2"/>
        <v/>
      </c>
      <c r="E855" s="14" t="str">
        <f t="shared" si="3"/>
        <v/>
      </c>
      <c r="F855" s="7" t="str">
        <f>IF($A855&lt;&gt;"",MAXIFS(Token!$C:$C,Token!$A:$A,$D855),)</f>
        <v/>
      </c>
    </row>
    <row r="856">
      <c r="A856" s="39" t="str">
        <f>IF(AND($L856*1&gt;=$G$3,$L856*1&lt;=$G$4,$I856*$J856&gt;0,OR($I856&lt;&gt;$I857,$L856-$L857&gt;25),IF(ABS($I856)&gt;10,$I856/POW(10,$J856),$J856/POW(10,$I856))*MAXIFS(Token!$C:$C,Token!$A:$A,$K856)&gt;0.01),$L856/86400+DATE(1970,1,1)+$G$6,)</f>
        <v/>
      </c>
      <c r="B856" s="27" t="str">
        <f t="shared" si="1"/>
        <v/>
      </c>
      <c r="C856" s="14" t="str">
        <f>IF($A856&lt;&gt;"",MINIFS(Merchant!$A:$A,Merchant!$B:$B,$G$2),)</f>
        <v/>
      </c>
      <c r="D856" s="14" t="str">
        <f t="shared" si="2"/>
        <v/>
      </c>
      <c r="E856" s="14" t="str">
        <f t="shared" si="3"/>
        <v/>
      </c>
      <c r="F856" s="7" t="str">
        <f>IF($A856&lt;&gt;"",MAXIFS(Token!$C:$C,Token!$A:$A,$D856),)</f>
        <v/>
      </c>
    </row>
    <row r="857">
      <c r="A857" s="39" t="str">
        <f>IF(AND($L857*1&gt;=$G$3,$L857*1&lt;=$G$4,$I857*$J857&gt;0,OR($I857&lt;&gt;$I858,$L857-$L858&gt;25),IF(ABS($I857)&gt;10,$I857/POW(10,$J857),$J857/POW(10,$I857))*MAXIFS(Token!$C:$C,Token!$A:$A,$K857)&gt;0.01),$L857/86400+DATE(1970,1,1)+$G$6,)</f>
        <v/>
      </c>
      <c r="B857" s="27" t="str">
        <f t="shared" si="1"/>
        <v/>
      </c>
      <c r="C857" s="14" t="str">
        <f>IF($A857&lt;&gt;"",MINIFS(Merchant!$A:$A,Merchant!$B:$B,$G$2),)</f>
        <v/>
      </c>
      <c r="D857" s="14" t="str">
        <f t="shared" si="2"/>
        <v/>
      </c>
      <c r="E857" s="14" t="str">
        <f t="shared" si="3"/>
        <v/>
      </c>
      <c r="F857" s="7" t="str">
        <f>IF($A857&lt;&gt;"",MAXIFS(Token!$C:$C,Token!$A:$A,$D857),)</f>
        <v/>
      </c>
    </row>
    <row r="858">
      <c r="A858" s="39" t="str">
        <f>IF(AND($L858*1&gt;=$G$3,$L858*1&lt;=$G$4,$I858*$J858&gt;0,OR($I858&lt;&gt;$I859,$L858-$L859&gt;25),IF(ABS($I858)&gt;10,$I858/POW(10,$J858),$J858/POW(10,$I858))*MAXIFS(Token!$C:$C,Token!$A:$A,$K858)&gt;0.01),$L858/86400+DATE(1970,1,1)+$G$6,)</f>
        <v/>
      </c>
      <c r="B858" s="27" t="str">
        <f t="shared" si="1"/>
        <v/>
      </c>
      <c r="C858" s="14" t="str">
        <f>IF($A858&lt;&gt;"",MINIFS(Merchant!$A:$A,Merchant!$B:$B,$G$2),)</f>
        <v/>
      </c>
      <c r="D858" s="14" t="str">
        <f t="shared" si="2"/>
        <v/>
      </c>
      <c r="E858" s="14" t="str">
        <f t="shared" si="3"/>
        <v/>
      </c>
      <c r="F858" s="7" t="str">
        <f>IF($A858&lt;&gt;"",MAXIFS(Token!$C:$C,Token!$A:$A,$D858),)</f>
        <v/>
      </c>
    </row>
    <row r="859">
      <c r="A859" s="39" t="str">
        <f>IF(AND($L859*1&gt;=$G$3,$L859*1&lt;=$G$4,$I859*$J859&gt;0,OR($I859&lt;&gt;$I860,$L859-$L860&gt;25),IF(ABS($I859)&gt;10,$I859/POW(10,$J859),$J859/POW(10,$I859))*MAXIFS(Token!$C:$C,Token!$A:$A,$K859)&gt;0.01),$L859/86400+DATE(1970,1,1)+$G$6,)</f>
        <v/>
      </c>
      <c r="B859" s="27" t="str">
        <f t="shared" si="1"/>
        <v/>
      </c>
      <c r="C859" s="14" t="str">
        <f>IF($A859&lt;&gt;"",MINIFS(Merchant!$A:$A,Merchant!$B:$B,$G$2),)</f>
        <v/>
      </c>
      <c r="D859" s="14" t="str">
        <f t="shared" si="2"/>
        <v/>
      </c>
      <c r="E859" s="14" t="str">
        <f t="shared" si="3"/>
        <v/>
      </c>
      <c r="F859" s="7" t="str">
        <f>IF($A859&lt;&gt;"",MAXIFS(Token!$C:$C,Token!$A:$A,$D859),)</f>
        <v/>
      </c>
    </row>
    <row r="860">
      <c r="A860" s="39" t="str">
        <f>IF(AND($L860*1&gt;=$G$3,$L860*1&lt;=$G$4,$I860*$J860&gt;0,OR($I860&lt;&gt;$I861,$L860-$L861&gt;25),IF(ABS($I860)&gt;10,$I860/POW(10,$J860),$J860/POW(10,$I860))*MAXIFS(Token!$C:$C,Token!$A:$A,$K860)&gt;0.01),$L860/86400+DATE(1970,1,1)+$G$6,)</f>
        <v/>
      </c>
      <c r="B860" s="27" t="str">
        <f t="shared" si="1"/>
        <v/>
      </c>
      <c r="C860" s="14" t="str">
        <f>IF($A860&lt;&gt;"",MINIFS(Merchant!$A:$A,Merchant!$B:$B,$G$2),)</f>
        <v/>
      </c>
      <c r="D860" s="14" t="str">
        <f t="shared" si="2"/>
        <v/>
      </c>
      <c r="E860" s="14" t="str">
        <f t="shared" si="3"/>
        <v/>
      </c>
      <c r="F860" s="7" t="str">
        <f>IF($A860&lt;&gt;"",MAXIFS(Token!$C:$C,Token!$A:$A,$D860),)</f>
        <v/>
      </c>
    </row>
    <row r="861">
      <c r="A861" s="39" t="str">
        <f>IF(AND($L861*1&gt;=$G$3,$L861*1&lt;=$G$4,$I861*$J861&gt;0,OR($I861&lt;&gt;$I862,$L861-$L862&gt;25),IF(ABS($I861)&gt;10,$I861/POW(10,$J861),$J861/POW(10,$I861))*MAXIFS(Token!$C:$C,Token!$A:$A,$K861)&gt;0.01),$L861/86400+DATE(1970,1,1)+$G$6,)</f>
        <v/>
      </c>
      <c r="B861" s="27" t="str">
        <f t="shared" si="1"/>
        <v/>
      </c>
      <c r="C861" s="14" t="str">
        <f>IF($A861&lt;&gt;"",MINIFS(Merchant!$A:$A,Merchant!$B:$B,$G$2),)</f>
        <v/>
      </c>
      <c r="D861" s="14" t="str">
        <f t="shared" si="2"/>
        <v/>
      </c>
      <c r="E861" s="14" t="str">
        <f t="shared" si="3"/>
        <v/>
      </c>
      <c r="F861" s="7" t="str">
        <f>IF($A861&lt;&gt;"",MAXIFS(Token!$C:$C,Token!$A:$A,$D861),)</f>
        <v/>
      </c>
    </row>
    <row r="862">
      <c r="A862" s="39" t="str">
        <f>IF(AND($L862*1&gt;=$G$3,$L862*1&lt;=$G$4,$I862*$J862&gt;0,OR($I862&lt;&gt;$I863,$L862-$L863&gt;25),IF(ABS($I862)&gt;10,$I862/POW(10,$J862),$J862/POW(10,$I862))*MAXIFS(Token!$C:$C,Token!$A:$A,$K862)&gt;0.01),$L862/86400+DATE(1970,1,1)+$G$6,)</f>
        <v/>
      </c>
      <c r="B862" s="27" t="str">
        <f t="shared" si="1"/>
        <v/>
      </c>
      <c r="C862" s="14" t="str">
        <f>IF($A862&lt;&gt;"",MINIFS(Merchant!$A:$A,Merchant!$B:$B,$G$2),)</f>
        <v/>
      </c>
      <c r="D862" s="14" t="str">
        <f t="shared" si="2"/>
        <v/>
      </c>
      <c r="E862" s="14" t="str">
        <f t="shared" si="3"/>
        <v/>
      </c>
      <c r="F862" s="7" t="str">
        <f>IF($A862&lt;&gt;"",MAXIFS(Token!$C:$C,Token!$A:$A,$D862),)</f>
        <v/>
      </c>
    </row>
    <row r="863">
      <c r="A863" s="39" t="str">
        <f>IF(AND($L863*1&gt;=$G$3,$L863*1&lt;=$G$4,$I863*$J863&gt;0,OR($I863&lt;&gt;$I864,$L863-$L864&gt;25),IF(ABS($I863)&gt;10,$I863/POW(10,$J863),$J863/POW(10,$I863))*MAXIFS(Token!$C:$C,Token!$A:$A,$K863)&gt;0.01),$L863/86400+DATE(1970,1,1)+$G$6,)</f>
        <v/>
      </c>
      <c r="B863" s="27" t="str">
        <f t="shared" si="1"/>
        <v/>
      </c>
      <c r="C863" s="14" t="str">
        <f>IF($A863&lt;&gt;"",MINIFS(Merchant!$A:$A,Merchant!$B:$B,$G$2),)</f>
        <v/>
      </c>
      <c r="D863" s="14" t="str">
        <f t="shared" si="2"/>
        <v/>
      </c>
      <c r="E863" s="14" t="str">
        <f t="shared" si="3"/>
        <v/>
      </c>
      <c r="F863" s="7" t="str">
        <f>IF($A863&lt;&gt;"",MAXIFS(Token!$C:$C,Token!$A:$A,$D863),)</f>
        <v/>
      </c>
    </row>
    <row r="864">
      <c r="A864" s="39" t="str">
        <f>IF(AND($L864*1&gt;=$G$3,$L864*1&lt;=$G$4,$I864*$J864&gt;0,OR($I864&lt;&gt;$I865,$L864-$L865&gt;25),IF(ABS($I864)&gt;10,$I864/POW(10,$J864),$J864/POW(10,$I864))*MAXIFS(Token!$C:$C,Token!$A:$A,$K864)&gt;0.01),$L864/86400+DATE(1970,1,1)+$G$6,)</f>
        <v/>
      </c>
      <c r="B864" s="27" t="str">
        <f t="shared" si="1"/>
        <v/>
      </c>
      <c r="C864" s="14" t="str">
        <f>IF($A864&lt;&gt;"",MINIFS(Merchant!$A:$A,Merchant!$B:$B,$G$2),)</f>
        <v/>
      </c>
      <c r="D864" s="14" t="str">
        <f t="shared" si="2"/>
        <v/>
      </c>
      <c r="E864" s="14" t="str">
        <f t="shared" si="3"/>
        <v/>
      </c>
      <c r="F864" s="7" t="str">
        <f>IF($A864&lt;&gt;"",MAXIFS(Token!$C:$C,Token!$A:$A,$D864),)</f>
        <v/>
      </c>
    </row>
    <row r="865">
      <c r="A865" s="39" t="str">
        <f>IF(AND($L865*1&gt;=$G$3,$L865*1&lt;=$G$4,$I865*$J865&gt;0,OR($I865&lt;&gt;$I866,$L865-$L866&gt;25),IF(ABS($I865)&gt;10,$I865/POW(10,$J865),$J865/POW(10,$I865))*MAXIFS(Token!$C:$C,Token!$A:$A,$K865)&gt;0.01),$L865/86400+DATE(1970,1,1)+$G$6,)</f>
        <v/>
      </c>
      <c r="B865" s="27" t="str">
        <f t="shared" si="1"/>
        <v/>
      </c>
      <c r="C865" s="14" t="str">
        <f>IF($A865&lt;&gt;"",MINIFS(Merchant!$A:$A,Merchant!$B:$B,$G$2),)</f>
        <v/>
      </c>
      <c r="D865" s="14" t="str">
        <f t="shared" si="2"/>
        <v/>
      </c>
      <c r="E865" s="14" t="str">
        <f t="shared" si="3"/>
        <v/>
      </c>
      <c r="F865" s="7" t="str">
        <f>IF($A865&lt;&gt;"",MAXIFS(Token!$C:$C,Token!$A:$A,$D865),)</f>
        <v/>
      </c>
    </row>
    <row r="866">
      <c r="A866" s="39" t="str">
        <f>IF(AND($L866*1&gt;=$G$3,$L866*1&lt;=$G$4,$I866*$J866&gt;0,OR($I866&lt;&gt;$I867,$L866-$L867&gt;25),IF(ABS($I866)&gt;10,$I866/POW(10,$J866),$J866/POW(10,$I866))*MAXIFS(Token!$C:$C,Token!$A:$A,$K866)&gt;0.01),$L866/86400+DATE(1970,1,1)+$G$6,)</f>
        <v/>
      </c>
      <c r="B866" s="27" t="str">
        <f t="shared" si="1"/>
        <v/>
      </c>
      <c r="C866" s="14" t="str">
        <f>IF($A866&lt;&gt;"",MINIFS(Merchant!$A:$A,Merchant!$B:$B,$G$2),)</f>
        <v/>
      </c>
      <c r="D866" s="14" t="str">
        <f t="shared" si="2"/>
        <v/>
      </c>
      <c r="E866" s="14" t="str">
        <f t="shared" si="3"/>
        <v/>
      </c>
      <c r="F866" s="7" t="str">
        <f>IF($A866&lt;&gt;"",MAXIFS(Token!$C:$C,Token!$A:$A,$D866),)</f>
        <v/>
      </c>
    </row>
    <row r="867">
      <c r="A867" s="39" t="str">
        <f>IF(AND($L867*1&gt;=$G$3,$L867*1&lt;=$G$4,$I867*$J867&gt;0,OR($I867&lt;&gt;$I868,$L867-$L868&gt;25),IF(ABS($I867)&gt;10,$I867/POW(10,$J867),$J867/POW(10,$I867))*MAXIFS(Token!$C:$C,Token!$A:$A,$K867)&gt;0.01),$L867/86400+DATE(1970,1,1)+$G$6,)</f>
        <v/>
      </c>
      <c r="B867" s="27" t="str">
        <f t="shared" si="1"/>
        <v/>
      </c>
      <c r="C867" s="14" t="str">
        <f>IF($A867&lt;&gt;"",MINIFS(Merchant!$A:$A,Merchant!$B:$B,$G$2),)</f>
        <v/>
      </c>
      <c r="D867" s="14" t="str">
        <f t="shared" si="2"/>
        <v/>
      </c>
      <c r="E867" s="14" t="str">
        <f t="shared" si="3"/>
        <v/>
      </c>
      <c r="F867" s="7" t="str">
        <f>IF($A867&lt;&gt;"",MAXIFS(Token!$C:$C,Token!$A:$A,$D867),)</f>
        <v/>
      </c>
    </row>
    <row r="868">
      <c r="A868" s="39" t="str">
        <f>IF(AND($L868*1&gt;=$G$3,$L868*1&lt;=$G$4,$I868*$J868&gt;0,OR($I868&lt;&gt;$I869,$L868-$L869&gt;25),IF(ABS($I868)&gt;10,$I868/POW(10,$J868),$J868/POW(10,$I868))*MAXIFS(Token!$C:$C,Token!$A:$A,$K868)&gt;0.01),$L868/86400+DATE(1970,1,1)+$G$6,)</f>
        <v/>
      </c>
      <c r="B868" s="27" t="str">
        <f t="shared" si="1"/>
        <v/>
      </c>
      <c r="C868" s="14" t="str">
        <f>IF($A868&lt;&gt;"",MINIFS(Merchant!$A:$A,Merchant!$B:$B,$G$2),)</f>
        <v/>
      </c>
      <c r="D868" s="14" t="str">
        <f t="shared" si="2"/>
        <v/>
      </c>
      <c r="E868" s="14" t="str">
        <f t="shared" si="3"/>
        <v/>
      </c>
      <c r="F868" s="7" t="str">
        <f>IF($A868&lt;&gt;"",MAXIFS(Token!$C:$C,Token!$A:$A,$D868),)</f>
        <v/>
      </c>
    </row>
    <row r="869">
      <c r="A869" s="39" t="str">
        <f>IF(AND($L869*1&gt;=$G$3,$L869*1&lt;=$G$4,$I869*$J869&gt;0,OR($I869&lt;&gt;$I870,$L869-$L870&gt;25),IF(ABS($I869)&gt;10,$I869/POW(10,$J869),$J869/POW(10,$I869))*MAXIFS(Token!$C:$C,Token!$A:$A,$K869)&gt;0.01),$L869/86400+DATE(1970,1,1)+$G$6,)</f>
        <v/>
      </c>
      <c r="B869" s="27" t="str">
        <f t="shared" si="1"/>
        <v/>
      </c>
      <c r="C869" s="14" t="str">
        <f>IF($A869&lt;&gt;"",MINIFS(Merchant!$A:$A,Merchant!$B:$B,$G$2),)</f>
        <v/>
      </c>
      <c r="D869" s="14" t="str">
        <f t="shared" si="2"/>
        <v/>
      </c>
      <c r="E869" s="14" t="str">
        <f t="shared" si="3"/>
        <v/>
      </c>
      <c r="F869" s="7" t="str">
        <f>IF($A869&lt;&gt;"",MAXIFS(Token!$C:$C,Token!$A:$A,$D869),)</f>
        <v/>
      </c>
    </row>
    <row r="870">
      <c r="A870" s="39" t="str">
        <f>IF(AND($L870*1&gt;=$G$3,$L870*1&lt;=$G$4,$I870*$J870&gt;0,OR($I870&lt;&gt;$I871,$L870-$L871&gt;25),IF(ABS($I870)&gt;10,$I870/POW(10,$J870),$J870/POW(10,$I870))*MAXIFS(Token!$C:$C,Token!$A:$A,$K870)&gt;0.01),$L870/86400+DATE(1970,1,1)+$G$6,)</f>
        <v/>
      </c>
      <c r="B870" s="27" t="str">
        <f t="shared" si="1"/>
        <v/>
      </c>
      <c r="C870" s="14" t="str">
        <f>IF($A870&lt;&gt;"",MINIFS(Merchant!$A:$A,Merchant!$B:$B,$G$2),)</f>
        <v/>
      </c>
      <c r="D870" s="14" t="str">
        <f t="shared" si="2"/>
        <v/>
      </c>
      <c r="E870" s="14" t="str">
        <f t="shared" si="3"/>
        <v/>
      </c>
      <c r="F870" s="7" t="str">
        <f>IF($A870&lt;&gt;"",MAXIFS(Token!$C:$C,Token!$A:$A,$D870),)</f>
        <v/>
      </c>
    </row>
    <row r="871">
      <c r="A871" s="39" t="str">
        <f>IF(AND($L871*1&gt;=$G$3,$L871*1&lt;=$G$4,$I871*$J871&gt;0,OR($I871&lt;&gt;$I872,$L871-$L872&gt;25),IF(ABS($I871)&gt;10,$I871/POW(10,$J871),$J871/POW(10,$I871))*MAXIFS(Token!$C:$C,Token!$A:$A,$K871)&gt;0.01),$L871/86400+DATE(1970,1,1)+$G$6,)</f>
        <v/>
      </c>
      <c r="B871" s="27" t="str">
        <f t="shared" si="1"/>
        <v/>
      </c>
      <c r="C871" s="14" t="str">
        <f>IF($A871&lt;&gt;"",MINIFS(Merchant!$A:$A,Merchant!$B:$B,$G$2),)</f>
        <v/>
      </c>
      <c r="D871" s="14" t="str">
        <f t="shared" si="2"/>
        <v/>
      </c>
      <c r="E871" s="14" t="str">
        <f t="shared" si="3"/>
        <v/>
      </c>
      <c r="F871" s="7" t="str">
        <f>IF($A871&lt;&gt;"",MAXIFS(Token!$C:$C,Token!$A:$A,$D871),)</f>
        <v/>
      </c>
    </row>
    <row r="872">
      <c r="A872" s="39" t="str">
        <f>IF(AND($L872*1&gt;=$G$3,$L872*1&lt;=$G$4,$I872*$J872&gt;0,OR($I872&lt;&gt;$I873,$L872-$L873&gt;25),IF(ABS($I872)&gt;10,$I872/POW(10,$J872),$J872/POW(10,$I872))*MAXIFS(Token!$C:$C,Token!$A:$A,$K872)&gt;0.01),$L872/86400+DATE(1970,1,1)+$G$6,)</f>
        <v/>
      </c>
      <c r="B872" s="27" t="str">
        <f t="shared" si="1"/>
        <v/>
      </c>
      <c r="C872" s="14" t="str">
        <f>IF($A872&lt;&gt;"",MINIFS(Merchant!$A:$A,Merchant!$B:$B,$G$2),)</f>
        <v/>
      </c>
      <c r="D872" s="14" t="str">
        <f t="shared" si="2"/>
        <v/>
      </c>
      <c r="E872" s="14" t="str">
        <f t="shared" si="3"/>
        <v/>
      </c>
      <c r="F872" s="7" t="str">
        <f>IF($A872&lt;&gt;"",MAXIFS(Token!$C:$C,Token!$A:$A,$D872),)</f>
        <v/>
      </c>
    </row>
    <row r="873">
      <c r="A873" s="39" t="str">
        <f>IF(AND($L873*1&gt;=$G$3,$L873*1&lt;=$G$4,$I873*$J873&gt;0,OR($I873&lt;&gt;$I874,$L873-$L874&gt;25),IF(ABS($I873)&gt;10,$I873/POW(10,$J873),$J873/POW(10,$I873))*MAXIFS(Token!$C:$C,Token!$A:$A,$K873)&gt;0.01),$L873/86400+DATE(1970,1,1)+$G$6,)</f>
        <v/>
      </c>
      <c r="B873" s="27" t="str">
        <f t="shared" si="1"/>
        <v/>
      </c>
      <c r="C873" s="14" t="str">
        <f>IF($A873&lt;&gt;"",MINIFS(Merchant!$A:$A,Merchant!$B:$B,$G$2),)</f>
        <v/>
      </c>
      <c r="D873" s="14" t="str">
        <f t="shared" si="2"/>
        <v/>
      </c>
      <c r="E873" s="14" t="str">
        <f t="shared" si="3"/>
        <v/>
      </c>
      <c r="F873" s="7" t="str">
        <f>IF($A873&lt;&gt;"",MAXIFS(Token!$C:$C,Token!$A:$A,$D873),)</f>
        <v/>
      </c>
    </row>
    <row r="874">
      <c r="A874" s="39" t="str">
        <f>IF(AND($L874*1&gt;=$G$3,$L874*1&lt;=$G$4,$I874*$J874&gt;0,OR($I874&lt;&gt;$I875,$L874-$L875&gt;25),IF(ABS($I874)&gt;10,$I874/POW(10,$J874),$J874/POW(10,$I874))*MAXIFS(Token!$C:$C,Token!$A:$A,$K874)&gt;0.01),$L874/86400+DATE(1970,1,1)+$G$6,)</f>
        <v/>
      </c>
      <c r="B874" s="27" t="str">
        <f t="shared" si="1"/>
        <v/>
      </c>
      <c r="C874" s="14" t="str">
        <f>IF($A874&lt;&gt;"",MINIFS(Merchant!$A:$A,Merchant!$B:$B,$G$2),)</f>
        <v/>
      </c>
      <c r="D874" s="14" t="str">
        <f t="shared" si="2"/>
        <v/>
      </c>
      <c r="E874" s="14" t="str">
        <f t="shared" si="3"/>
        <v/>
      </c>
      <c r="F874" s="7" t="str">
        <f>IF($A874&lt;&gt;"",MAXIFS(Token!$C:$C,Token!$A:$A,$D874),)</f>
        <v/>
      </c>
    </row>
    <row r="875">
      <c r="A875" s="39" t="str">
        <f>IF(AND($L875*1&gt;=$G$3,$L875*1&lt;=$G$4,$I875*$J875&gt;0,OR($I875&lt;&gt;$I876,$L875-$L876&gt;25),IF(ABS($I875)&gt;10,$I875/POW(10,$J875),$J875/POW(10,$I875))*MAXIFS(Token!$C:$C,Token!$A:$A,$K875)&gt;0.01),$L875/86400+DATE(1970,1,1)+$G$6,)</f>
        <v/>
      </c>
      <c r="B875" s="27" t="str">
        <f t="shared" si="1"/>
        <v/>
      </c>
      <c r="C875" s="14" t="str">
        <f>IF($A875&lt;&gt;"",MINIFS(Merchant!$A:$A,Merchant!$B:$B,$G$2),)</f>
        <v/>
      </c>
      <c r="D875" s="14" t="str">
        <f t="shared" si="2"/>
        <v/>
      </c>
      <c r="E875" s="14" t="str">
        <f t="shared" si="3"/>
        <v/>
      </c>
      <c r="F875" s="7" t="str">
        <f>IF($A875&lt;&gt;"",MAXIFS(Token!$C:$C,Token!$A:$A,$D875),)</f>
        <v/>
      </c>
    </row>
    <row r="876">
      <c r="A876" s="39" t="str">
        <f>IF(AND($L876*1&gt;=$G$3,$L876*1&lt;=$G$4,$I876*$J876&gt;0,OR($I876&lt;&gt;$I877,$L876-$L877&gt;25),IF(ABS($I876)&gt;10,$I876/POW(10,$J876),$J876/POW(10,$I876))*MAXIFS(Token!$C:$C,Token!$A:$A,$K876)&gt;0.01),$L876/86400+DATE(1970,1,1)+$G$6,)</f>
        <v/>
      </c>
      <c r="B876" s="27" t="str">
        <f t="shared" si="1"/>
        <v/>
      </c>
      <c r="C876" s="14" t="str">
        <f>IF($A876&lt;&gt;"",MINIFS(Merchant!$A:$A,Merchant!$B:$B,$G$2),)</f>
        <v/>
      </c>
      <c r="D876" s="14" t="str">
        <f t="shared" si="2"/>
        <v/>
      </c>
      <c r="E876" s="14" t="str">
        <f t="shared" si="3"/>
        <v/>
      </c>
      <c r="F876" s="7" t="str">
        <f>IF($A876&lt;&gt;"",MAXIFS(Token!$C:$C,Token!$A:$A,$D876),)</f>
        <v/>
      </c>
    </row>
    <row r="877">
      <c r="A877" s="39" t="str">
        <f>IF(AND($L877*1&gt;=$G$3,$L877*1&lt;=$G$4,$I877*$J877&gt;0,OR($I877&lt;&gt;$I878,$L877-$L878&gt;25),IF(ABS($I877)&gt;10,$I877/POW(10,$J877),$J877/POW(10,$I877))*MAXIFS(Token!$C:$C,Token!$A:$A,$K877)&gt;0.01),$L877/86400+DATE(1970,1,1)+$G$6,)</f>
        <v/>
      </c>
      <c r="B877" s="27" t="str">
        <f t="shared" si="1"/>
        <v/>
      </c>
      <c r="C877" s="14" t="str">
        <f>IF($A877&lt;&gt;"",MINIFS(Merchant!$A:$A,Merchant!$B:$B,$G$2),)</f>
        <v/>
      </c>
      <c r="D877" s="14" t="str">
        <f t="shared" si="2"/>
        <v/>
      </c>
      <c r="E877" s="14" t="str">
        <f t="shared" si="3"/>
        <v/>
      </c>
      <c r="F877" s="7" t="str">
        <f>IF($A877&lt;&gt;"",MAXIFS(Token!$C:$C,Token!$A:$A,$D877),)</f>
        <v/>
      </c>
    </row>
    <row r="878">
      <c r="A878" s="39" t="str">
        <f>IF(AND($L878*1&gt;=$G$3,$L878*1&lt;=$G$4,$I878*$J878&gt;0,OR($I878&lt;&gt;$I879,$L878-$L879&gt;25),IF(ABS($I878)&gt;10,$I878/POW(10,$J878),$J878/POW(10,$I878))*MAXIFS(Token!$C:$C,Token!$A:$A,$K878)&gt;0.01),$L878/86400+DATE(1970,1,1)+$G$6,)</f>
        <v/>
      </c>
      <c r="B878" s="27" t="str">
        <f t="shared" si="1"/>
        <v/>
      </c>
      <c r="C878" s="14" t="str">
        <f>IF($A878&lt;&gt;"",MINIFS(Merchant!$A:$A,Merchant!$B:$B,$G$2),)</f>
        <v/>
      </c>
      <c r="D878" s="14" t="str">
        <f t="shared" si="2"/>
        <v/>
      </c>
      <c r="E878" s="14" t="str">
        <f t="shared" si="3"/>
        <v/>
      </c>
      <c r="F878" s="7" t="str">
        <f>IF($A878&lt;&gt;"",MAXIFS(Token!$C:$C,Token!$A:$A,$D878),)</f>
        <v/>
      </c>
    </row>
    <row r="879">
      <c r="A879" s="39" t="str">
        <f>IF(AND($L879*1&gt;=$G$3,$L879*1&lt;=$G$4,$I879*$J879&gt;0,OR($I879&lt;&gt;$I880,$L879-$L880&gt;25),IF(ABS($I879)&gt;10,$I879/POW(10,$J879),$J879/POW(10,$I879))*MAXIFS(Token!$C:$C,Token!$A:$A,$K879)&gt;0.01),$L879/86400+DATE(1970,1,1)+$G$6,)</f>
        <v/>
      </c>
      <c r="B879" s="27" t="str">
        <f t="shared" si="1"/>
        <v/>
      </c>
      <c r="C879" s="14" t="str">
        <f>IF($A879&lt;&gt;"",MINIFS(Merchant!$A:$A,Merchant!$B:$B,$G$2),)</f>
        <v/>
      </c>
      <c r="D879" s="14" t="str">
        <f t="shared" si="2"/>
        <v/>
      </c>
      <c r="E879" s="14" t="str">
        <f t="shared" si="3"/>
        <v/>
      </c>
      <c r="F879" s="7" t="str">
        <f>IF($A879&lt;&gt;"",MAXIFS(Token!$C:$C,Token!$A:$A,$D879),)</f>
        <v/>
      </c>
    </row>
    <row r="880">
      <c r="A880" s="39" t="str">
        <f>IF(AND($L880*1&gt;=$G$3,$L880*1&lt;=$G$4,$I880*$J880&gt;0,OR($I880&lt;&gt;$I881,$L880-$L881&gt;25),IF(ABS($I880)&gt;10,$I880/POW(10,$J880),$J880/POW(10,$I880))*MAXIFS(Token!$C:$C,Token!$A:$A,$K880)&gt;0.01),$L880/86400+DATE(1970,1,1)+$G$6,)</f>
        <v/>
      </c>
      <c r="B880" s="27" t="str">
        <f t="shared" si="1"/>
        <v/>
      </c>
      <c r="C880" s="14" t="str">
        <f>IF($A880&lt;&gt;"",MINIFS(Merchant!$A:$A,Merchant!$B:$B,$G$2),)</f>
        <v/>
      </c>
      <c r="D880" s="14" t="str">
        <f t="shared" si="2"/>
        <v/>
      </c>
      <c r="E880" s="14" t="str">
        <f t="shared" si="3"/>
        <v/>
      </c>
      <c r="F880" s="7" t="str">
        <f>IF($A880&lt;&gt;"",MAXIFS(Token!$C:$C,Token!$A:$A,$D880),)</f>
        <v/>
      </c>
    </row>
    <row r="881">
      <c r="A881" s="39" t="str">
        <f>IF(AND($L881*1&gt;=$G$3,$L881*1&lt;=$G$4,$I881*$J881&gt;0,OR($I881&lt;&gt;$I882,$L881-$L882&gt;25),IF(ABS($I881)&gt;10,$I881/POW(10,$J881),$J881/POW(10,$I881))*MAXIFS(Token!$C:$C,Token!$A:$A,$K881)&gt;0.01),$L881/86400+DATE(1970,1,1)+$G$6,)</f>
        <v/>
      </c>
      <c r="B881" s="27" t="str">
        <f t="shared" si="1"/>
        <v/>
      </c>
      <c r="C881" s="14" t="str">
        <f>IF($A881&lt;&gt;"",MINIFS(Merchant!$A:$A,Merchant!$B:$B,$G$2),)</f>
        <v/>
      </c>
      <c r="D881" s="14" t="str">
        <f t="shared" si="2"/>
        <v/>
      </c>
      <c r="E881" s="14" t="str">
        <f t="shared" si="3"/>
        <v/>
      </c>
      <c r="F881" s="7" t="str">
        <f>IF($A881&lt;&gt;"",MAXIFS(Token!$C:$C,Token!$A:$A,$D881),)</f>
        <v/>
      </c>
    </row>
    <row r="882">
      <c r="A882" s="39" t="str">
        <f>IF(AND($L882*1&gt;=$G$3,$L882*1&lt;=$G$4,$I882*$J882&gt;0,OR($I882&lt;&gt;$I883,$L882-$L883&gt;25),IF(ABS($I882)&gt;10,$I882/POW(10,$J882),$J882/POW(10,$I882))*MAXIFS(Token!$C:$C,Token!$A:$A,$K882)&gt;0.01),$L882/86400+DATE(1970,1,1)+$G$6,)</f>
        <v/>
      </c>
      <c r="B882" s="27" t="str">
        <f t="shared" si="1"/>
        <v/>
      </c>
      <c r="C882" s="14" t="str">
        <f>IF($A882&lt;&gt;"",MINIFS(Merchant!$A:$A,Merchant!$B:$B,$G$2),)</f>
        <v/>
      </c>
      <c r="D882" s="14" t="str">
        <f t="shared" si="2"/>
        <v/>
      </c>
      <c r="E882" s="14" t="str">
        <f t="shared" si="3"/>
        <v/>
      </c>
      <c r="F882" s="7" t="str">
        <f>IF($A882&lt;&gt;"",MAXIFS(Token!$C:$C,Token!$A:$A,$D882),)</f>
        <v/>
      </c>
    </row>
    <row r="883">
      <c r="A883" s="39" t="str">
        <f>IF(AND($L883*1&gt;=$G$3,$L883*1&lt;=$G$4,$I883*$J883&gt;0,OR($I883&lt;&gt;$I884,$L883-$L884&gt;25),IF(ABS($I883)&gt;10,$I883/POW(10,$J883),$J883/POW(10,$I883))*MAXIFS(Token!$C:$C,Token!$A:$A,$K883)&gt;0.01),$L883/86400+DATE(1970,1,1)+$G$6,)</f>
        <v/>
      </c>
      <c r="B883" s="27" t="str">
        <f t="shared" si="1"/>
        <v/>
      </c>
      <c r="C883" s="14" t="str">
        <f>IF($A883&lt;&gt;"",MINIFS(Merchant!$A:$A,Merchant!$B:$B,$G$2),)</f>
        <v/>
      </c>
      <c r="D883" s="14" t="str">
        <f t="shared" si="2"/>
        <v/>
      </c>
      <c r="E883" s="14" t="str">
        <f t="shared" si="3"/>
        <v/>
      </c>
      <c r="F883" s="7" t="str">
        <f>IF($A883&lt;&gt;"",MAXIFS(Token!$C:$C,Token!$A:$A,$D883),)</f>
        <v/>
      </c>
    </row>
    <row r="884">
      <c r="A884" s="39" t="str">
        <f>IF(AND($L884*1&gt;=$G$3,$L884*1&lt;=$G$4,$I884*$J884&gt;0,OR($I884&lt;&gt;$I885,$L884-$L885&gt;25),IF(ABS($I884)&gt;10,$I884/POW(10,$J884),$J884/POW(10,$I884))*MAXIFS(Token!$C:$C,Token!$A:$A,$K884)&gt;0.01),$L884/86400+DATE(1970,1,1)+$G$6,)</f>
        <v/>
      </c>
      <c r="B884" s="27" t="str">
        <f t="shared" si="1"/>
        <v/>
      </c>
      <c r="C884" s="14" t="str">
        <f>IF($A884&lt;&gt;"",MINIFS(Merchant!$A:$A,Merchant!$B:$B,$G$2),)</f>
        <v/>
      </c>
      <c r="D884" s="14" t="str">
        <f t="shared" si="2"/>
        <v/>
      </c>
      <c r="E884" s="14" t="str">
        <f t="shared" si="3"/>
        <v/>
      </c>
      <c r="F884" s="7" t="str">
        <f>IF($A884&lt;&gt;"",MAXIFS(Token!$C:$C,Token!$A:$A,$D884),)</f>
        <v/>
      </c>
    </row>
    <row r="885">
      <c r="A885" s="39" t="str">
        <f>IF(AND($L885*1&gt;=$G$3,$L885*1&lt;=$G$4,$I885*$J885&gt;0,OR($I885&lt;&gt;$I886,$L885-$L886&gt;25),IF(ABS($I885)&gt;10,$I885/POW(10,$J885),$J885/POW(10,$I885))*MAXIFS(Token!$C:$C,Token!$A:$A,$K885)&gt;0.01),$L885/86400+DATE(1970,1,1)+$G$6,)</f>
        <v/>
      </c>
      <c r="B885" s="27" t="str">
        <f t="shared" si="1"/>
        <v/>
      </c>
      <c r="C885" s="14" t="str">
        <f>IF($A885&lt;&gt;"",MINIFS(Merchant!$A:$A,Merchant!$B:$B,$G$2),)</f>
        <v/>
      </c>
      <c r="D885" s="14" t="str">
        <f t="shared" si="2"/>
        <v/>
      </c>
      <c r="E885" s="14" t="str">
        <f t="shared" si="3"/>
        <v/>
      </c>
      <c r="F885" s="7" t="str">
        <f>IF($A885&lt;&gt;"",MAXIFS(Token!$C:$C,Token!$A:$A,$D885),)</f>
        <v/>
      </c>
    </row>
    <row r="886">
      <c r="A886" s="39" t="str">
        <f>IF(AND($L886*1&gt;=$G$3,$L886*1&lt;=$G$4,$I886*$J886&gt;0,OR($I886&lt;&gt;$I887,$L886-$L887&gt;25),IF(ABS($I886)&gt;10,$I886/POW(10,$J886),$J886/POW(10,$I886))*MAXIFS(Token!$C:$C,Token!$A:$A,$K886)&gt;0.01),$L886/86400+DATE(1970,1,1)+$G$6,)</f>
        <v/>
      </c>
      <c r="B886" s="27" t="str">
        <f t="shared" si="1"/>
        <v/>
      </c>
      <c r="C886" s="14" t="str">
        <f>IF($A886&lt;&gt;"",MINIFS(Merchant!$A:$A,Merchant!$B:$B,$G$2),)</f>
        <v/>
      </c>
      <c r="D886" s="14" t="str">
        <f t="shared" si="2"/>
        <v/>
      </c>
      <c r="E886" s="14" t="str">
        <f t="shared" si="3"/>
        <v/>
      </c>
      <c r="F886" s="7" t="str">
        <f>IF($A886&lt;&gt;"",MAXIFS(Token!$C:$C,Token!$A:$A,$D886),)</f>
        <v/>
      </c>
    </row>
    <row r="887">
      <c r="A887" s="39" t="str">
        <f>IF(AND($L887*1&gt;=$G$3,$L887*1&lt;=$G$4,$I887*$J887&gt;0,OR($I887&lt;&gt;$I888,$L887-$L888&gt;25),IF(ABS($I887)&gt;10,$I887/POW(10,$J887),$J887/POW(10,$I887))*MAXIFS(Token!$C:$C,Token!$A:$A,$K887)&gt;0.01),$L887/86400+DATE(1970,1,1)+$G$6,)</f>
        <v/>
      </c>
      <c r="B887" s="27" t="str">
        <f t="shared" si="1"/>
        <v/>
      </c>
      <c r="C887" s="14" t="str">
        <f>IF($A887&lt;&gt;"",MINIFS(Merchant!$A:$A,Merchant!$B:$B,$G$2),)</f>
        <v/>
      </c>
      <c r="D887" s="14" t="str">
        <f t="shared" si="2"/>
        <v/>
      </c>
      <c r="E887" s="14" t="str">
        <f t="shared" si="3"/>
        <v/>
      </c>
      <c r="F887" s="7" t="str">
        <f>IF($A887&lt;&gt;"",MAXIFS(Token!$C:$C,Token!$A:$A,$D887),)</f>
        <v/>
      </c>
    </row>
    <row r="888">
      <c r="A888" s="39" t="str">
        <f>IF(AND($L888*1&gt;=$G$3,$L888*1&lt;=$G$4,$I888*$J888&gt;0,OR($I888&lt;&gt;$I889,$L888-$L889&gt;25),IF(ABS($I888)&gt;10,$I888/POW(10,$J888),$J888/POW(10,$I888))*MAXIFS(Token!$C:$C,Token!$A:$A,$K888)&gt;0.01),$L888/86400+DATE(1970,1,1)+$G$6,)</f>
        <v/>
      </c>
      <c r="B888" s="27" t="str">
        <f t="shared" si="1"/>
        <v/>
      </c>
      <c r="C888" s="14" t="str">
        <f>IF($A888&lt;&gt;"",MINIFS(Merchant!$A:$A,Merchant!$B:$B,$G$2),)</f>
        <v/>
      </c>
      <c r="D888" s="14" t="str">
        <f t="shared" si="2"/>
        <v/>
      </c>
      <c r="E888" s="14" t="str">
        <f t="shared" si="3"/>
        <v/>
      </c>
      <c r="F888" s="7" t="str">
        <f>IF($A888&lt;&gt;"",MAXIFS(Token!$C:$C,Token!$A:$A,$D888),)</f>
        <v/>
      </c>
    </row>
    <row r="889">
      <c r="A889" s="39" t="str">
        <f>IF(AND($L889*1&gt;=$G$3,$L889*1&lt;=$G$4,$I889*$J889&gt;0,OR($I889&lt;&gt;$I890,$L889-$L890&gt;25),IF(ABS($I889)&gt;10,$I889/POW(10,$J889),$J889/POW(10,$I889))*MAXIFS(Token!$C:$C,Token!$A:$A,$K889)&gt;0.01),$L889/86400+DATE(1970,1,1)+$G$6,)</f>
        <v/>
      </c>
      <c r="B889" s="27" t="str">
        <f t="shared" si="1"/>
        <v/>
      </c>
      <c r="C889" s="14" t="str">
        <f>IF($A889&lt;&gt;"",MINIFS(Merchant!$A:$A,Merchant!$B:$B,$G$2),)</f>
        <v/>
      </c>
      <c r="D889" s="14" t="str">
        <f t="shared" si="2"/>
        <v/>
      </c>
      <c r="E889" s="14" t="str">
        <f t="shared" si="3"/>
        <v/>
      </c>
      <c r="F889" s="7" t="str">
        <f>IF($A889&lt;&gt;"",MAXIFS(Token!$C:$C,Token!$A:$A,$D889),)</f>
        <v/>
      </c>
    </row>
    <row r="890">
      <c r="A890" s="39" t="str">
        <f>IF(AND($L890*1&gt;=$G$3,$L890*1&lt;=$G$4,$I890*$J890&gt;0,OR($I890&lt;&gt;$I891,$L890-$L891&gt;25),IF(ABS($I890)&gt;10,$I890/POW(10,$J890),$J890/POW(10,$I890))*MAXIFS(Token!$C:$C,Token!$A:$A,$K890)&gt;0.01),$L890/86400+DATE(1970,1,1)+$G$6,)</f>
        <v/>
      </c>
      <c r="B890" s="27" t="str">
        <f t="shared" si="1"/>
        <v/>
      </c>
      <c r="C890" s="14" t="str">
        <f>IF($A890&lt;&gt;"",MINIFS(Merchant!$A:$A,Merchant!$B:$B,$G$2),)</f>
        <v/>
      </c>
      <c r="D890" s="14" t="str">
        <f t="shared" si="2"/>
        <v/>
      </c>
      <c r="E890" s="14" t="str">
        <f t="shared" si="3"/>
        <v/>
      </c>
      <c r="F890" s="7" t="str">
        <f>IF($A890&lt;&gt;"",MAXIFS(Token!$C:$C,Token!$A:$A,$D890),)</f>
        <v/>
      </c>
    </row>
    <row r="891">
      <c r="A891" s="39" t="str">
        <f>IF(AND($L891*1&gt;=$G$3,$L891*1&lt;=$G$4,$I891*$J891&gt;0,OR($I891&lt;&gt;$I892,$L891-$L892&gt;25),IF(ABS($I891)&gt;10,$I891/POW(10,$J891),$J891/POW(10,$I891))*MAXIFS(Token!$C:$C,Token!$A:$A,$K891)&gt;0.01),$L891/86400+DATE(1970,1,1)+$G$6,)</f>
        <v/>
      </c>
      <c r="B891" s="27" t="str">
        <f t="shared" si="1"/>
        <v/>
      </c>
      <c r="C891" s="14" t="str">
        <f>IF($A891&lt;&gt;"",MINIFS(Merchant!$A:$A,Merchant!$B:$B,$G$2),)</f>
        <v/>
      </c>
      <c r="D891" s="14" t="str">
        <f t="shared" si="2"/>
        <v/>
      </c>
      <c r="E891" s="14" t="str">
        <f t="shared" si="3"/>
        <v/>
      </c>
      <c r="F891" s="7" t="str">
        <f>IF($A891&lt;&gt;"",MAXIFS(Token!$C:$C,Token!$A:$A,$D891),)</f>
        <v/>
      </c>
    </row>
    <row r="892">
      <c r="A892" s="39" t="str">
        <f>IF(AND($L892*1&gt;=$G$3,$L892*1&lt;=$G$4,$I892*$J892&gt;0,OR($I892&lt;&gt;$I893,$L892-$L893&gt;25),IF(ABS($I892)&gt;10,$I892/POW(10,$J892),$J892/POW(10,$I892))*MAXIFS(Token!$C:$C,Token!$A:$A,$K892)&gt;0.01),$L892/86400+DATE(1970,1,1)+$G$6,)</f>
        <v/>
      </c>
      <c r="B892" s="27" t="str">
        <f t="shared" si="1"/>
        <v/>
      </c>
      <c r="C892" s="14" t="str">
        <f>IF($A892&lt;&gt;"",MINIFS(Merchant!$A:$A,Merchant!$B:$B,$G$2),)</f>
        <v/>
      </c>
      <c r="D892" s="14" t="str">
        <f t="shared" si="2"/>
        <v/>
      </c>
      <c r="E892" s="14" t="str">
        <f t="shared" si="3"/>
        <v/>
      </c>
      <c r="F892" s="7" t="str">
        <f>IF($A892&lt;&gt;"",MAXIFS(Token!$C:$C,Token!$A:$A,$D892),)</f>
        <v/>
      </c>
    </row>
    <row r="893">
      <c r="A893" s="39" t="str">
        <f>IF(AND($L893*1&gt;=$G$3,$L893*1&lt;=$G$4,$I893*$J893&gt;0,OR($I893&lt;&gt;$I894,$L893-$L894&gt;25),IF(ABS($I893)&gt;10,$I893/POW(10,$J893),$J893/POW(10,$I893))*MAXIFS(Token!$C:$C,Token!$A:$A,$K893)&gt;0.01),$L893/86400+DATE(1970,1,1)+$G$6,)</f>
        <v/>
      </c>
      <c r="B893" s="27" t="str">
        <f t="shared" si="1"/>
        <v/>
      </c>
      <c r="C893" s="14" t="str">
        <f>IF($A893&lt;&gt;"",MINIFS(Merchant!$A:$A,Merchant!$B:$B,$G$2),)</f>
        <v/>
      </c>
      <c r="D893" s="14" t="str">
        <f t="shared" si="2"/>
        <v/>
      </c>
      <c r="E893" s="14" t="str">
        <f t="shared" si="3"/>
        <v/>
      </c>
      <c r="F893" s="7" t="str">
        <f>IF($A893&lt;&gt;"",MAXIFS(Token!$C:$C,Token!$A:$A,$D893),)</f>
        <v/>
      </c>
    </row>
    <row r="894">
      <c r="A894" s="39" t="str">
        <f>IF(AND($L894*1&gt;=$G$3,$L894*1&lt;=$G$4,$I894*$J894&gt;0,OR($I894&lt;&gt;$I895,$L894-$L895&gt;25),IF(ABS($I894)&gt;10,$I894/POW(10,$J894),$J894/POW(10,$I894))*MAXIFS(Token!$C:$C,Token!$A:$A,$K894)&gt;0.01),$L894/86400+DATE(1970,1,1)+$G$6,)</f>
        <v/>
      </c>
      <c r="B894" s="27" t="str">
        <f t="shared" si="1"/>
        <v/>
      </c>
      <c r="C894" s="14" t="str">
        <f>IF($A894&lt;&gt;"",MINIFS(Merchant!$A:$A,Merchant!$B:$B,$G$2),)</f>
        <v/>
      </c>
      <c r="D894" s="14" t="str">
        <f t="shared" si="2"/>
        <v/>
      </c>
      <c r="E894" s="14" t="str">
        <f t="shared" si="3"/>
        <v/>
      </c>
      <c r="F894" s="7" t="str">
        <f>IF($A894&lt;&gt;"",MAXIFS(Token!$C:$C,Token!$A:$A,$D894),)</f>
        <v/>
      </c>
    </row>
    <row r="895">
      <c r="A895" s="39" t="str">
        <f>IF(AND($L895*1&gt;=$G$3,$L895*1&lt;=$G$4,$I895*$J895&gt;0,OR($I895&lt;&gt;$I896,$L895-$L896&gt;25),IF(ABS($I895)&gt;10,$I895/POW(10,$J895),$J895/POW(10,$I895))*MAXIFS(Token!$C:$C,Token!$A:$A,$K895)&gt;0.01),$L895/86400+DATE(1970,1,1)+$G$6,)</f>
        <v/>
      </c>
      <c r="B895" s="27" t="str">
        <f t="shared" si="1"/>
        <v/>
      </c>
      <c r="C895" s="14" t="str">
        <f>IF($A895&lt;&gt;"",MINIFS(Merchant!$A:$A,Merchant!$B:$B,$G$2),)</f>
        <v/>
      </c>
      <c r="D895" s="14" t="str">
        <f t="shared" si="2"/>
        <v/>
      </c>
      <c r="E895" s="14" t="str">
        <f t="shared" si="3"/>
        <v/>
      </c>
      <c r="F895" s="7" t="str">
        <f>IF($A895&lt;&gt;"",MAXIFS(Token!$C:$C,Token!$A:$A,$D895),)</f>
        <v/>
      </c>
    </row>
    <row r="896">
      <c r="A896" s="39" t="str">
        <f>IF(AND($L896*1&gt;=$G$3,$L896*1&lt;=$G$4,$I896*$J896&gt;0,OR($I896&lt;&gt;$I897,$L896-$L897&gt;25),IF(ABS($I896)&gt;10,$I896/POW(10,$J896),$J896/POW(10,$I896))*MAXIFS(Token!$C:$C,Token!$A:$A,$K896)&gt;0.01),$L896/86400+DATE(1970,1,1)+$G$6,)</f>
        <v/>
      </c>
      <c r="B896" s="27" t="str">
        <f t="shared" si="1"/>
        <v/>
      </c>
      <c r="C896" s="14" t="str">
        <f>IF($A896&lt;&gt;"",MINIFS(Merchant!$A:$A,Merchant!$B:$B,$G$2),)</f>
        <v/>
      </c>
      <c r="D896" s="14" t="str">
        <f t="shared" si="2"/>
        <v/>
      </c>
      <c r="E896" s="14" t="str">
        <f t="shared" si="3"/>
        <v/>
      </c>
      <c r="F896" s="7" t="str">
        <f>IF($A896&lt;&gt;"",MAXIFS(Token!$C:$C,Token!$A:$A,$D896),)</f>
        <v/>
      </c>
    </row>
    <row r="897">
      <c r="A897" s="39" t="str">
        <f>IF(AND($L897*1&gt;=$G$3,$L897*1&lt;=$G$4,$I897*$J897&gt;0,OR($I897&lt;&gt;$I898,$L897-$L898&gt;25),IF(ABS($I897)&gt;10,$I897/POW(10,$J897),$J897/POW(10,$I897))*MAXIFS(Token!$C:$C,Token!$A:$A,$K897)&gt;0.01),$L897/86400+DATE(1970,1,1)+$G$6,)</f>
        <v/>
      </c>
      <c r="B897" s="27" t="str">
        <f t="shared" si="1"/>
        <v/>
      </c>
      <c r="C897" s="14" t="str">
        <f>IF($A897&lt;&gt;"",MINIFS(Merchant!$A:$A,Merchant!$B:$B,$G$2),)</f>
        <v/>
      </c>
      <c r="D897" s="14" t="str">
        <f t="shared" si="2"/>
        <v/>
      </c>
      <c r="E897" s="14" t="str">
        <f t="shared" si="3"/>
        <v/>
      </c>
      <c r="F897" s="7" t="str">
        <f>IF($A897&lt;&gt;"",MAXIFS(Token!$C:$C,Token!$A:$A,$D897),)</f>
        <v/>
      </c>
    </row>
    <row r="898">
      <c r="A898" s="39" t="str">
        <f>IF(AND($L898*1&gt;=$G$3,$L898*1&lt;=$G$4,$I898*$J898&gt;0,OR($I898&lt;&gt;$I899,$L898-$L899&gt;25),IF(ABS($I898)&gt;10,$I898/POW(10,$J898),$J898/POW(10,$I898))*MAXIFS(Token!$C:$C,Token!$A:$A,$K898)&gt;0.01),$L898/86400+DATE(1970,1,1)+$G$6,)</f>
        <v/>
      </c>
      <c r="B898" s="27" t="str">
        <f t="shared" si="1"/>
        <v/>
      </c>
      <c r="C898" s="14" t="str">
        <f>IF($A898&lt;&gt;"",MINIFS(Merchant!$A:$A,Merchant!$B:$B,$G$2),)</f>
        <v/>
      </c>
      <c r="D898" s="14" t="str">
        <f t="shared" si="2"/>
        <v/>
      </c>
      <c r="E898" s="14" t="str">
        <f t="shared" si="3"/>
        <v/>
      </c>
      <c r="F898" s="7" t="str">
        <f>IF($A898&lt;&gt;"",MAXIFS(Token!$C:$C,Token!$A:$A,$D898),)</f>
        <v/>
      </c>
    </row>
    <row r="899">
      <c r="A899" s="39" t="str">
        <f>IF(AND($L899*1&gt;=$G$3,$L899*1&lt;=$G$4,$I899*$J899&gt;0,OR($I899&lt;&gt;$I900,$L899-$L900&gt;25),IF(ABS($I899)&gt;10,$I899/POW(10,$J899),$J899/POW(10,$I899))*MAXIFS(Token!$C:$C,Token!$A:$A,$K899)&gt;0.01),$L899/86400+DATE(1970,1,1)+$G$6,)</f>
        <v/>
      </c>
      <c r="B899" s="27" t="str">
        <f t="shared" si="1"/>
        <v/>
      </c>
      <c r="C899" s="14" t="str">
        <f>IF($A899&lt;&gt;"",MINIFS(Merchant!$A:$A,Merchant!$B:$B,$G$2),)</f>
        <v/>
      </c>
      <c r="D899" s="14" t="str">
        <f t="shared" si="2"/>
        <v/>
      </c>
      <c r="E899" s="14" t="str">
        <f t="shared" si="3"/>
        <v/>
      </c>
      <c r="F899" s="7" t="str">
        <f>IF($A899&lt;&gt;"",MAXIFS(Token!$C:$C,Token!$A:$A,$D899),)</f>
        <v/>
      </c>
    </row>
    <row r="900">
      <c r="A900" s="39" t="str">
        <f>IF(AND($L900*1&gt;=$G$3,$L900*1&lt;=$G$4,$I900*$J900&gt;0,OR($I900&lt;&gt;$I901,$L900-$L901&gt;25),IF(ABS($I900)&gt;10,$I900/POW(10,$J900),$J900/POW(10,$I900))*MAXIFS(Token!$C:$C,Token!$A:$A,$K900)&gt;0.01),$L900/86400+DATE(1970,1,1)+$G$6,)</f>
        <v/>
      </c>
      <c r="B900" s="27" t="str">
        <f t="shared" si="1"/>
        <v/>
      </c>
      <c r="C900" s="14" t="str">
        <f>IF($A900&lt;&gt;"",MINIFS(Merchant!$A:$A,Merchant!$B:$B,$G$2),)</f>
        <v/>
      </c>
      <c r="D900" s="14" t="str">
        <f t="shared" si="2"/>
        <v/>
      </c>
      <c r="E900" s="14" t="str">
        <f t="shared" si="3"/>
        <v/>
      </c>
      <c r="F900" s="7" t="str">
        <f>IF($A900&lt;&gt;"",MAXIFS(Token!$C:$C,Token!$A:$A,$D900),)</f>
        <v/>
      </c>
    </row>
    <row r="901">
      <c r="A901" s="39" t="str">
        <f>IF(AND($L901*1&gt;=$G$3,$L901*1&lt;=$G$4,$I901*$J901&gt;0,OR($I901&lt;&gt;$I902,$L901-$L902&gt;25),IF(ABS($I901)&gt;10,$I901/POW(10,$J901),$J901/POW(10,$I901))*MAXIFS(Token!$C:$C,Token!$A:$A,$K901)&gt;0.01),$L901/86400+DATE(1970,1,1)+$G$6,)</f>
        <v/>
      </c>
      <c r="B901" s="27" t="str">
        <f t="shared" si="1"/>
        <v/>
      </c>
      <c r="C901" s="14" t="str">
        <f>IF($A901&lt;&gt;"",MINIFS(Merchant!$A:$A,Merchant!$B:$B,$G$2),)</f>
        <v/>
      </c>
      <c r="D901" s="14" t="str">
        <f t="shared" si="2"/>
        <v/>
      </c>
      <c r="E901" s="14" t="str">
        <f t="shared" si="3"/>
        <v/>
      </c>
      <c r="F901" s="7" t="str">
        <f>IF($A901&lt;&gt;"",MAXIFS(Token!$C:$C,Token!$A:$A,$D901),)</f>
        <v/>
      </c>
    </row>
    <row r="902">
      <c r="A902" s="39" t="str">
        <f>IF(AND($L902*1&gt;=$G$3,$L902*1&lt;=$G$4,$I902*$J902&gt;0,OR($I902&lt;&gt;$I903,$L902-$L903&gt;25),IF(ABS($I902)&gt;10,$I902/POW(10,$J902),$J902/POW(10,$I902))*MAXIFS(Token!$C:$C,Token!$A:$A,$K902)&gt;0.01),$L902/86400+DATE(1970,1,1)+$G$6,)</f>
        <v/>
      </c>
      <c r="B902" s="27" t="str">
        <f t="shared" si="1"/>
        <v/>
      </c>
      <c r="C902" s="14" t="str">
        <f>IF($A902&lt;&gt;"",MINIFS(Merchant!$A:$A,Merchant!$B:$B,$G$2),)</f>
        <v/>
      </c>
      <c r="D902" s="14" t="str">
        <f t="shared" si="2"/>
        <v/>
      </c>
      <c r="E902" s="14" t="str">
        <f t="shared" si="3"/>
        <v/>
      </c>
      <c r="F902" s="7" t="str">
        <f>IF($A902&lt;&gt;"",MAXIFS(Token!$C:$C,Token!$A:$A,$D902),)</f>
        <v/>
      </c>
    </row>
    <row r="903">
      <c r="A903" s="39" t="str">
        <f>IF(AND($L903*1&gt;=$G$3,$L903*1&lt;=$G$4,$I903*$J903&gt;0,OR($I903&lt;&gt;$I904,$L903-$L904&gt;25),IF(ABS($I903)&gt;10,$I903/POW(10,$J903),$J903/POW(10,$I903))*MAXIFS(Token!$C:$C,Token!$A:$A,$K903)&gt;0.01),$L903/86400+DATE(1970,1,1)+$G$6,)</f>
        <v/>
      </c>
      <c r="B903" s="27" t="str">
        <f t="shared" si="1"/>
        <v/>
      </c>
      <c r="C903" s="14" t="str">
        <f>IF($A903&lt;&gt;"",MINIFS(Merchant!$A:$A,Merchant!$B:$B,$G$2),)</f>
        <v/>
      </c>
      <c r="D903" s="14" t="str">
        <f t="shared" si="2"/>
        <v/>
      </c>
      <c r="E903" s="14" t="str">
        <f t="shared" si="3"/>
        <v/>
      </c>
      <c r="F903" s="7" t="str">
        <f>IF($A903&lt;&gt;"",MAXIFS(Token!$C:$C,Token!$A:$A,$D903),)</f>
        <v/>
      </c>
    </row>
    <row r="904">
      <c r="A904" s="39" t="str">
        <f>IF(AND($L904*1&gt;=$G$3,$L904*1&lt;=$G$4,$I904*$J904&gt;0,OR($I904&lt;&gt;$I905,$L904-$L905&gt;25),IF(ABS($I904)&gt;10,$I904/POW(10,$J904),$J904/POW(10,$I904))*MAXIFS(Token!$C:$C,Token!$A:$A,$K904)&gt;0.01),$L904/86400+DATE(1970,1,1)+$G$6,)</f>
        <v/>
      </c>
      <c r="B904" s="27" t="str">
        <f t="shared" si="1"/>
        <v/>
      </c>
      <c r="C904" s="14" t="str">
        <f>IF($A904&lt;&gt;"",MINIFS(Merchant!$A:$A,Merchant!$B:$B,$G$2),)</f>
        <v/>
      </c>
      <c r="D904" s="14" t="str">
        <f t="shared" si="2"/>
        <v/>
      </c>
      <c r="E904" s="14" t="str">
        <f t="shared" si="3"/>
        <v/>
      </c>
      <c r="F904" s="7" t="str">
        <f>IF($A904&lt;&gt;"",MAXIFS(Token!$C:$C,Token!$A:$A,$D904),)</f>
        <v/>
      </c>
    </row>
    <row r="905">
      <c r="A905" s="39" t="str">
        <f>IF(AND($L905*1&gt;=$G$3,$L905*1&lt;=$G$4,$I905*$J905&gt;0,OR($I905&lt;&gt;$I906,$L905-$L906&gt;25),IF(ABS($I905)&gt;10,$I905/POW(10,$J905),$J905/POW(10,$I905))*MAXIFS(Token!$C:$C,Token!$A:$A,$K905)&gt;0.01),$L905/86400+DATE(1970,1,1)+$G$6,)</f>
        <v/>
      </c>
      <c r="B905" s="27" t="str">
        <f t="shared" si="1"/>
        <v/>
      </c>
      <c r="C905" s="14" t="str">
        <f>IF($A905&lt;&gt;"",MINIFS(Merchant!$A:$A,Merchant!$B:$B,$G$2),)</f>
        <v/>
      </c>
      <c r="D905" s="14" t="str">
        <f t="shared" si="2"/>
        <v/>
      </c>
      <c r="E905" s="14" t="str">
        <f t="shared" si="3"/>
        <v/>
      </c>
      <c r="F905" s="7" t="str">
        <f>IF($A905&lt;&gt;"",MAXIFS(Token!$C:$C,Token!$A:$A,$D905),)</f>
        <v/>
      </c>
    </row>
    <row r="906">
      <c r="A906" s="39" t="str">
        <f>IF(AND($L906*1&gt;=$G$3,$L906*1&lt;=$G$4,$I906*$J906&gt;0,OR($I906&lt;&gt;$I907,$L906-$L907&gt;25),IF(ABS($I906)&gt;10,$I906/POW(10,$J906),$J906/POW(10,$I906))*MAXIFS(Token!$C:$C,Token!$A:$A,$K906)&gt;0.01),$L906/86400+DATE(1970,1,1)+$G$6,)</f>
        <v/>
      </c>
      <c r="B906" s="27" t="str">
        <f t="shared" si="1"/>
        <v/>
      </c>
      <c r="C906" s="14" t="str">
        <f>IF($A906&lt;&gt;"",MINIFS(Merchant!$A:$A,Merchant!$B:$B,$G$2),)</f>
        <v/>
      </c>
      <c r="D906" s="14" t="str">
        <f t="shared" si="2"/>
        <v/>
      </c>
      <c r="E906" s="14" t="str">
        <f t="shared" si="3"/>
        <v/>
      </c>
      <c r="F906" s="7" t="str">
        <f>IF($A906&lt;&gt;"",MAXIFS(Token!$C:$C,Token!$A:$A,$D906),)</f>
        <v/>
      </c>
    </row>
    <row r="907">
      <c r="A907" s="39" t="str">
        <f>IF(AND($L907*1&gt;=$G$3,$L907*1&lt;=$G$4,$I907*$J907&gt;0,OR($I907&lt;&gt;$I908,$L907-$L908&gt;25),IF(ABS($I907)&gt;10,$I907/POW(10,$J907),$J907/POW(10,$I907))*MAXIFS(Token!$C:$C,Token!$A:$A,$K907)&gt;0.01),$L907/86400+DATE(1970,1,1)+$G$6,)</f>
        <v/>
      </c>
      <c r="B907" s="27" t="str">
        <f t="shared" si="1"/>
        <v/>
      </c>
      <c r="C907" s="14" t="str">
        <f>IF($A907&lt;&gt;"",MINIFS(Merchant!$A:$A,Merchant!$B:$B,$G$2),)</f>
        <v/>
      </c>
      <c r="D907" s="14" t="str">
        <f t="shared" si="2"/>
        <v/>
      </c>
      <c r="E907" s="14" t="str">
        <f t="shared" si="3"/>
        <v/>
      </c>
      <c r="F907" s="7" t="str">
        <f>IF($A907&lt;&gt;"",MAXIFS(Token!$C:$C,Token!$A:$A,$D907),)</f>
        <v/>
      </c>
    </row>
    <row r="908">
      <c r="A908" s="39" t="str">
        <f>IF(AND($L908*1&gt;=$G$3,$L908*1&lt;=$G$4,$I908*$J908&gt;0,OR($I908&lt;&gt;$I909,$L908-$L909&gt;25),IF(ABS($I908)&gt;10,$I908/POW(10,$J908),$J908/POW(10,$I908))*MAXIFS(Token!$C:$C,Token!$A:$A,$K908)&gt;0.01),$L908/86400+DATE(1970,1,1)+$G$6,)</f>
        <v/>
      </c>
      <c r="B908" s="27" t="str">
        <f t="shared" si="1"/>
        <v/>
      </c>
      <c r="C908" s="14" t="str">
        <f>IF($A908&lt;&gt;"",MINIFS(Merchant!$A:$A,Merchant!$B:$B,$G$2),)</f>
        <v/>
      </c>
      <c r="D908" s="14" t="str">
        <f t="shared" si="2"/>
        <v/>
      </c>
      <c r="E908" s="14" t="str">
        <f t="shared" si="3"/>
        <v/>
      </c>
      <c r="F908" s="7" t="str">
        <f>IF($A908&lt;&gt;"",MAXIFS(Token!$C:$C,Token!$A:$A,$D908),)</f>
        <v/>
      </c>
    </row>
    <row r="909">
      <c r="A909" s="39" t="str">
        <f>IF(AND($L909*1&gt;=$G$3,$L909*1&lt;=$G$4,$I909*$J909&gt;0,OR($I909&lt;&gt;$I910,$L909-$L910&gt;25),IF(ABS($I909)&gt;10,$I909/POW(10,$J909),$J909/POW(10,$I909))*MAXIFS(Token!$C:$C,Token!$A:$A,$K909)&gt;0.01),$L909/86400+DATE(1970,1,1)+$G$6,)</f>
        <v/>
      </c>
      <c r="B909" s="27" t="str">
        <f t="shared" si="1"/>
        <v/>
      </c>
      <c r="C909" s="14" t="str">
        <f>IF($A909&lt;&gt;"",MINIFS(Merchant!$A:$A,Merchant!$B:$B,$G$2),)</f>
        <v/>
      </c>
      <c r="D909" s="14" t="str">
        <f t="shared" si="2"/>
        <v/>
      </c>
      <c r="E909" s="14" t="str">
        <f t="shared" si="3"/>
        <v/>
      </c>
      <c r="F909" s="7" t="str">
        <f>IF($A909&lt;&gt;"",MAXIFS(Token!$C:$C,Token!$A:$A,$D909),)</f>
        <v/>
      </c>
    </row>
    <row r="910">
      <c r="A910" s="39" t="str">
        <f>IF(AND($L910*1&gt;=$G$3,$L910*1&lt;=$G$4,$I910*$J910&gt;0,OR($I910&lt;&gt;$I911,$L910-$L911&gt;25),IF(ABS($I910)&gt;10,$I910/POW(10,$J910),$J910/POW(10,$I910))*MAXIFS(Token!$C:$C,Token!$A:$A,$K910)&gt;0.01),$L910/86400+DATE(1970,1,1)+$G$6,)</f>
        <v/>
      </c>
      <c r="B910" s="27" t="str">
        <f t="shared" si="1"/>
        <v/>
      </c>
      <c r="C910" s="14" t="str">
        <f>IF($A910&lt;&gt;"",MINIFS(Merchant!$A:$A,Merchant!$B:$B,$G$2),)</f>
        <v/>
      </c>
      <c r="D910" s="14" t="str">
        <f t="shared" si="2"/>
        <v/>
      </c>
      <c r="E910" s="14" t="str">
        <f t="shared" si="3"/>
        <v/>
      </c>
      <c r="F910" s="7" t="str">
        <f>IF($A910&lt;&gt;"",MAXIFS(Token!$C:$C,Token!$A:$A,$D910),)</f>
        <v/>
      </c>
    </row>
    <row r="911">
      <c r="A911" s="39" t="str">
        <f>IF(AND($L911*1&gt;=$G$3,$L911*1&lt;=$G$4,$I911*$J911&gt;0,OR($I911&lt;&gt;$I912,$L911-$L912&gt;25),IF(ABS($I911)&gt;10,$I911/POW(10,$J911),$J911/POW(10,$I911))*MAXIFS(Token!$C:$C,Token!$A:$A,$K911)&gt;0.01),$L911/86400+DATE(1970,1,1)+$G$6,)</f>
        <v/>
      </c>
      <c r="B911" s="27" t="str">
        <f t="shared" si="1"/>
        <v/>
      </c>
      <c r="C911" s="14" t="str">
        <f>IF($A911&lt;&gt;"",MINIFS(Merchant!$A:$A,Merchant!$B:$B,$G$2),)</f>
        <v/>
      </c>
      <c r="D911" s="14" t="str">
        <f t="shared" si="2"/>
        <v/>
      </c>
      <c r="E911" s="14" t="str">
        <f t="shared" si="3"/>
        <v/>
      </c>
      <c r="F911" s="7" t="str">
        <f>IF($A911&lt;&gt;"",MAXIFS(Token!$C:$C,Token!$A:$A,$D911),)</f>
        <v/>
      </c>
    </row>
    <row r="912">
      <c r="A912" s="39" t="str">
        <f>IF(AND($L912*1&gt;=$G$3,$L912*1&lt;=$G$4,$I912*$J912&gt;0,OR($I912&lt;&gt;$I913,$L912-$L913&gt;25),IF(ABS($I912)&gt;10,$I912/POW(10,$J912),$J912/POW(10,$I912))*MAXIFS(Token!$C:$C,Token!$A:$A,$K912)&gt;0.01),$L912/86400+DATE(1970,1,1)+$G$6,)</f>
        <v/>
      </c>
      <c r="B912" s="27" t="str">
        <f t="shared" si="1"/>
        <v/>
      </c>
      <c r="C912" s="14" t="str">
        <f>IF($A912&lt;&gt;"",MINIFS(Merchant!$A:$A,Merchant!$B:$B,$G$2),)</f>
        <v/>
      </c>
      <c r="D912" s="14" t="str">
        <f t="shared" si="2"/>
        <v/>
      </c>
      <c r="E912" s="14" t="str">
        <f t="shared" si="3"/>
        <v/>
      </c>
      <c r="F912" s="7" t="str">
        <f>IF($A912&lt;&gt;"",MAXIFS(Token!$C:$C,Token!$A:$A,$D912),)</f>
        <v/>
      </c>
    </row>
    <row r="913">
      <c r="A913" s="39" t="str">
        <f>IF(AND($L913*1&gt;=$G$3,$L913*1&lt;=$G$4,$I913*$J913&gt;0,OR($I913&lt;&gt;$I914,$L913-$L914&gt;25),IF(ABS($I913)&gt;10,$I913/POW(10,$J913),$J913/POW(10,$I913))*MAXIFS(Token!$C:$C,Token!$A:$A,$K913)&gt;0.01),$L913/86400+DATE(1970,1,1)+$G$6,)</f>
        <v/>
      </c>
      <c r="B913" s="27" t="str">
        <f t="shared" si="1"/>
        <v/>
      </c>
      <c r="C913" s="14" t="str">
        <f>IF($A913&lt;&gt;"",MINIFS(Merchant!$A:$A,Merchant!$B:$B,$G$2),)</f>
        <v/>
      </c>
      <c r="D913" s="14" t="str">
        <f t="shared" si="2"/>
        <v/>
      </c>
      <c r="E913" s="14" t="str">
        <f t="shared" si="3"/>
        <v/>
      </c>
      <c r="F913" s="7" t="str">
        <f>IF($A913&lt;&gt;"",MAXIFS(Token!$C:$C,Token!$A:$A,$D913),)</f>
        <v/>
      </c>
    </row>
    <row r="914">
      <c r="A914" s="39" t="str">
        <f>IF(AND($L914*1&gt;=$G$3,$L914*1&lt;=$G$4,$I914*$J914&gt;0,OR($I914&lt;&gt;$I915,$L914-$L915&gt;25),IF(ABS($I914)&gt;10,$I914/POW(10,$J914),$J914/POW(10,$I914))*MAXIFS(Token!$C:$C,Token!$A:$A,$K914)&gt;0.01),$L914/86400+DATE(1970,1,1)+$G$6,)</f>
        <v/>
      </c>
      <c r="B914" s="27" t="str">
        <f t="shared" si="1"/>
        <v/>
      </c>
      <c r="C914" s="14" t="str">
        <f>IF($A914&lt;&gt;"",MINIFS(Merchant!$A:$A,Merchant!$B:$B,$G$2),)</f>
        <v/>
      </c>
      <c r="D914" s="14" t="str">
        <f t="shared" si="2"/>
        <v/>
      </c>
      <c r="E914" s="14" t="str">
        <f t="shared" si="3"/>
        <v/>
      </c>
      <c r="F914" s="7" t="str">
        <f>IF($A914&lt;&gt;"",MAXIFS(Token!$C:$C,Token!$A:$A,$D914),)</f>
        <v/>
      </c>
    </row>
    <row r="915">
      <c r="A915" s="39" t="str">
        <f>IF(AND($L915*1&gt;=$G$3,$L915*1&lt;=$G$4,$I915*$J915&gt;0,OR($I915&lt;&gt;$I916,$L915-$L916&gt;25),IF(ABS($I915)&gt;10,$I915/POW(10,$J915),$J915/POW(10,$I915))*MAXIFS(Token!$C:$C,Token!$A:$A,$K915)&gt;0.01),$L915/86400+DATE(1970,1,1)+$G$6,)</f>
        <v/>
      </c>
      <c r="B915" s="27" t="str">
        <f t="shared" si="1"/>
        <v/>
      </c>
      <c r="C915" s="14" t="str">
        <f>IF($A915&lt;&gt;"",MINIFS(Merchant!$A:$A,Merchant!$B:$B,$G$2),)</f>
        <v/>
      </c>
      <c r="D915" s="14" t="str">
        <f t="shared" si="2"/>
        <v/>
      </c>
      <c r="E915" s="14" t="str">
        <f t="shared" si="3"/>
        <v/>
      </c>
      <c r="F915" s="7" t="str">
        <f>IF($A915&lt;&gt;"",MAXIFS(Token!$C:$C,Token!$A:$A,$D915),)</f>
        <v/>
      </c>
    </row>
    <row r="916">
      <c r="A916" s="39" t="str">
        <f>IF(AND($L916*1&gt;=$G$3,$L916*1&lt;=$G$4,$I916*$J916&gt;0,OR($I916&lt;&gt;$I917,$L916-$L917&gt;25),IF(ABS($I916)&gt;10,$I916/POW(10,$J916),$J916/POW(10,$I916))*MAXIFS(Token!$C:$C,Token!$A:$A,$K916)&gt;0.01),$L916/86400+DATE(1970,1,1)+$G$6,)</f>
        <v/>
      </c>
      <c r="B916" s="27" t="str">
        <f t="shared" si="1"/>
        <v/>
      </c>
      <c r="C916" s="14" t="str">
        <f>IF($A916&lt;&gt;"",MINIFS(Merchant!$A:$A,Merchant!$B:$B,$G$2),)</f>
        <v/>
      </c>
      <c r="D916" s="14" t="str">
        <f t="shared" si="2"/>
        <v/>
      </c>
      <c r="E916" s="14" t="str">
        <f t="shared" si="3"/>
        <v/>
      </c>
      <c r="F916" s="7" t="str">
        <f>IF($A916&lt;&gt;"",MAXIFS(Token!$C:$C,Token!$A:$A,$D916),)</f>
        <v/>
      </c>
    </row>
    <row r="917">
      <c r="A917" s="39" t="str">
        <f>IF(AND($L917*1&gt;=$G$3,$L917*1&lt;=$G$4,$I917*$J917&gt;0,OR($I917&lt;&gt;$I918,$L917-$L918&gt;25),IF(ABS($I917)&gt;10,$I917/POW(10,$J917),$J917/POW(10,$I917))*MAXIFS(Token!$C:$C,Token!$A:$A,$K917)&gt;0.01),$L917/86400+DATE(1970,1,1)+$G$6,)</f>
        <v/>
      </c>
      <c r="B917" s="27" t="str">
        <f t="shared" si="1"/>
        <v/>
      </c>
      <c r="C917" s="14" t="str">
        <f>IF($A917&lt;&gt;"",MINIFS(Merchant!$A:$A,Merchant!$B:$B,$G$2),)</f>
        <v/>
      </c>
      <c r="D917" s="14" t="str">
        <f t="shared" si="2"/>
        <v/>
      </c>
      <c r="E917" s="14" t="str">
        <f t="shared" si="3"/>
        <v/>
      </c>
      <c r="F917" s="7" t="str">
        <f>IF($A917&lt;&gt;"",MAXIFS(Token!$C:$C,Token!$A:$A,$D917),)</f>
        <v/>
      </c>
    </row>
    <row r="918">
      <c r="A918" s="39" t="str">
        <f>IF(AND($L918*1&gt;=$G$3,$L918*1&lt;=$G$4,$I918*$J918&gt;0,OR($I918&lt;&gt;$I919,$L918-$L919&gt;25),IF(ABS($I918)&gt;10,$I918/POW(10,$J918),$J918/POW(10,$I918))*MAXIFS(Token!$C:$C,Token!$A:$A,$K918)&gt;0.01),$L918/86400+DATE(1970,1,1)+$G$6,)</f>
        <v/>
      </c>
      <c r="B918" s="27" t="str">
        <f t="shared" si="1"/>
        <v/>
      </c>
      <c r="C918" s="14" t="str">
        <f>IF($A918&lt;&gt;"",MINIFS(Merchant!$A:$A,Merchant!$B:$B,$G$2),)</f>
        <v/>
      </c>
      <c r="D918" s="14" t="str">
        <f t="shared" si="2"/>
        <v/>
      </c>
      <c r="E918" s="14" t="str">
        <f t="shared" si="3"/>
        <v/>
      </c>
      <c r="F918" s="7" t="str">
        <f>IF($A918&lt;&gt;"",MAXIFS(Token!$C:$C,Token!$A:$A,$D918),)</f>
        <v/>
      </c>
    </row>
    <row r="919">
      <c r="A919" s="39" t="str">
        <f>IF(AND($L919*1&gt;=$G$3,$L919*1&lt;=$G$4,$I919*$J919&gt;0,OR($I919&lt;&gt;$I920,$L919-$L920&gt;25),IF(ABS($I919)&gt;10,$I919/POW(10,$J919),$J919/POW(10,$I919))*MAXIFS(Token!$C:$C,Token!$A:$A,$K919)&gt;0.01),$L919/86400+DATE(1970,1,1)+$G$6,)</f>
        <v/>
      </c>
      <c r="B919" s="27" t="str">
        <f t="shared" si="1"/>
        <v/>
      </c>
      <c r="C919" s="14" t="str">
        <f>IF($A919&lt;&gt;"",MINIFS(Merchant!$A:$A,Merchant!$B:$B,$G$2),)</f>
        <v/>
      </c>
      <c r="D919" s="14" t="str">
        <f t="shared" si="2"/>
        <v/>
      </c>
      <c r="E919" s="14" t="str">
        <f t="shared" si="3"/>
        <v/>
      </c>
      <c r="F919" s="7" t="str">
        <f>IF($A919&lt;&gt;"",MAXIFS(Token!$C:$C,Token!$A:$A,$D919),)</f>
        <v/>
      </c>
    </row>
    <row r="920">
      <c r="A920" s="39" t="str">
        <f>IF(AND($L920*1&gt;=$G$3,$L920*1&lt;=$G$4,$I920*$J920&gt;0,OR($I920&lt;&gt;$I921,$L920-$L921&gt;25),IF(ABS($I920)&gt;10,$I920/POW(10,$J920),$J920/POW(10,$I920))*MAXIFS(Token!$C:$C,Token!$A:$A,$K920)&gt;0.01),$L920/86400+DATE(1970,1,1)+$G$6,)</f>
        <v/>
      </c>
      <c r="B920" s="27" t="str">
        <f t="shared" si="1"/>
        <v/>
      </c>
      <c r="C920" s="14" t="str">
        <f>IF($A920&lt;&gt;"",MINIFS(Merchant!$A:$A,Merchant!$B:$B,$G$2),)</f>
        <v/>
      </c>
      <c r="D920" s="14" t="str">
        <f t="shared" si="2"/>
        <v/>
      </c>
      <c r="E920" s="14" t="str">
        <f t="shared" si="3"/>
        <v/>
      </c>
      <c r="F920" s="7" t="str">
        <f>IF($A920&lt;&gt;"",MAXIFS(Token!$C:$C,Token!$A:$A,$D920),)</f>
        <v/>
      </c>
    </row>
    <row r="921">
      <c r="A921" s="39" t="str">
        <f>IF(AND($L921*1&gt;=$G$3,$L921*1&lt;=$G$4,$I921*$J921&gt;0,OR($I921&lt;&gt;$I922,$L921-$L922&gt;25),IF(ABS($I921)&gt;10,$I921/POW(10,$J921),$J921/POW(10,$I921))*MAXIFS(Token!$C:$C,Token!$A:$A,$K921)&gt;0.01),$L921/86400+DATE(1970,1,1)+$G$6,)</f>
        <v/>
      </c>
      <c r="B921" s="27" t="str">
        <f t="shared" si="1"/>
        <v/>
      </c>
      <c r="C921" s="14" t="str">
        <f>IF($A921&lt;&gt;"",MINIFS(Merchant!$A:$A,Merchant!$B:$B,$G$2),)</f>
        <v/>
      </c>
      <c r="D921" s="14" t="str">
        <f t="shared" si="2"/>
        <v/>
      </c>
      <c r="E921" s="14" t="str">
        <f t="shared" si="3"/>
        <v/>
      </c>
      <c r="F921" s="7" t="str">
        <f>IF($A921&lt;&gt;"",MAXIFS(Token!$C:$C,Token!$A:$A,$D921),)</f>
        <v/>
      </c>
    </row>
    <row r="922">
      <c r="A922" s="39" t="str">
        <f>IF(AND($L922*1&gt;=$G$3,$L922*1&lt;=$G$4,$I922*$J922&gt;0,OR($I922&lt;&gt;$I923,$L922-$L923&gt;25),IF(ABS($I922)&gt;10,$I922/POW(10,$J922),$J922/POW(10,$I922))*MAXIFS(Token!$C:$C,Token!$A:$A,$K922)&gt;0.01),$L922/86400+DATE(1970,1,1)+$G$6,)</f>
        <v/>
      </c>
      <c r="B922" s="27" t="str">
        <f t="shared" si="1"/>
        <v/>
      </c>
      <c r="C922" s="14" t="str">
        <f>IF($A922&lt;&gt;"",MINIFS(Merchant!$A:$A,Merchant!$B:$B,$G$2),)</f>
        <v/>
      </c>
      <c r="D922" s="14" t="str">
        <f t="shared" si="2"/>
        <v/>
      </c>
      <c r="E922" s="14" t="str">
        <f t="shared" si="3"/>
        <v/>
      </c>
      <c r="F922" s="7" t="str">
        <f>IF($A922&lt;&gt;"",MAXIFS(Token!$C:$C,Token!$A:$A,$D922),)</f>
        <v/>
      </c>
    </row>
    <row r="923">
      <c r="A923" s="39" t="str">
        <f>IF(AND($L923*1&gt;=$G$3,$L923*1&lt;=$G$4,$I923*$J923&gt;0,OR($I923&lt;&gt;$I924,$L923-$L924&gt;25),IF(ABS($I923)&gt;10,$I923/POW(10,$J923),$J923/POW(10,$I923))*MAXIFS(Token!$C:$C,Token!$A:$A,$K923)&gt;0.01),$L923/86400+DATE(1970,1,1)+$G$6,)</f>
        <v/>
      </c>
      <c r="B923" s="27" t="str">
        <f t="shared" si="1"/>
        <v/>
      </c>
      <c r="C923" s="14" t="str">
        <f>IF($A923&lt;&gt;"",MINIFS(Merchant!$A:$A,Merchant!$B:$B,$G$2),)</f>
        <v/>
      </c>
      <c r="D923" s="14" t="str">
        <f t="shared" si="2"/>
        <v/>
      </c>
      <c r="E923" s="14" t="str">
        <f t="shared" si="3"/>
        <v/>
      </c>
      <c r="F923" s="7" t="str">
        <f>IF($A923&lt;&gt;"",MAXIFS(Token!$C:$C,Token!$A:$A,$D923),)</f>
        <v/>
      </c>
    </row>
    <row r="924">
      <c r="A924" s="39" t="str">
        <f>IF(AND($L924*1&gt;=$G$3,$L924*1&lt;=$G$4,$I924*$J924&gt;0,OR($I924&lt;&gt;$I925,$L924-$L925&gt;25),IF(ABS($I924)&gt;10,$I924/POW(10,$J924),$J924/POW(10,$I924))*MAXIFS(Token!$C:$C,Token!$A:$A,$K924)&gt;0.01),$L924/86400+DATE(1970,1,1)+$G$6,)</f>
        <v/>
      </c>
      <c r="B924" s="27" t="str">
        <f t="shared" si="1"/>
        <v/>
      </c>
      <c r="C924" s="14" t="str">
        <f>IF($A924&lt;&gt;"",MINIFS(Merchant!$A:$A,Merchant!$B:$B,$G$2),)</f>
        <v/>
      </c>
      <c r="D924" s="14" t="str">
        <f t="shared" si="2"/>
        <v/>
      </c>
      <c r="E924" s="14" t="str">
        <f t="shared" si="3"/>
        <v/>
      </c>
      <c r="F924" s="7" t="str">
        <f>IF($A924&lt;&gt;"",MAXIFS(Token!$C:$C,Token!$A:$A,$D924),)</f>
        <v/>
      </c>
    </row>
    <row r="925">
      <c r="A925" s="39" t="str">
        <f>IF(AND($L925*1&gt;=$G$3,$L925*1&lt;=$G$4,$I925*$J925&gt;0,OR($I925&lt;&gt;$I926,$L925-$L926&gt;25),IF(ABS($I925)&gt;10,$I925/POW(10,$J925),$J925/POW(10,$I925))*MAXIFS(Token!$C:$C,Token!$A:$A,$K925)&gt;0.01),$L925/86400+DATE(1970,1,1)+$G$6,)</f>
        <v/>
      </c>
      <c r="B925" s="27" t="str">
        <f t="shared" si="1"/>
        <v/>
      </c>
      <c r="C925" s="14" t="str">
        <f>IF($A925&lt;&gt;"",MINIFS(Merchant!$A:$A,Merchant!$B:$B,$G$2),)</f>
        <v/>
      </c>
      <c r="D925" s="14" t="str">
        <f t="shared" si="2"/>
        <v/>
      </c>
      <c r="E925" s="14" t="str">
        <f t="shared" si="3"/>
        <v/>
      </c>
      <c r="F925" s="7" t="str">
        <f>IF($A925&lt;&gt;"",MAXIFS(Token!$C:$C,Token!$A:$A,$D925),)</f>
        <v/>
      </c>
    </row>
    <row r="926">
      <c r="A926" s="39" t="str">
        <f>IF(AND($L926*1&gt;=$G$3,$L926*1&lt;=$G$4,$I926*$J926&gt;0,OR($I926&lt;&gt;$I927,$L926-$L927&gt;25),IF(ABS($I926)&gt;10,$I926/POW(10,$J926),$J926/POW(10,$I926))*MAXIFS(Token!$C:$C,Token!$A:$A,$K926)&gt;0.01),$L926/86400+DATE(1970,1,1)+$G$6,)</f>
        <v/>
      </c>
      <c r="B926" s="27" t="str">
        <f t="shared" si="1"/>
        <v/>
      </c>
      <c r="C926" s="14" t="str">
        <f>IF($A926&lt;&gt;"",MINIFS(Merchant!$A:$A,Merchant!$B:$B,$G$2),)</f>
        <v/>
      </c>
      <c r="D926" s="14" t="str">
        <f t="shared" si="2"/>
        <v/>
      </c>
      <c r="E926" s="14" t="str">
        <f t="shared" si="3"/>
        <v/>
      </c>
      <c r="F926" s="7" t="str">
        <f>IF($A926&lt;&gt;"",MAXIFS(Token!$C:$C,Token!$A:$A,$D926),)</f>
        <v/>
      </c>
    </row>
    <row r="927">
      <c r="A927" s="39" t="str">
        <f>IF(AND($L927*1&gt;=$G$3,$L927*1&lt;=$G$4,$I927*$J927&gt;0,OR($I927&lt;&gt;$I928,$L927-$L928&gt;25),IF(ABS($I927)&gt;10,$I927/POW(10,$J927),$J927/POW(10,$I927))*MAXIFS(Token!$C:$C,Token!$A:$A,$K927)&gt;0.01),$L927/86400+DATE(1970,1,1)+$G$6,)</f>
        <v/>
      </c>
      <c r="B927" s="27" t="str">
        <f t="shared" si="1"/>
        <v/>
      </c>
      <c r="C927" s="14" t="str">
        <f>IF($A927&lt;&gt;"",MINIFS(Merchant!$A:$A,Merchant!$B:$B,$G$2),)</f>
        <v/>
      </c>
      <c r="D927" s="14" t="str">
        <f t="shared" si="2"/>
        <v/>
      </c>
      <c r="E927" s="14" t="str">
        <f t="shared" si="3"/>
        <v/>
      </c>
      <c r="F927" s="7" t="str">
        <f>IF($A927&lt;&gt;"",MAXIFS(Token!$C:$C,Token!$A:$A,$D927),)</f>
        <v/>
      </c>
    </row>
    <row r="928">
      <c r="A928" s="39" t="str">
        <f>IF(AND($L928*1&gt;=$G$3,$L928*1&lt;=$G$4,$I928*$J928&gt;0,OR($I928&lt;&gt;$I929,$L928-$L929&gt;25),IF(ABS($I928)&gt;10,$I928/POW(10,$J928),$J928/POW(10,$I928))*MAXIFS(Token!$C:$C,Token!$A:$A,$K928)&gt;0.01),$L928/86400+DATE(1970,1,1)+$G$6,)</f>
        <v/>
      </c>
      <c r="B928" s="27" t="str">
        <f t="shared" si="1"/>
        <v/>
      </c>
      <c r="C928" s="14" t="str">
        <f>IF($A928&lt;&gt;"",MINIFS(Merchant!$A:$A,Merchant!$B:$B,$G$2),)</f>
        <v/>
      </c>
      <c r="D928" s="14" t="str">
        <f t="shared" si="2"/>
        <v/>
      </c>
      <c r="E928" s="14" t="str">
        <f t="shared" si="3"/>
        <v/>
      </c>
      <c r="F928" s="7" t="str">
        <f>IF($A928&lt;&gt;"",MAXIFS(Token!$C:$C,Token!$A:$A,$D928),)</f>
        <v/>
      </c>
    </row>
    <row r="929">
      <c r="A929" s="39" t="str">
        <f>IF(AND($L929*1&gt;=$G$3,$L929*1&lt;=$G$4,$I929*$J929&gt;0,OR($I929&lt;&gt;$I930,$L929-$L930&gt;25),IF(ABS($I929)&gt;10,$I929/POW(10,$J929),$J929/POW(10,$I929))*MAXIFS(Token!$C:$C,Token!$A:$A,$K929)&gt;0.01),$L929/86400+DATE(1970,1,1)+$G$6,)</f>
        <v/>
      </c>
      <c r="B929" s="27" t="str">
        <f t="shared" si="1"/>
        <v/>
      </c>
      <c r="C929" s="14" t="str">
        <f>IF($A929&lt;&gt;"",MINIFS(Merchant!$A:$A,Merchant!$B:$B,$G$2),)</f>
        <v/>
      </c>
      <c r="D929" s="14" t="str">
        <f t="shared" si="2"/>
        <v/>
      </c>
      <c r="E929" s="14" t="str">
        <f t="shared" si="3"/>
        <v/>
      </c>
      <c r="F929" s="7" t="str">
        <f>IF($A929&lt;&gt;"",MAXIFS(Token!$C:$C,Token!$A:$A,$D929),)</f>
        <v/>
      </c>
    </row>
    <row r="930">
      <c r="A930" s="39" t="str">
        <f>IF(AND($L930*1&gt;=$G$3,$L930*1&lt;=$G$4,$I930*$J930&gt;0,OR($I930&lt;&gt;$I931,$L930-$L931&gt;25),IF(ABS($I930)&gt;10,$I930/POW(10,$J930),$J930/POW(10,$I930))*MAXIFS(Token!$C:$C,Token!$A:$A,$K930)&gt;0.01),$L930/86400+DATE(1970,1,1)+$G$6,)</f>
        <v/>
      </c>
      <c r="B930" s="27" t="str">
        <f t="shared" si="1"/>
        <v/>
      </c>
      <c r="C930" s="14" t="str">
        <f>IF($A930&lt;&gt;"",MINIFS(Merchant!$A:$A,Merchant!$B:$B,$G$2),)</f>
        <v/>
      </c>
      <c r="D930" s="14" t="str">
        <f t="shared" si="2"/>
        <v/>
      </c>
      <c r="E930" s="14" t="str">
        <f t="shared" si="3"/>
        <v/>
      </c>
      <c r="F930" s="7" t="str">
        <f>IF($A930&lt;&gt;"",MAXIFS(Token!$C:$C,Token!$A:$A,$D930),)</f>
        <v/>
      </c>
    </row>
    <row r="931">
      <c r="A931" s="39" t="str">
        <f>IF(AND($L931*1&gt;=$G$3,$L931*1&lt;=$G$4,$I931*$J931&gt;0,OR($I931&lt;&gt;$I932,$L931-$L932&gt;25),IF(ABS($I931)&gt;10,$I931/POW(10,$J931),$J931/POW(10,$I931))*MAXIFS(Token!$C:$C,Token!$A:$A,$K931)&gt;0.01),$L931/86400+DATE(1970,1,1)+$G$6,)</f>
        <v/>
      </c>
      <c r="B931" s="27" t="str">
        <f t="shared" si="1"/>
        <v/>
      </c>
      <c r="C931" s="14" t="str">
        <f>IF($A931&lt;&gt;"",MINIFS(Merchant!$A:$A,Merchant!$B:$B,$G$2),)</f>
        <v/>
      </c>
      <c r="D931" s="14" t="str">
        <f t="shared" si="2"/>
        <v/>
      </c>
      <c r="E931" s="14" t="str">
        <f t="shared" si="3"/>
        <v/>
      </c>
      <c r="F931" s="7" t="str">
        <f>IF($A931&lt;&gt;"",MAXIFS(Token!$C:$C,Token!$A:$A,$D931),)</f>
        <v/>
      </c>
    </row>
    <row r="932">
      <c r="A932" s="39" t="str">
        <f>IF(AND($L932*1&gt;=$G$3,$L932*1&lt;=$G$4,$I932*$J932&gt;0,OR($I932&lt;&gt;$I933,$L932-$L933&gt;25),IF(ABS($I932)&gt;10,$I932/POW(10,$J932),$J932/POW(10,$I932))*MAXIFS(Token!$C:$C,Token!$A:$A,$K932)&gt;0.01),$L932/86400+DATE(1970,1,1)+$G$6,)</f>
        <v/>
      </c>
      <c r="B932" s="27" t="str">
        <f t="shared" si="1"/>
        <v/>
      </c>
      <c r="C932" s="14" t="str">
        <f>IF($A932&lt;&gt;"",MINIFS(Merchant!$A:$A,Merchant!$B:$B,$G$2),)</f>
        <v/>
      </c>
      <c r="D932" s="14" t="str">
        <f t="shared" si="2"/>
        <v/>
      </c>
      <c r="E932" s="14" t="str">
        <f t="shared" si="3"/>
        <v/>
      </c>
      <c r="F932" s="7" t="str">
        <f>IF($A932&lt;&gt;"",MAXIFS(Token!$C:$C,Token!$A:$A,$D932),)</f>
        <v/>
      </c>
    </row>
    <row r="933">
      <c r="A933" s="39" t="str">
        <f>IF(AND($L933*1&gt;=$G$3,$L933*1&lt;=$G$4,$I933*$J933&gt;0,OR($I933&lt;&gt;$I934,$L933-$L934&gt;25),IF(ABS($I933)&gt;10,$I933/POW(10,$J933),$J933/POW(10,$I933))*MAXIFS(Token!$C:$C,Token!$A:$A,$K933)&gt;0.01),$L933/86400+DATE(1970,1,1)+$G$6,)</f>
        <v/>
      </c>
      <c r="B933" s="27" t="str">
        <f t="shared" si="1"/>
        <v/>
      </c>
      <c r="C933" s="14" t="str">
        <f>IF($A933&lt;&gt;"",MINIFS(Merchant!$A:$A,Merchant!$B:$B,$G$2),)</f>
        <v/>
      </c>
      <c r="D933" s="14" t="str">
        <f t="shared" si="2"/>
        <v/>
      </c>
      <c r="E933" s="14" t="str">
        <f t="shared" si="3"/>
        <v/>
      </c>
      <c r="F933" s="7" t="str">
        <f>IF($A933&lt;&gt;"",MAXIFS(Token!$C:$C,Token!$A:$A,$D933),)</f>
        <v/>
      </c>
    </row>
    <row r="934">
      <c r="A934" s="39" t="str">
        <f>IF(AND($L934*1&gt;=$G$3,$L934*1&lt;=$G$4,$I934*$J934&gt;0,OR($I934&lt;&gt;$I935,$L934-$L935&gt;25),IF(ABS($I934)&gt;10,$I934/POW(10,$J934),$J934/POW(10,$I934))*MAXIFS(Token!$C:$C,Token!$A:$A,$K934)&gt;0.01),$L934/86400+DATE(1970,1,1)+$G$6,)</f>
        <v/>
      </c>
      <c r="B934" s="27" t="str">
        <f t="shared" si="1"/>
        <v/>
      </c>
      <c r="C934" s="14" t="str">
        <f>IF($A934&lt;&gt;"",MINIFS(Merchant!$A:$A,Merchant!$B:$B,$G$2),)</f>
        <v/>
      </c>
      <c r="D934" s="14" t="str">
        <f t="shared" si="2"/>
        <v/>
      </c>
      <c r="E934" s="14" t="str">
        <f t="shared" si="3"/>
        <v/>
      </c>
      <c r="F934" s="7" t="str">
        <f>IF($A934&lt;&gt;"",MAXIFS(Token!$C:$C,Token!$A:$A,$D934),)</f>
        <v/>
      </c>
    </row>
    <row r="935">
      <c r="A935" s="39" t="str">
        <f>IF(AND($L935*1&gt;=$G$3,$L935*1&lt;=$G$4,$I935*$J935&gt;0,OR($I935&lt;&gt;$I936,$L935-$L936&gt;25),IF(ABS($I935)&gt;10,$I935/POW(10,$J935),$J935/POW(10,$I935))*MAXIFS(Token!$C:$C,Token!$A:$A,$K935)&gt;0.01),$L935/86400+DATE(1970,1,1)+$G$6,)</f>
        <v/>
      </c>
      <c r="B935" s="27" t="str">
        <f t="shared" si="1"/>
        <v/>
      </c>
      <c r="C935" s="14" t="str">
        <f>IF($A935&lt;&gt;"",MINIFS(Merchant!$A:$A,Merchant!$B:$B,$G$2),)</f>
        <v/>
      </c>
      <c r="D935" s="14" t="str">
        <f t="shared" si="2"/>
        <v/>
      </c>
      <c r="E935" s="14" t="str">
        <f t="shared" si="3"/>
        <v/>
      </c>
      <c r="F935" s="7" t="str">
        <f>IF($A935&lt;&gt;"",MAXIFS(Token!$C:$C,Token!$A:$A,$D935),)</f>
        <v/>
      </c>
    </row>
    <row r="936">
      <c r="A936" s="39" t="str">
        <f>IF(AND($L936*1&gt;=$G$3,$L936*1&lt;=$G$4,$I936*$J936&gt;0,OR($I936&lt;&gt;$I937,$L936-$L937&gt;25),IF(ABS($I936)&gt;10,$I936/POW(10,$J936),$J936/POW(10,$I936))*MAXIFS(Token!$C:$C,Token!$A:$A,$K936)&gt;0.01),$L936/86400+DATE(1970,1,1)+$G$6,)</f>
        <v/>
      </c>
      <c r="B936" s="27" t="str">
        <f t="shared" si="1"/>
        <v/>
      </c>
      <c r="C936" s="14" t="str">
        <f>IF($A936&lt;&gt;"",MINIFS(Merchant!$A:$A,Merchant!$B:$B,$G$2),)</f>
        <v/>
      </c>
      <c r="D936" s="14" t="str">
        <f t="shared" si="2"/>
        <v/>
      </c>
      <c r="E936" s="14" t="str">
        <f t="shared" si="3"/>
        <v/>
      </c>
      <c r="F936" s="7" t="str">
        <f>IF($A936&lt;&gt;"",MAXIFS(Token!$C:$C,Token!$A:$A,$D936),)</f>
        <v/>
      </c>
    </row>
    <row r="937">
      <c r="A937" s="39" t="str">
        <f>IF(AND($L937*1&gt;=$G$3,$L937*1&lt;=$G$4,$I937*$J937&gt;0,OR($I937&lt;&gt;$I938,$L937-$L938&gt;25),IF(ABS($I937)&gt;10,$I937/POW(10,$J937),$J937/POW(10,$I937))*MAXIFS(Token!$C:$C,Token!$A:$A,$K937)&gt;0.01),$L937/86400+DATE(1970,1,1)+$G$6,)</f>
        <v/>
      </c>
      <c r="B937" s="27" t="str">
        <f t="shared" si="1"/>
        <v/>
      </c>
      <c r="C937" s="14" t="str">
        <f>IF($A937&lt;&gt;"",MINIFS(Merchant!$A:$A,Merchant!$B:$B,$G$2),)</f>
        <v/>
      </c>
      <c r="D937" s="14" t="str">
        <f t="shared" si="2"/>
        <v/>
      </c>
      <c r="E937" s="14" t="str">
        <f t="shared" si="3"/>
        <v/>
      </c>
      <c r="F937" s="7" t="str">
        <f>IF($A937&lt;&gt;"",MAXIFS(Token!$C:$C,Token!$A:$A,$D937),)</f>
        <v/>
      </c>
    </row>
    <row r="938">
      <c r="A938" s="39" t="str">
        <f>IF(AND($L938*1&gt;=$G$3,$L938*1&lt;=$G$4,$I938*$J938&gt;0,OR($I938&lt;&gt;$I939,$L938-$L939&gt;25),IF(ABS($I938)&gt;10,$I938/POW(10,$J938),$J938/POW(10,$I938))*MAXIFS(Token!$C:$C,Token!$A:$A,$K938)&gt;0.01),$L938/86400+DATE(1970,1,1)+$G$6,)</f>
        <v/>
      </c>
      <c r="B938" s="27" t="str">
        <f t="shared" si="1"/>
        <v/>
      </c>
      <c r="C938" s="14" t="str">
        <f>IF($A938&lt;&gt;"",MINIFS(Merchant!$A:$A,Merchant!$B:$B,$G$2),)</f>
        <v/>
      </c>
      <c r="D938" s="14" t="str">
        <f t="shared" si="2"/>
        <v/>
      </c>
      <c r="E938" s="14" t="str">
        <f t="shared" si="3"/>
        <v/>
      </c>
      <c r="F938" s="7" t="str">
        <f>IF($A938&lt;&gt;"",MAXIFS(Token!$C:$C,Token!$A:$A,$D938),)</f>
        <v/>
      </c>
    </row>
    <row r="939">
      <c r="A939" s="39" t="str">
        <f>IF(AND($L939*1&gt;=$G$3,$L939*1&lt;=$G$4,$I939*$J939&gt;0,OR($I939&lt;&gt;$I940,$L939-$L940&gt;25),IF(ABS($I939)&gt;10,$I939/POW(10,$J939),$J939/POW(10,$I939))*MAXIFS(Token!$C:$C,Token!$A:$A,$K939)&gt;0.01),$L939/86400+DATE(1970,1,1)+$G$6,)</f>
        <v/>
      </c>
      <c r="B939" s="27" t="str">
        <f t="shared" si="1"/>
        <v/>
      </c>
      <c r="C939" s="14" t="str">
        <f>IF($A939&lt;&gt;"",MINIFS(Merchant!$A:$A,Merchant!$B:$B,$G$2),)</f>
        <v/>
      </c>
      <c r="D939" s="14" t="str">
        <f t="shared" si="2"/>
        <v/>
      </c>
      <c r="E939" s="14" t="str">
        <f t="shared" si="3"/>
        <v/>
      </c>
      <c r="F939" s="7" t="str">
        <f>IF($A939&lt;&gt;"",MAXIFS(Token!$C:$C,Token!$A:$A,$D939),)</f>
        <v/>
      </c>
    </row>
    <row r="940">
      <c r="A940" s="39" t="str">
        <f>IF(AND($L940*1&gt;=$G$3,$L940*1&lt;=$G$4,$I940*$J940&gt;0,OR($I940&lt;&gt;$I941,$L940-$L941&gt;25),IF(ABS($I940)&gt;10,$I940/POW(10,$J940),$J940/POW(10,$I940))*MAXIFS(Token!$C:$C,Token!$A:$A,$K940)&gt;0.01),$L940/86400+DATE(1970,1,1)+$G$6,)</f>
        <v/>
      </c>
      <c r="B940" s="27" t="str">
        <f t="shared" si="1"/>
        <v/>
      </c>
      <c r="C940" s="14" t="str">
        <f>IF($A940&lt;&gt;"",MINIFS(Merchant!$A:$A,Merchant!$B:$B,$G$2),)</f>
        <v/>
      </c>
      <c r="D940" s="14" t="str">
        <f t="shared" si="2"/>
        <v/>
      </c>
      <c r="E940" s="14" t="str">
        <f t="shared" si="3"/>
        <v/>
      </c>
      <c r="F940" s="7" t="str">
        <f>IF($A940&lt;&gt;"",MAXIFS(Token!$C:$C,Token!$A:$A,$D940),)</f>
        <v/>
      </c>
    </row>
    <row r="941">
      <c r="A941" s="39" t="str">
        <f>IF(AND($L941*1&gt;=$G$3,$L941*1&lt;=$G$4,$I941*$J941&gt;0,OR($I941&lt;&gt;$I942,$L941-$L942&gt;25),IF(ABS($I941)&gt;10,$I941/POW(10,$J941),$J941/POW(10,$I941))*MAXIFS(Token!$C:$C,Token!$A:$A,$K941)&gt;0.01),$L941/86400+DATE(1970,1,1)+$G$6,)</f>
        <v/>
      </c>
      <c r="B941" s="27" t="str">
        <f t="shared" si="1"/>
        <v/>
      </c>
      <c r="C941" s="14" t="str">
        <f>IF($A941&lt;&gt;"",MINIFS(Merchant!$A:$A,Merchant!$B:$B,$G$2),)</f>
        <v/>
      </c>
      <c r="D941" s="14" t="str">
        <f t="shared" si="2"/>
        <v/>
      </c>
      <c r="E941" s="14" t="str">
        <f t="shared" si="3"/>
        <v/>
      </c>
      <c r="F941" s="7" t="str">
        <f>IF($A941&lt;&gt;"",MAXIFS(Token!$C:$C,Token!$A:$A,$D941),)</f>
        <v/>
      </c>
    </row>
    <row r="942">
      <c r="A942" s="39" t="str">
        <f>IF(AND($L942*1&gt;=$G$3,$L942*1&lt;=$G$4,$I942*$J942&gt;0,OR($I942&lt;&gt;$I943,$L942-$L943&gt;25),IF(ABS($I942)&gt;10,$I942/POW(10,$J942),$J942/POW(10,$I942))*MAXIFS(Token!$C:$C,Token!$A:$A,$K942)&gt;0.01),$L942/86400+DATE(1970,1,1)+$G$6,)</f>
        <v/>
      </c>
      <c r="B942" s="27" t="str">
        <f t="shared" si="1"/>
        <v/>
      </c>
      <c r="C942" s="14" t="str">
        <f>IF($A942&lt;&gt;"",MINIFS(Merchant!$A:$A,Merchant!$B:$B,$G$2),)</f>
        <v/>
      </c>
      <c r="D942" s="14" t="str">
        <f t="shared" si="2"/>
        <v/>
      </c>
      <c r="E942" s="14" t="str">
        <f t="shared" si="3"/>
        <v/>
      </c>
      <c r="F942" s="7" t="str">
        <f>IF($A942&lt;&gt;"",MAXIFS(Token!$C:$C,Token!$A:$A,$D942),)</f>
        <v/>
      </c>
    </row>
    <row r="943">
      <c r="A943" s="39" t="str">
        <f>IF(AND($L943*1&gt;=$G$3,$L943*1&lt;=$G$4,$I943*$J943&gt;0,OR($I943&lt;&gt;$I944,$L943-$L944&gt;25),IF(ABS($I943)&gt;10,$I943/POW(10,$J943),$J943/POW(10,$I943))*MAXIFS(Token!$C:$C,Token!$A:$A,$K943)&gt;0.01),$L943/86400+DATE(1970,1,1)+$G$6,)</f>
        <v/>
      </c>
      <c r="B943" s="27" t="str">
        <f t="shared" si="1"/>
        <v/>
      </c>
      <c r="C943" s="14" t="str">
        <f>IF($A943&lt;&gt;"",MINIFS(Merchant!$A:$A,Merchant!$B:$B,$G$2),)</f>
        <v/>
      </c>
      <c r="D943" s="14" t="str">
        <f t="shared" si="2"/>
        <v/>
      </c>
      <c r="E943" s="14" t="str">
        <f t="shared" si="3"/>
        <v/>
      </c>
      <c r="F943" s="7" t="str">
        <f>IF($A943&lt;&gt;"",MAXIFS(Token!$C:$C,Token!$A:$A,$D943),)</f>
        <v/>
      </c>
    </row>
    <row r="944">
      <c r="A944" s="39" t="str">
        <f>IF(AND($L944*1&gt;=$G$3,$L944*1&lt;=$G$4,$I944*$J944&gt;0,OR($I944&lt;&gt;$I945,$L944-$L945&gt;25),IF(ABS($I944)&gt;10,$I944/POW(10,$J944),$J944/POW(10,$I944))*MAXIFS(Token!$C:$C,Token!$A:$A,$K944)&gt;0.01),$L944/86400+DATE(1970,1,1)+$G$6,)</f>
        <v/>
      </c>
      <c r="B944" s="27" t="str">
        <f t="shared" si="1"/>
        <v/>
      </c>
      <c r="C944" s="14" t="str">
        <f>IF($A944&lt;&gt;"",MINIFS(Merchant!$A:$A,Merchant!$B:$B,$G$2),)</f>
        <v/>
      </c>
      <c r="D944" s="14" t="str">
        <f t="shared" si="2"/>
        <v/>
      </c>
      <c r="E944" s="14" t="str">
        <f t="shared" si="3"/>
        <v/>
      </c>
      <c r="F944" s="7" t="str">
        <f>IF($A944&lt;&gt;"",MAXIFS(Token!$C:$C,Token!$A:$A,$D944),)</f>
        <v/>
      </c>
    </row>
    <row r="945">
      <c r="A945" s="39" t="str">
        <f>IF(AND($L945*1&gt;=$G$3,$L945*1&lt;=$G$4,$I945*$J945&gt;0,OR($I945&lt;&gt;$I946,$L945-$L946&gt;25),IF(ABS($I945)&gt;10,$I945/POW(10,$J945),$J945/POW(10,$I945))*MAXIFS(Token!$C:$C,Token!$A:$A,$K945)&gt;0.01),$L945/86400+DATE(1970,1,1)+$G$6,)</f>
        <v/>
      </c>
      <c r="B945" s="27" t="str">
        <f t="shared" si="1"/>
        <v/>
      </c>
      <c r="C945" s="14" t="str">
        <f>IF($A945&lt;&gt;"",MINIFS(Merchant!$A:$A,Merchant!$B:$B,$G$2),)</f>
        <v/>
      </c>
      <c r="D945" s="14" t="str">
        <f t="shared" si="2"/>
        <v/>
      </c>
      <c r="E945" s="14" t="str">
        <f t="shared" si="3"/>
        <v/>
      </c>
      <c r="F945" s="7" t="str">
        <f>IF($A945&lt;&gt;"",MAXIFS(Token!$C:$C,Token!$A:$A,$D945),)</f>
        <v/>
      </c>
    </row>
    <row r="946">
      <c r="A946" s="39" t="str">
        <f>IF(AND($L946*1&gt;=$G$3,$L946*1&lt;=$G$4,$I946*$J946&gt;0,OR($I946&lt;&gt;$I947,$L946-$L947&gt;25),IF(ABS($I946)&gt;10,$I946/POW(10,$J946),$J946/POW(10,$I946))*MAXIFS(Token!$C:$C,Token!$A:$A,$K946)&gt;0.01),$L946/86400+DATE(1970,1,1)+$G$6,)</f>
        <v/>
      </c>
      <c r="B946" s="27" t="str">
        <f t="shared" si="1"/>
        <v/>
      </c>
      <c r="C946" s="14" t="str">
        <f>IF($A946&lt;&gt;"",MINIFS(Merchant!$A:$A,Merchant!$B:$B,$G$2),)</f>
        <v/>
      </c>
      <c r="D946" s="14" t="str">
        <f t="shared" si="2"/>
        <v/>
      </c>
      <c r="E946" s="14" t="str">
        <f t="shared" si="3"/>
        <v/>
      </c>
      <c r="F946" s="7" t="str">
        <f>IF($A946&lt;&gt;"",MAXIFS(Token!$C:$C,Token!$A:$A,$D946),)</f>
        <v/>
      </c>
    </row>
    <row r="947">
      <c r="A947" s="39" t="str">
        <f>IF(AND($L947*1&gt;=$G$3,$L947*1&lt;=$G$4,$I947*$J947&gt;0,OR($I947&lt;&gt;$I948,$L947-$L948&gt;25),IF(ABS($I947)&gt;10,$I947/POW(10,$J947),$J947/POW(10,$I947))*MAXIFS(Token!$C:$C,Token!$A:$A,$K947)&gt;0.01),$L947/86400+DATE(1970,1,1)+$G$6,)</f>
        <v/>
      </c>
      <c r="B947" s="27" t="str">
        <f t="shared" si="1"/>
        <v/>
      </c>
      <c r="C947" s="14" t="str">
        <f>IF($A947&lt;&gt;"",MINIFS(Merchant!$A:$A,Merchant!$B:$B,$G$2),)</f>
        <v/>
      </c>
      <c r="D947" s="14" t="str">
        <f t="shared" si="2"/>
        <v/>
      </c>
      <c r="E947" s="14" t="str">
        <f t="shared" si="3"/>
        <v/>
      </c>
      <c r="F947" s="7" t="str">
        <f>IF($A947&lt;&gt;"",MAXIFS(Token!$C:$C,Token!$A:$A,$D947),)</f>
        <v/>
      </c>
    </row>
    <row r="948">
      <c r="A948" s="39" t="str">
        <f>IF(AND($L948*1&gt;=$G$3,$L948*1&lt;=$G$4,$I948*$J948&gt;0,OR($I948&lt;&gt;$I949,$L948-$L949&gt;25),IF(ABS($I948)&gt;10,$I948/POW(10,$J948),$J948/POW(10,$I948))*MAXIFS(Token!$C:$C,Token!$A:$A,$K948)&gt;0.01),$L948/86400+DATE(1970,1,1)+$G$6,)</f>
        <v/>
      </c>
      <c r="B948" s="27" t="str">
        <f t="shared" si="1"/>
        <v/>
      </c>
      <c r="C948" s="14" t="str">
        <f>IF($A948&lt;&gt;"",MINIFS(Merchant!$A:$A,Merchant!$B:$B,$G$2),)</f>
        <v/>
      </c>
      <c r="D948" s="14" t="str">
        <f t="shared" si="2"/>
        <v/>
      </c>
      <c r="E948" s="14" t="str">
        <f t="shared" si="3"/>
        <v/>
      </c>
      <c r="F948" s="7" t="str">
        <f>IF($A948&lt;&gt;"",MAXIFS(Token!$C:$C,Token!$A:$A,$D948),)</f>
        <v/>
      </c>
    </row>
    <row r="949">
      <c r="A949" s="39" t="str">
        <f>IF(AND($L949*1&gt;=$G$3,$L949*1&lt;=$G$4,$I949*$J949&gt;0,OR($I949&lt;&gt;$I950,$L949-$L950&gt;25),IF(ABS($I949)&gt;10,$I949/POW(10,$J949),$J949/POW(10,$I949))*MAXIFS(Token!$C:$C,Token!$A:$A,$K949)&gt;0.01),$L949/86400+DATE(1970,1,1)+$G$6,)</f>
        <v/>
      </c>
      <c r="B949" s="27" t="str">
        <f t="shared" si="1"/>
        <v/>
      </c>
      <c r="C949" s="14" t="str">
        <f>IF($A949&lt;&gt;"",MINIFS(Merchant!$A:$A,Merchant!$B:$B,$G$2),)</f>
        <v/>
      </c>
      <c r="D949" s="14" t="str">
        <f t="shared" si="2"/>
        <v/>
      </c>
      <c r="E949" s="14" t="str">
        <f t="shared" si="3"/>
        <v/>
      </c>
      <c r="F949" s="7" t="str">
        <f>IF($A949&lt;&gt;"",MAXIFS(Token!$C:$C,Token!$A:$A,$D949),)</f>
        <v/>
      </c>
    </row>
    <row r="950">
      <c r="A950" s="39" t="str">
        <f>IF(AND($L950*1&gt;=$G$3,$L950*1&lt;=$G$4,$I950*$J950&gt;0,OR($I950&lt;&gt;$I951,$L950-$L951&gt;25),IF(ABS($I950)&gt;10,$I950/POW(10,$J950),$J950/POW(10,$I950))*MAXIFS(Token!$C:$C,Token!$A:$A,$K950)&gt;0.01),$L950/86400+DATE(1970,1,1)+$G$6,)</f>
        <v/>
      </c>
      <c r="B950" s="27" t="str">
        <f t="shared" si="1"/>
        <v/>
      </c>
      <c r="C950" s="14" t="str">
        <f>IF($A950&lt;&gt;"",MINIFS(Merchant!$A:$A,Merchant!$B:$B,$G$2),)</f>
        <v/>
      </c>
      <c r="D950" s="14" t="str">
        <f t="shared" si="2"/>
        <v/>
      </c>
      <c r="E950" s="14" t="str">
        <f t="shared" si="3"/>
        <v/>
      </c>
      <c r="F950" s="7" t="str">
        <f>IF($A950&lt;&gt;"",MAXIFS(Token!$C:$C,Token!$A:$A,$D950),)</f>
        <v/>
      </c>
    </row>
    <row r="951">
      <c r="A951" s="39" t="str">
        <f>IF(AND($L951*1&gt;=$G$3,$L951*1&lt;=$G$4,$I951*$J951&gt;0,OR($I951&lt;&gt;$I952,$L951-$L952&gt;25),IF(ABS($I951)&gt;10,$I951/POW(10,$J951),$J951/POW(10,$I951))*MAXIFS(Token!$C:$C,Token!$A:$A,$K951)&gt;0.01),$L951/86400+DATE(1970,1,1)+$G$6,)</f>
        <v/>
      </c>
      <c r="B951" s="27" t="str">
        <f t="shared" si="1"/>
        <v/>
      </c>
      <c r="C951" s="14" t="str">
        <f>IF($A951&lt;&gt;"",MINIFS(Merchant!$A:$A,Merchant!$B:$B,$G$2),)</f>
        <v/>
      </c>
      <c r="D951" s="14" t="str">
        <f t="shared" si="2"/>
        <v/>
      </c>
      <c r="E951" s="14" t="str">
        <f t="shared" si="3"/>
        <v/>
      </c>
      <c r="F951" s="7" t="str">
        <f>IF($A951&lt;&gt;"",MAXIFS(Token!$C:$C,Token!$A:$A,$D951),)</f>
        <v/>
      </c>
    </row>
    <row r="952">
      <c r="A952" s="39" t="str">
        <f>IF(AND($L952*1&gt;=$G$3,$L952*1&lt;=$G$4,$I952*$J952&gt;0,OR($I952&lt;&gt;$I953,$L952-$L953&gt;25),IF(ABS($I952)&gt;10,$I952/POW(10,$J952),$J952/POW(10,$I952))*MAXIFS(Token!$C:$C,Token!$A:$A,$K952)&gt;0.01),$L952/86400+DATE(1970,1,1)+$G$6,)</f>
        <v/>
      </c>
      <c r="B952" s="27" t="str">
        <f t="shared" si="1"/>
        <v/>
      </c>
      <c r="C952" s="14" t="str">
        <f>IF($A952&lt;&gt;"",MINIFS(Merchant!$A:$A,Merchant!$B:$B,$G$2),)</f>
        <v/>
      </c>
      <c r="D952" s="14" t="str">
        <f t="shared" si="2"/>
        <v/>
      </c>
      <c r="E952" s="14" t="str">
        <f t="shared" si="3"/>
        <v/>
      </c>
      <c r="F952" s="7" t="str">
        <f>IF($A952&lt;&gt;"",MAXIFS(Token!$C:$C,Token!$A:$A,$D952),)</f>
        <v/>
      </c>
    </row>
    <row r="953">
      <c r="A953" s="39" t="str">
        <f>IF(AND($L953*1&gt;=$G$3,$L953*1&lt;=$G$4,$I953*$J953&gt;0,OR($I953&lt;&gt;$I954,$L953-$L954&gt;25),IF(ABS($I953)&gt;10,$I953/POW(10,$J953),$J953/POW(10,$I953))*MAXIFS(Token!$C:$C,Token!$A:$A,$K953)&gt;0.01),$L953/86400+DATE(1970,1,1)+$G$6,)</f>
        <v/>
      </c>
      <c r="B953" s="27" t="str">
        <f t="shared" si="1"/>
        <v/>
      </c>
      <c r="C953" s="14" t="str">
        <f>IF($A953&lt;&gt;"",MINIFS(Merchant!$A:$A,Merchant!$B:$B,$G$2),)</f>
        <v/>
      </c>
      <c r="D953" s="14" t="str">
        <f t="shared" si="2"/>
        <v/>
      </c>
      <c r="E953" s="14" t="str">
        <f t="shared" si="3"/>
        <v/>
      </c>
      <c r="F953" s="7" t="str">
        <f>IF($A953&lt;&gt;"",MAXIFS(Token!$C:$C,Token!$A:$A,$D953),)</f>
        <v/>
      </c>
    </row>
    <row r="954">
      <c r="A954" s="39" t="str">
        <f>IF(AND($L954*1&gt;=$G$3,$L954*1&lt;=$G$4,$I954*$J954&gt;0,OR($I954&lt;&gt;$I955,$L954-$L955&gt;25),IF(ABS($I954)&gt;10,$I954/POW(10,$J954),$J954/POW(10,$I954))*MAXIFS(Token!$C:$C,Token!$A:$A,$K954)&gt;0.01),$L954/86400+DATE(1970,1,1)+$G$6,)</f>
        <v/>
      </c>
      <c r="B954" s="27" t="str">
        <f t="shared" si="1"/>
        <v/>
      </c>
      <c r="C954" s="14" t="str">
        <f>IF($A954&lt;&gt;"",MINIFS(Merchant!$A:$A,Merchant!$B:$B,$G$2),)</f>
        <v/>
      </c>
      <c r="D954" s="14" t="str">
        <f t="shared" si="2"/>
        <v/>
      </c>
      <c r="E954" s="14" t="str">
        <f t="shared" si="3"/>
        <v/>
      </c>
      <c r="F954" s="7" t="str">
        <f>IF($A954&lt;&gt;"",MAXIFS(Token!$C:$C,Token!$A:$A,$D954),)</f>
        <v/>
      </c>
    </row>
    <row r="955">
      <c r="A955" s="39" t="str">
        <f>IF(AND($L955*1&gt;=$G$3,$L955*1&lt;=$G$4,$I955*$J955&gt;0,OR($I955&lt;&gt;$I956,$L955-$L956&gt;25),IF(ABS($I955)&gt;10,$I955/POW(10,$J955),$J955/POW(10,$I955))*MAXIFS(Token!$C:$C,Token!$A:$A,$K955)&gt;0.01),$L955/86400+DATE(1970,1,1)+$G$6,)</f>
        <v/>
      </c>
      <c r="B955" s="27" t="str">
        <f t="shared" si="1"/>
        <v/>
      </c>
      <c r="C955" s="14" t="str">
        <f>IF($A955&lt;&gt;"",MINIFS(Merchant!$A:$A,Merchant!$B:$B,$G$2),)</f>
        <v/>
      </c>
      <c r="D955" s="14" t="str">
        <f t="shared" si="2"/>
        <v/>
      </c>
      <c r="E955" s="14" t="str">
        <f t="shared" si="3"/>
        <v/>
      </c>
      <c r="F955" s="7" t="str">
        <f>IF($A955&lt;&gt;"",MAXIFS(Token!$C:$C,Token!$A:$A,$D955),)</f>
        <v/>
      </c>
    </row>
    <row r="956">
      <c r="A956" s="39" t="str">
        <f>IF(AND($L956*1&gt;=$G$3,$L956*1&lt;=$G$4,$I956*$J956&gt;0,OR($I956&lt;&gt;$I957,$L956-$L957&gt;25),IF(ABS($I956)&gt;10,$I956/POW(10,$J956),$J956/POW(10,$I956))*MAXIFS(Token!$C:$C,Token!$A:$A,$K956)&gt;0.01),$L956/86400+DATE(1970,1,1)+$G$6,)</f>
        <v/>
      </c>
      <c r="B956" s="27" t="str">
        <f t="shared" si="1"/>
        <v/>
      </c>
      <c r="C956" s="14" t="str">
        <f>IF($A956&lt;&gt;"",MINIFS(Merchant!$A:$A,Merchant!$B:$B,$G$2),)</f>
        <v/>
      </c>
      <c r="D956" s="14" t="str">
        <f t="shared" si="2"/>
        <v/>
      </c>
      <c r="E956" s="14" t="str">
        <f t="shared" si="3"/>
        <v/>
      </c>
      <c r="F956" s="7" t="str">
        <f>IF($A956&lt;&gt;"",MAXIFS(Token!$C:$C,Token!$A:$A,$D956),)</f>
        <v/>
      </c>
    </row>
    <row r="957">
      <c r="A957" s="39" t="str">
        <f>IF(AND($L957*1&gt;=$G$3,$L957*1&lt;=$G$4,$I957*$J957&gt;0,OR($I957&lt;&gt;$I958,$L957-$L958&gt;25),IF(ABS($I957)&gt;10,$I957/POW(10,$J957),$J957/POW(10,$I957))*MAXIFS(Token!$C:$C,Token!$A:$A,$K957)&gt;0.01),$L957/86400+DATE(1970,1,1)+$G$6,)</f>
        <v/>
      </c>
      <c r="B957" s="27" t="str">
        <f t="shared" si="1"/>
        <v/>
      </c>
      <c r="C957" s="14" t="str">
        <f>IF($A957&lt;&gt;"",MINIFS(Merchant!$A:$A,Merchant!$B:$B,$G$2),)</f>
        <v/>
      </c>
      <c r="D957" s="14" t="str">
        <f t="shared" si="2"/>
        <v/>
      </c>
      <c r="E957" s="14" t="str">
        <f t="shared" si="3"/>
        <v/>
      </c>
      <c r="F957" s="7" t="str">
        <f>IF($A957&lt;&gt;"",MAXIFS(Token!$C:$C,Token!$A:$A,$D957),)</f>
        <v/>
      </c>
    </row>
    <row r="958">
      <c r="A958" s="39" t="str">
        <f>IF(AND($L958*1&gt;=$G$3,$L958*1&lt;=$G$4,$I958*$J958&gt;0,OR($I958&lt;&gt;$I959,$L958-$L959&gt;25),IF(ABS($I958)&gt;10,$I958/POW(10,$J958),$J958/POW(10,$I958))*MAXIFS(Token!$C:$C,Token!$A:$A,$K958)&gt;0.01),$L958/86400+DATE(1970,1,1)+$G$6,)</f>
        <v/>
      </c>
      <c r="B958" s="27" t="str">
        <f t="shared" si="1"/>
        <v/>
      </c>
      <c r="C958" s="14" t="str">
        <f>IF($A958&lt;&gt;"",MINIFS(Merchant!$A:$A,Merchant!$B:$B,$G$2),)</f>
        <v/>
      </c>
      <c r="D958" s="14" t="str">
        <f t="shared" si="2"/>
        <v/>
      </c>
      <c r="E958" s="14" t="str">
        <f t="shared" si="3"/>
        <v/>
      </c>
      <c r="F958" s="7" t="str">
        <f>IF($A958&lt;&gt;"",MAXIFS(Token!$C:$C,Token!$A:$A,$D958),)</f>
        <v/>
      </c>
    </row>
    <row r="959">
      <c r="A959" s="39" t="str">
        <f>IF(AND($L959*1&gt;=$G$3,$L959*1&lt;=$G$4,$I959*$J959&gt;0,OR($I959&lt;&gt;$I960,$L959-$L960&gt;25),IF(ABS($I959)&gt;10,$I959/POW(10,$J959),$J959/POW(10,$I959))*MAXIFS(Token!$C:$C,Token!$A:$A,$K959)&gt;0.01),$L959/86400+DATE(1970,1,1)+$G$6,)</f>
        <v/>
      </c>
      <c r="B959" s="27" t="str">
        <f t="shared" si="1"/>
        <v/>
      </c>
      <c r="C959" s="14" t="str">
        <f>IF($A959&lt;&gt;"",MINIFS(Merchant!$A:$A,Merchant!$B:$B,$G$2),)</f>
        <v/>
      </c>
      <c r="D959" s="14" t="str">
        <f t="shared" si="2"/>
        <v/>
      </c>
      <c r="E959" s="14" t="str">
        <f t="shared" si="3"/>
        <v/>
      </c>
      <c r="F959" s="7" t="str">
        <f>IF($A959&lt;&gt;"",MAXIFS(Token!$C:$C,Token!$A:$A,$D959),)</f>
        <v/>
      </c>
    </row>
    <row r="960">
      <c r="A960" s="39" t="str">
        <f>IF(AND($L960*1&gt;=$G$3,$L960*1&lt;=$G$4,$I960*$J960&gt;0,OR($I960&lt;&gt;$I961,$L960-$L961&gt;25),IF(ABS($I960)&gt;10,$I960/POW(10,$J960),$J960/POW(10,$I960))*MAXIFS(Token!$C:$C,Token!$A:$A,$K960)&gt;0.01),$L960/86400+DATE(1970,1,1)+$G$6,)</f>
        <v/>
      </c>
      <c r="B960" s="27" t="str">
        <f t="shared" si="1"/>
        <v/>
      </c>
      <c r="C960" s="14" t="str">
        <f>IF($A960&lt;&gt;"",MINIFS(Merchant!$A:$A,Merchant!$B:$B,$G$2),)</f>
        <v/>
      </c>
      <c r="D960" s="14" t="str">
        <f t="shared" si="2"/>
        <v/>
      </c>
      <c r="E960" s="14" t="str">
        <f t="shared" si="3"/>
        <v/>
      </c>
      <c r="F960" s="7" t="str">
        <f>IF($A960&lt;&gt;"",MAXIFS(Token!$C:$C,Token!$A:$A,$D960),)</f>
        <v/>
      </c>
    </row>
    <row r="961">
      <c r="A961" s="39" t="str">
        <f>IF(AND($L961*1&gt;=$G$3,$L961*1&lt;=$G$4,$I961*$J961&gt;0,OR($I961&lt;&gt;$I962,$L961-$L962&gt;25),IF(ABS($I961)&gt;10,$I961/POW(10,$J961),$J961/POW(10,$I961))*MAXIFS(Token!$C:$C,Token!$A:$A,$K961)&gt;0.01),$L961/86400+DATE(1970,1,1)+$G$6,)</f>
        <v/>
      </c>
      <c r="B961" s="27" t="str">
        <f t="shared" si="1"/>
        <v/>
      </c>
      <c r="C961" s="14" t="str">
        <f>IF($A961&lt;&gt;"",MINIFS(Merchant!$A:$A,Merchant!$B:$B,$G$2),)</f>
        <v/>
      </c>
      <c r="D961" s="14" t="str">
        <f t="shared" si="2"/>
        <v/>
      </c>
      <c r="E961" s="14" t="str">
        <f t="shared" si="3"/>
        <v/>
      </c>
      <c r="F961" s="7" t="str">
        <f>IF($A961&lt;&gt;"",MAXIFS(Token!$C:$C,Token!$A:$A,$D961),)</f>
        <v/>
      </c>
    </row>
    <row r="962">
      <c r="A962" s="39" t="str">
        <f>IF(AND($L962*1&gt;=$G$3,$L962*1&lt;=$G$4,$I962*$J962&gt;0,OR($I962&lt;&gt;$I963,$L962-$L963&gt;25),IF(ABS($I962)&gt;10,$I962/POW(10,$J962),$J962/POW(10,$I962))*MAXIFS(Token!$C:$C,Token!$A:$A,$K962)&gt;0.01),$L962/86400+DATE(1970,1,1)+$G$6,)</f>
        <v/>
      </c>
      <c r="B962" s="27" t="str">
        <f t="shared" si="1"/>
        <v/>
      </c>
      <c r="C962" s="14" t="str">
        <f>IF($A962&lt;&gt;"",MINIFS(Merchant!$A:$A,Merchant!$B:$B,$G$2),)</f>
        <v/>
      </c>
      <c r="D962" s="14" t="str">
        <f t="shared" si="2"/>
        <v/>
      </c>
      <c r="E962" s="14" t="str">
        <f t="shared" si="3"/>
        <v/>
      </c>
      <c r="F962" s="7" t="str">
        <f>IF($A962&lt;&gt;"",MAXIFS(Token!$C:$C,Token!$A:$A,$D962),)</f>
        <v/>
      </c>
    </row>
    <row r="963">
      <c r="A963" s="39" t="str">
        <f>IF(AND($L963*1&gt;=$G$3,$L963*1&lt;=$G$4,$I963*$J963&gt;0,OR($I963&lt;&gt;$I964,$L963-$L964&gt;25),IF(ABS($I963)&gt;10,$I963/POW(10,$J963),$J963/POW(10,$I963))*MAXIFS(Token!$C:$C,Token!$A:$A,$K963)&gt;0.01),$L963/86400+DATE(1970,1,1)+$G$6,)</f>
        <v/>
      </c>
      <c r="B963" s="27" t="str">
        <f t="shared" si="1"/>
        <v/>
      </c>
      <c r="C963" s="14" t="str">
        <f>IF($A963&lt;&gt;"",MINIFS(Merchant!$A:$A,Merchant!$B:$B,$G$2),)</f>
        <v/>
      </c>
      <c r="D963" s="14" t="str">
        <f t="shared" si="2"/>
        <v/>
      </c>
      <c r="E963" s="14" t="str">
        <f t="shared" si="3"/>
        <v/>
      </c>
      <c r="F963" s="7" t="str">
        <f>IF($A963&lt;&gt;"",MAXIFS(Token!$C:$C,Token!$A:$A,$D963),)</f>
        <v/>
      </c>
    </row>
    <row r="964">
      <c r="A964" s="39" t="str">
        <f>IF(AND($L964*1&gt;=$G$3,$L964*1&lt;=$G$4,$I964*$J964&gt;0,OR($I964&lt;&gt;$I965,$L964-$L965&gt;25),IF(ABS($I964)&gt;10,$I964/POW(10,$J964),$J964/POW(10,$I964))*MAXIFS(Token!$C:$C,Token!$A:$A,$K964)&gt;0.01),$L964/86400+DATE(1970,1,1)+$G$6,)</f>
        <v/>
      </c>
      <c r="B964" s="27" t="str">
        <f t="shared" si="1"/>
        <v/>
      </c>
      <c r="C964" s="14" t="str">
        <f>IF($A964&lt;&gt;"",MINIFS(Merchant!$A:$A,Merchant!$B:$B,$G$2),)</f>
        <v/>
      </c>
      <c r="D964" s="14" t="str">
        <f t="shared" si="2"/>
        <v/>
      </c>
      <c r="E964" s="14" t="str">
        <f t="shared" si="3"/>
        <v/>
      </c>
      <c r="F964" s="7" t="str">
        <f>IF($A964&lt;&gt;"",MAXIFS(Token!$C:$C,Token!$A:$A,$D964),)</f>
        <v/>
      </c>
    </row>
    <row r="965">
      <c r="A965" s="39" t="str">
        <f>IF(AND($L965*1&gt;=$G$3,$L965*1&lt;=$G$4,$I965*$J965&gt;0,OR($I965&lt;&gt;$I966,$L965-$L966&gt;25),IF(ABS($I965)&gt;10,$I965/POW(10,$J965),$J965/POW(10,$I965))*MAXIFS(Token!$C:$C,Token!$A:$A,$K965)&gt;0.01),$L965/86400+DATE(1970,1,1)+$G$6,)</f>
        <v/>
      </c>
      <c r="B965" s="27" t="str">
        <f t="shared" si="1"/>
        <v/>
      </c>
      <c r="C965" s="14" t="str">
        <f>IF($A965&lt;&gt;"",MINIFS(Merchant!$A:$A,Merchant!$B:$B,$G$2),)</f>
        <v/>
      </c>
      <c r="D965" s="14" t="str">
        <f t="shared" si="2"/>
        <v/>
      </c>
      <c r="E965" s="14" t="str">
        <f t="shared" si="3"/>
        <v/>
      </c>
      <c r="F965" s="7" t="str">
        <f>IF($A965&lt;&gt;"",MAXIFS(Token!$C:$C,Token!$A:$A,$D965),)</f>
        <v/>
      </c>
    </row>
    <row r="966">
      <c r="A966" s="39" t="str">
        <f>IF(AND($L966*1&gt;=$G$3,$L966*1&lt;=$G$4,$I966*$J966&gt;0,OR($I966&lt;&gt;$I967,$L966-$L967&gt;25),IF(ABS($I966)&gt;10,$I966/POW(10,$J966),$J966/POW(10,$I966))*MAXIFS(Token!$C:$C,Token!$A:$A,$K966)&gt;0.01),$L966/86400+DATE(1970,1,1)+$G$6,)</f>
        <v/>
      </c>
      <c r="B966" s="27" t="str">
        <f t="shared" si="1"/>
        <v/>
      </c>
      <c r="C966" s="14" t="str">
        <f>IF($A966&lt;&gt;"",MINIFS(Merchant!$A:$A,Merchant!$B:$B,$G$2),)</f>
        <v/>
      </c>
      <c r="D966" s="14" t="str">
        <f t="shared" si="2"/>
        <v/>
      </c>
      <c r="E966" s="14" t="str">
        <f t="shared" si="3"/>
        <v/>
      </c>
      <c r="F966" s="7" t="str">
        <f>IF($A966&lt;&gt;"",MAXIFS(Token!$C:$C,Token!$A:$A,$D966),)</f>
        <v/>
      </c>
    </row>
    <row r="967">
      <c r="A967" s="39" t="str">
        <f>IF(AND($L967*1&gt;=$G$3,$L967*1&lt;=$G$4,$I967*$J967&gt;0,OR($I967&lt;&gt;$I968,$L967-$L968&gt;25),IF(ABS($I967)&gt;10,$I967/POW(10,$J967),$J967/POW(10,$I967))*MAXIFS(Token!$C:$C,Token!$A:$A,$K967)&gt;0.01),$L967/86400+DATE(1970,1,1)+$G$6,)</f>
        <v/>
      </c>
      <c r="B967" s="27" t="str">
        <f t="shared" si="1"/>
        <v/>
      </c>
      <c r="C967" s="14" t="str">
        <f>IF($A967&lt;&gt;"",MINIFS(Merchant!$A:$A,Merchant!$B:$B,$G$2),)</f>
        <v/>
      </c>
      <c r="D967" s="14" t="str">
        <f t="shared" si="2"/>
        <v/>
      </c>
      <c r="E967" s="14" t="str">
        <f t="shared" si="3"/>
        <v/>
      </c>
      <c r="F967" s="7" t="str">
        <f>IF($A967&lt;&gt;"",MAXIFS(Token!$C:$C,Token!$A:$A,$D967),)</f>
        <v/>
      </c>
    </row>
    <row r="968">
      <c r="A968" s="39" t="str">
        <f>IF(AND($L968*1&gt;=$G$3,$L968*1&lt;=$G$4,$I968*$J968&gt;0,OR($I968&lt;&gt;$I969,$L968-$L969&gt;25),IF(ABS($I968)&gt;10,$I968/POW(10,$J968),$J968/POW(10,$I968))*MAXIFS(Token!$C:$C,Token!$A:$A,$K968)&gt;0.01),$L968/86400+DATE(1970,1,1)+$G$6,)</f>
        <v/>
      </c>
      <c r="B968" s="27" t="str">
        <f t="shared" si="1"/>
        <v/>
      </c>
      <c r="C968" s="14" t="str">
        <f>IF($A968&lt;&gt;"",MINIFS(Merchant!$A:$A,Merchant!$B:$B,$G$2),)</f>
        <v/>
      </c>
      <c r="D968" s="14" t="str">
        <f t="shared" si="2"/>
        <v/>
      </c>
      <c r="E968" s="14" t="str">
        <f t="shared" si="3"/>
        <v/>
      </c>
      <c r="F968" s="7" t="str">
        <f>IF($A968&lt;&gt;"",MAXIFS(Token!$C:$C,Token!$A:$A,$D968),)</f>
        <v/>
      </c>
    </row>
    <row r="969">
      <c r="A969" s="39" t="str">
        <f>IF(AND($L969*1&gt;=$G$3,$L969*1&lt;=$G$4,$I969*$J969&gt;0,OR($I969&lt;&gt;$I970,$L969-$L970&gt;25),IF(ABS($I969)&gt;10,$I969/POW(10,$J969),$J969/POW(10,$I969))*MAXIFS(Token!$C:$C,Token!$A:$A,$K969)&gt;0.01),$L969/86400+DATE(1970,1,1)+$G$6,)</f>
        <v/>
      </c>
      <c r="B969" s="27" t="str">
        <f t="shared" si="1"/>
        <v/>
      </c>
      <c r="C969" s="14" t="str">
        <f>IF($A969&lt;&gt;"",MINIFS(Merchant!$A:$A,Merchant!$B:$B,$G$2),)</f>
        <v/>
      </c>
      <c r="D969" s="14" t="str">
        <f t="shared" si="2"/>
        <v/>
      </c>
      <c r="E969" s="14" t="str">
        <f t="shared" si="3"/>
        <v/>
      </c>
      <c r="F969" s="7" t="str">
        <f>IF($A969&lt;&gt;"",MAXIFS(Token!$C:$C,Token!$A:$A,$D969),)</f>
        <v/>
      </c>
    </row>
    <row r="970">
      <c r="A970" s="39" t="str">
        <f>IF(AND($L970*1&gt;=$G$3,$L970*1&lt;=$G$4,$I970*$J970&gt;0,OR($I970&lt;&gt;$I971,$L970-$L971&gt;25),IF(ABS($I970)&gt;10,$I970/POW(10,$J970),$J970/POW(10,$I970))*MAXIFS(Token!$C:$C,Token!$A:$A,$K970)&gt;0.01),$L970/86400+DATE(1970,1,1)+$G$6,)</f>
        <v/>
      </c>
      <c r="B970" s="27" t="str">
        <f t="shared" si="1"/>
        <v/>
      </c>
      <c r="C970" s="14" t="str">
        <f>IF($A970&lt;&gt;"",MINIFS(Merchant!$A:$A,Merchant!$B:$B,$G$2),)</f>
        <v/>
      </c>
      <c r="D970" s="14" t="str">
        <f t="shared" si="2"/>
        <v/>
      </c>
      <c r="E970" s="14" t="str">
        <f t="shared" si="3"/>
        <v/>
      </c>
      <c r="F970" s="7" t="str">
        <f>IF($A970&lt;&gt;"",MAXIFS(Token!$C:$C,Token!$A:$A,$D970),)</f>
        <v/>
      </c>
    </row>
    <row r="971">
      <c r="A971" s="39" t="str">
        <f>IF(AND($L971*1&gt;=$G$3,$L971*1&lt;=$G$4,$I971*$J971&gt;0,OR($I971&lt;&gt;$I972,$L971-$L972&gt;25),IF(ABS($I971)&gt;10,$I971/POW(10,$J971),$J971/POW(10,$I971))*MAXIFS(Token!$C:$C,Token!$A:$A,$K971)&gt;0.01),$L971/86400+DATE(1970,1,1)+$G$6,)</f>
        <v/>
      </c>
      <c r="B971" s="27" t="str">
        <f t="shared" si="1"/>
        <v/>
      </c>
      <c r="C971" s="14" t="str">
        <f>IF($A971&lt;&gt;"",MINIFS(Merchant!$A:$A,Merchant!$B:$B,$G$2),)</f>
        <v/>
      </c>
      <c r="D971" s="14" t="str">
        <f t="shared" si="2"/>
        <v/>
      </c>
      <c r="E971" s="14" t="str">
        <f t="shared" si="3"/>
        <v/>
      </c>
      <c r="F971" s="7" t="str">
        <f>IF($A971&lt;&gt;"",MAXIFS(Token!$C:$C,Token!$A:$A,$D971),)</f>
        <v/>
      </c>
    </row>
    <row r="972">
      <c r="A972" s="39" t="str">
        <f>IF(AND($L972*1&gt;=$G$3,$L972*1&lt;=$G$4,$I972*$J972&gt;0,OR($I972&lt;&gt;$I973,$L972-$L973&gt;25),IF(ABS($I972)&gt;10,$I972/POW(10,$J972),$J972/POW(10,$I972))*MAXIFS(Token!$C:$C,Token!$A:$A,$K972)&gt;0.01),$L972/86400+DATE(1970,1,1)+$G$6,)</f>
        <v/>
      </c>
      <c r="B972" s="27" t="str">
        <f t="shared" si="1"/>
        <v/>
      </c>
      <c r="C972" s="14" t="str">
        <f>IF($A972&lt;&gt;"",MINIFS(Merchant!$A:$A,Merchant!$B:$B,$G$2),)</f>
        <v/>
      </c>
      <c r="D972" s="14" t="str">
        <f t="shared" si="2"/>
        <v/>
      </c>
      <c r="E972" s="14" t="str">
        <f t="shared" si="3"/>
        <v/>
      </c>
      <c r="F972" s="7" t="str">
        <f>IF($A972&lt;&gt;"",MAXIFS(Token!$C:$C,Token!$A:$A,$D972),)</f>
        <v/>
      </c>
    </row>
    <row r="973">
      <c r="A973" s="39" t="str">
        <f>IF(AND($L973*1&gt;=$G$3,$L973*1&lt;=$G$4,$I973*$J973&gt;0,OR($I973&lt;&gt;$I974,$L973-$L974&gt;25),IF(ABS($I973)&gt;10,$I973/POW(10,$J973),$J973/POW(10,$I973))*MAXIFS(Token!$C:$C,Token!$A:$A,$K973)&gt;0.01),$L973/86400+DATE(1970,1,1)+$G$6,)</f>
        <v/>
      </c>
      <c r="B973" s="27" t="str">
        <f t="shared" si="1"/>
        <v/>
      </c>
      <c r="C973" s="14" t="str">
        <f>IF($A973&lt;&gt;"",MINIFS(Merchant!$A:$A,Merchant!$B:$B,$G$2),)</f>
        <v/>
      </c>
      <c r="D973" s="14" t="str">
        <f t="shared" si="2"/>
        <v/>
      </c>
      <c r="E973" s="14" t="str">
        <f t="shared" si="3"/>
        <v/>
      </c>
      <c r="F973" s="7" t="str">
        <f>IF($A973&lt;&gt;"",MAXIFS(Token!$C:$C,Token!$A:$A,$D973),)</f>
        <v/>
      </c>
    </row>
    <row r="974">
      <c r="A974" s="39" t="str">
        <f>IF(AND($L974*1&gt;=$G$3,$L974*1&lt;=$G$4,$I974*$J974&gt;0,OR($I974&lt;&gt;$I975,$L974-$L975&gt;25),IF(ABS($I974)&gt;10,$I974/POW(10,$J974),$J974/POW(10,$I974))*MAXIFS(Token!$C:$C,Token!$A:$A,$K974)&gt;0.01),$L974/86400+DATE(1970,1,1)+$G$6,)</f>
        <v/>
      </c>
      <c r="B974" s="27" t="str">
        <f t="shared" si="1"/>
        <v/>
      </c>
      <c r="C974" s="14" t="str">
        <f>IF($A974&lt;&gt;"",MINIFS(Merchant!$A:$A,Merchant!$B:$B,$G$2),)</f>
        <v/>
      </c>
      <c r="D974" s="14" t="str">
        <f t="shared" si="2"/>
        <v/>
      </c>
      <c r="E974" s="14" t="str">
        <f t="shared" si="3"/>
        <v/>
      </c>
      <c r="F974" s="7" t="str">
        <f>IF($A974&lt;&gt;"",MAXIFS(Token!$C:$C,Token!$A:$A,$D974),)</f>
        <v/>
      </c>
    </row>
    <row r="975">
      <c r="A975" s="39" t="str">
        <f>IF(AND($L975*1&gt;=$G$3,$L975*1&lt;=$G$4,$I975*$J975&gt;0,OR($I975&lt;&gt;$I976,$L975-$L976&gt;25),IF(ABS($I975)&gt;10,$I975/POW(10,$J975),$J975/POW(10,$I975))*MAXIFS(Token!$C:$C,Token!$A:$A,$K975)&gt;0.01),$L975/86400+DATE(1970,1,1)+$G$6,)</f>
        <v/>
      </c>
      <c r="B975" s="27" t="str">
        <f t="shared" si="1"/>
        <v/>
      </c>
      <c r="C975" s="14" t="str">
        <f>IF($A975&lt;&gt;"",MINIFS(Merchant!$A:$A,Merchant!$B:$B,$G$2),)</f>
        <v/>
      </c>
      <c r="D975" s="14" t="str">
        <f t="shared" si="2"/>
        <v/>
      </c>
      <c r="E975" s="14" t="str">
        <f t="shared" si="3"/>
        <v/>
      </c>
      <c r="F975" s="7" t="str">
        <f>IF($A975&lt;&gt;"",MAXIFS(Token!$C:$C,Token!$A:$A,$D975),)</f>
        <v/>
      </c>
    </row>
    <row r="976">
      <c r="A976" s="39" t="str">
        <f>IF(AND($L976*1&gt;=$G$3,$L976*1&lt;=$G$4,$I976*$J976&gt;0,OR($I976&lt;&gt;$I977,$L976-$L977&gt;25),IF(ABS($I976)&gt;10,$I976/POW(10,$J976),$J976/POW(10,$I976))*MAXIFS(Token!$C:$C,Token!$A:$A,$K976)&gt;0.01),$L976/86400+DATE(1970,1,1)+$G$6,)</f>
        <v/>
      </c>
      <c r="B976" s="27" t="str">
        <f t="shared" si="1"/>
        <v/>
      </c>
      <c r="C976" s="14" t="str">
        <f>IF($A976&lt;&gt;"",MINIFS(Merchant!$A:$A,Merchant!$B:$B,$G$2),)</f>
        <v/>
      </c>
      <c r="D976" s="14" t="str">
        <f t="shared" si="2"/>
        <v/>
      </c>
      <c r="E976" s="14" t="str">
        <f t="shared" si="3"/>
        <v/>
      </c>
      <c r="F976" s="7" t="str">
        <f>IF($A976&lt;&gt;"",MAXIFS(Token!$C:$C,Token!$A:$A,$D976),)</f>
        <v/>
      </c>
    </row>
    <row r="977">
      <c r="A977" s="39" t="str">
        <f>IF(AND($L977*1&gt;=$G$3,$L977*1&lt;=$G$4,$I977*$J977&gt;0,OR($I977&lt;&gt;$I978,$L977-$L978&gt;25),IF(ABS($I977)&gt;10,$I977/POW(10,$J977),$J977/POW(10,$I977))*MAXIFS(Token!$C:$C,Token!$A:$A,$K977)&gt;0.01),$L977/86400+DATE(1970,1,1)+$G$6,)</f>
        <v/>
      </c>
      <c r="B977" s="27" t="str">
        <f t="shared" si="1"/>
        <v/>
      </c>
      <c r="C977" s="14" t="str">
        <f>IF($A977&lt;&gt;"",MINIFS(Merchant!$A:$A,Merchant!$B:$B,$G$2),)</f>
        <v/>
      </c>
      <c r="D977" s="14" t="str">
        <f t="shared" si="2"/>
        <v/>
      </c>
      <c r="E977" s="14" t="str">
        <f t="shared" si="3"/>
        <v/>
      </c>
      <c r="F977" s="7" t="str">
        <f>IF($A977&lt;&gt;"",MAXIFS(Token!$C:$C,Token!$A:$A,$D977),)</f>
        <v/>
      </c>
    </row>
    <row r="978">
      <c r="A978" s="39" t="str">
        <f>IF(AND($L978*1&gt;=$G$3,$L978*1&lt;=$G$4,$I978*$J978&gt;0,OR($I978&lt;&gt;$I979,$L978-$L979&gt;25),IF(ABS($I978)&gt;10,$I978/POW(10,$J978),$J978/POW(10,$I978))*MAXIFS(Token!$C:$C,Token!$A:$A,$K978)&gt;0.01),$L978/86400+DATE(1970,1,1)+$G$6,)</f>
        <v/>
      </c>
      <c r="B978" s="27" t="str">
        <f t="shared" si="1"/>
        <v/>
      </c>
      <c r="C978" s="14" t="str">
        <f>IF($A978&lt;&gt;"",MINIFS(Merchant!$A:$A,Merchant!$B:$B,$G$2),)</f>
        <v/>
      </c>
      <c r="D978" s="14" t="str">
        <f t="shared" si="2"/>
        <v/>
      </c>
      <c r="E978" s="14" t="str">
        <f t="shared" si="3"/>
        <v/>
      </c>
      <c r="F978" s="7" t="str">
        <f>IF($A978&lt;&gt;"",MAXIFS(Token!$C:$C,Token!$A:$A,$D978),)</f>
        <v/>
      </c>
    </row>
    <row r="979">
      <c r="A979" s="39" t="str">
        <f>IF(AND($L979*1&gt;=$G$3,$L979*1&lt;=$G$4,$I979*$J979&gt;0,OR($I979&lt;&gt;$I980,$L979-$L980&gt;25),IF(ABS($I979)&gt;10,$I979/POW(10,$J979),$J979/POW(10,$I979))*MAXIFS(Token!$C:$C,Token!$A:$A,$K979)&gt;0.01),$L979/86400+DATE(1970,1,1)+$G$6,)</f>
        <v/>
      </c>
      <c r="B979" s="27" t="str">
        <f t="shared" si="1"/>
        <v/>
      </c>
      <c r="C979" s="14" t="str">
        <f>IF($A979&lt;&gt;"",MINIFS(Merchant!$A:$A,Merchant!$B:$B,$G$2),)</f>
        <v/>
      </c>
      <c r="D979" s="14" t="str">
        <f t="shared" si="2"/>
        <v/>
      </c>
      <c r="E979" s="14" t="str">
        <f t="shared" si="3"/>
        <v/>
      </c>
      <c r="F979" s="7" t="str">
        <f>IF($A979&lt;&gt;"",MAXIFS(Token!$C:$C,Token!$A:$A,$D979),)</f>
        <v/>
      </c>
    </row>
    <row r="980">
      <c r="A980" s="39" t="str">
        <f>IF(AND($L980*1&gt;=$G$3,$L980*1&lt;=$G$4,$I980*$J980&gt;0,OR($I980&lt;&gt;$I981,$L980-$L981&gt;25),IF(ABS($I980)&gt;10,$I980/POW(10,$J980),$J980/POW(10,$I980))*MAXIFS(Token!$C:$C,Token!$A:$A,$K980)&gt;0.01),$L980/86400+DATE(1970,1,1)+$G$6,)</f>
        <v/>
      </c>
      <c r="B980" s="27" t="str">
        <f t="shared" si="1"/>
        <v/>
      </c>
      <c r="C980" s="14" t="str">
        <f>IF($A980&lt;&gt;"",MINIFS(Merchant!$A:$A,Merchant!$B:$B,$G$2),)</f>
        <v/>
      </c>
      <c r="D980" s="14" t="str">
        <f t="shared" si="2"/>
        <v/>
      </c>
      <c r="E980" s="14" t="str">
        <f t="shared" si="3"/>
        <v/>
      </c>
      <c r="F980" s="7" t="str">
        <f>IF($A980&lt;&gt;"",MAXIFS(Token!$C:$C,Token!$A:$A,$D980),)</f>
        <v/>
      </c>
    </row>
    <row r="981">
      <c r="A981" s="39" t="str">
        <f>IF(AND($L981*1&gt;=$G$3,$L981*1&lt;=$G$4,$I981*$J981&gt;0,OR($I981&lt;&gt;$I982,$L981-$L982&gt;25),IF(ABS($I981)&gt;10,$I981/POW(10,$J981),$J981/POW(10,$I981))*MAXIFS(Token!$C:$C,Token!$A:$A,$K981)&gt;0.01),$L981/86400+DATE(1970,1,1)+$G$6,)</f>
        <v/>
      </c>
      <c r="B981" s="27" t="str">
        <f t="shared" si="1"/>
        <v/>
      </c>
      <c r="C981" s="14" t="str">
        <f>IF($A981&lt;&gt;"",MINIFS(Merchant!$A:$A,Merchant!$B:$B,$G$2),)</f>
        <v/>
      </c>
      <c r="D981" s="14" t="str">
        <f t="shared" si="2"/>
        <v/>
      </c>
      <c r="E981" s="14" t="str">
        <f t="shared" si="3"/>
        <v/>
      </c>
      <c r="F981" s="7" t="str">
        <f>IF($A981&lt;&gt;"",MAXIFS(Token!$C:$C,Token!$A:$A,$D981),)</f>
        <v/>
      </c>
    </row>
    <row r="982">
      <c r="A982" s="39" t="str">
        <f>IF(AND($L982*1&gt;=$G$3,$L982*1&lt;=$G$4,$I982*$J982&gt;0,OR($I982&lt;&gt;$I983,$L982-$L983&gt;25),IF(ABS($I982)&gt;10,$I982/POW(10,$J982),$J982/POW(10,$I982))*MAXIFS(Token!$C:$C,Token!$A:$A,$K982)&gt;0.01),$L982/86400+DATE(1970,1,1)+$G$6,)</f>
        <v/>
      </c>
      <c r="B982" s="27" t="str">
        <f t="shared" si="1"/>
        <v/>
      </c>
      <c r="C982" s="14" t="str">
        <f>IF($A982&lt;&gt;"",MINIFS(Merchant!$A:$A,Merchant!$B:$B,$G$2),)</f>
        <v/>
      </c>
      <c r="D982" s="14" t="str">
        <f t="shared" si="2"/>
        <v/>
      </c>
      <c r="E982" s="14" t="str">
        <f t="shared" si="3"/>
        <v/>
      </c>
      <c r="F982" s="7" t="str">
        <f>IF($A982&lt;&gt;"",MAXIFS(Token!$C:$C,Token!$A:$A,$D982),)</f>
        <v/>
      </c>
    </row>
    <row r="983">
      <c r="A983" s="39" t="str">
        <f>IF(AND($L983*1&gt;=$G$3,$L983*1&lt;=$G$4,$I983*$J983&gt;0,OR($I983&lt;&gt;$I984,$L983-$L984&gt;25),IF(ABS($I983)&gt;10,$I983/POW(10,$J983),$J983/POW(10,$I983))*MAXIFS(Token!$C:$C,Token!$A:$A,$K983)&gt;0.01),$L983/86400+DATE(1970,1,1)+$G$6,)</f>
        <v/>
      </c>
      <c r="B983" s="27" t="str">
        <f t="shared" si="1"/>
        <v/>
      </c>
      <c r="C983" s="14" t="str">
        <f>IF($A983&lt;&gt;"",MINIFS(Merchant!$A:$A,Merchant!$B:$B,$G$2),)</f>
        <v/>
      </c>
      <c r="D983" s="14" t="str">
        <f t="shared" si="2"/>
        <v/>
      </c>
      <c r="E983" s="14" t="str">
        <f t="shared" si="3"/>
        <v/>
      </c>
      <c r="F983" s="7" t="str">
        <f>IF($A983&lt;&gt;"",MAXIFS(Token!$C:$C,Token!$A:$A,$D983),)</f>
        <v/>
      </c>
    </row>
    <row r="984">
      <c r="A984" s="39" t="str">
        <f>IF(AND($L984*1&gt;=$G$3,$L984*1&lt;=$G$4,$I984*$J984&gt;0,OR($I984&lt;&gt;$I985,$L984-$L985&gt;25),IF(ABS($I984)&gt;10,$I984/POW(10,$J984),$J984/POW(10,$I984))*MAXIFS(Token!$C:$C,Token!$A:$A,$K984)&gt;0.01),$L984/86400+DATE(1970,1,1)+$G$6,)</f>
        <v/>
      </c>
      <c r="B984" s="27" t="str">
        <f t="shared" si="1"/>
        <v/>
      </c>
      <c r="C984" s="14" t="str">
        <f>IF($A984&lt;&gt;"",MINIFS(Merchant!$A:$A,Merchant!$B:$B,$G$2),)</f>
        <v/>
      </c>
      <c r="D984" s="14" t="str">
        <f t="shared" si="2"/>
        <v/>
      </c>
      <c r="E984" s="14" t="str">
        <f t="shared" si="3"/>
        <v/>
      </c>
      <c r="F984" s="7" t="str">
        <f>IF($A984&lt;&gt;"",MAXIFS(Token!$C:$C,Token!$A:$A,$D984),)</f>
        <v/>
      </c>
    </row>
    <row r="985">
      <c r="A985" s="39" t="str">
        <f>IF(AND($L985*1&gt;=$G$3,$L985*1&lt;=$G$4,$I985*$J985&gt;0,OR($I985&lt;&gt;$I986,$L985-$L986&gt;25),IF(ABS($I985)&gt;10,$I985/POW(10,$J985),$J985/POW(10,$I985))*MAXIFS(Token!$C:$C,Token!$A:$A,$K985)&gt;0.01),$L985/86400+DATE(1970,1,1)+$G$6,)</f>
        <v/>
      </c>
      <c r="B985" s="27" t="str">
        <f t="shared" si="1"/>
        <v/>
      </c>
      <c r="C985" s="14" t="str">
        <f>IF($A985&lt;&gt;"",MINIFS(Merchant!$A:$A,Merchant!$B:$B,$G$2),)</f>
        <v/>
      </c>
      <c r="D985" s="14" t="str">
        <f t="shared" si="2"/>
        <v/>
      </c>
      <c r="E985" s="14" t="str">
        <f t="shared" si="3"/>
        <v/>
      </c>
      <c r="F985" s="7" t="str">
        <f>IF($A985&lt;&gt;"",MAXIFS(Token!$C:$C,Token!$A:$A,$D985),)</f>
        <v/>
      </c>
    </row>
    <row r="986">
      <c r="A986" s="39" t="str">
        <f>IF(AND($L986*1&gt;=$G$3,$L986*1&lt;=$G$4,$I986*$J986&gt;0,OR($I986&lt;&gt;$I987,$L986-$L987&gt;25),IF(ABS($I986)&gt;10,$I986/POW(10,$J986),$J986/POW(10,$I986))*MAXIFS(Token!$C:$C,Token!$A:$A,$K986)&gt;0.01),$L986/86400+DATE(1970,1,1)+$G$6,)</f>
        <v/>
      </c>
      <c r="B986" s="27" t="str">
        <f t="shared" si="1"/>
        <v/>
      </c>
      <c r="C986" s="14" t="str">
        <f>IF($A986&lt;&gt;"",MINIFS(Merchant!$A:$A,Merchant!$B:$B,$G$2),)</f>
        <v/>
      </c>
      <c r="D986" s="14" t="str">
        <f t="shared" si="2"/>
        <v/>
      </c>
      <c r="E986" s="14" t="str">
        <f t="shared" si="3"/>
        <v/>
      </c>
      <c r="F986" s="7" t="str">
        <f>IF($A986&lt;&gt;"",MAXIFS(Token!$C:$C,Token!$A:$A,$D986),)</f>
        <v/>
      </c>
    </row>
    <row r="987">
      <c r="A987" s="39" t="str">
        <f>IF(AND($L987*1&gt;=$G$3,$L987*1&lt;=$G$4,$I987*$J987&gt;0,OR($I987&lt;&gt;$I988,$L987-$L988&gt;25),IF(ABS($I987)&gt;10,$I987/POW(10,$J987),$J987/POW(10,$I987))*MAXIFS(Token!$C:$C,Token!$A:$A,$K987)&gt;0.01),$L987/86400+DATE(1970,1,1)+$G$6,)</f>
        <v/>
      </c>
      <c r="B987" s="27" t="str">
        <f t="shared" si="1"/>
        <v/>
      </c>
      <c r="C987" s="14" t="str">
        <f>IF($A987&lt;&gt;"",MINIFS(Merchant!$A:$A,Merchant!$B:$B,$G$2),)</f>
        <v/>
      </c>
      <c r="D987" s="14" t="str">
        <f t="shared" si="2"/>
        <v/>
      </c>
      <c r="E987" s="14" t="str">
        <f t="shared" si="3"/>
        <v/>
      </c>
      <c r="F987" s="7" t="str">
        <f>IF($A987&lt;&gt;"",MAXIFS(Token!$C:$C,Token!$A:$A,$D987),)</f>
        <v/>
      </c>
    </row>
    <row r="988">
      <c r="A988" s="39" t="str">
        <f>IF(AND($L988*1&gt;=$G$3,$L988*1&lt;=$G$4,$I988*$J988&gt;0,OR($I988&lt;&gt;$I989,$L988-$L989&gt;25),IF(ABS($I988)&gt;10,$I988/POW(10,$J988),$J988/POW(10,$I988))*MAXIFS(Token!$C:$C,Token!$A:$A,$K988)&gt;0.01),$L988/86400+DATE(1970,1,1)+$G$6,)</f>
        <v/>
      </c>
      <c r="B988" s="27" t="str">
        <f t="shared" si="1"/>
        <v/>
      </c>
      <c r="C988" s="14" t="str">
        <f>IF($A988&lt;&gt;"",MINIFS(Merchant!$A:$A,Merchant!$B:$B,$G$2),)</f>
        <v/>
      </c>
      <c r="D988" s="14" t="str">
        <f t="shared" si="2"/>
        <v/>
      </c>
      <c r="E988" s="14" t="str">
        <f t="shared" si="3"/>
        <v/>
      </c>
      <c r="F988" s="7" t="str">
        <f>IF($A988&lt;&gt;"",MAXIFS(Token!$C:$C,Token!$A:$A,$D988),)</f>
        <v/>
      </c>
    </row>
    <row r="989">
      <c r="A989" s="39" t="str">
        <f>IF(AND($L989*1&gt;=$G$3,$L989*1&lt;=$G$4,$I989*$J989&gt;0,OR($I989&lt;&gt;$I990,$L989-$L990&gt;25),IF(ABS($I989)&gt;10,$I989/POW(10,$J989),$J989/POW(10,$I989))*MAXIFS(Token!$C:$C,Token!$A:$A,$K989)&gt;0.01),$L989/86400+DATE(1970,1,1)+$G$6,)</f>
        <v/>
      </c>
      <c r="B989" s="27" t="str">
        <f t="shared" si="1"/>
        <v/>
      </c>
      <c r="C989" s="14" t="str">
        <f>IF($A989&lt;&gt;"",MINIFS(Merchant!$A:$A,Merchant!$B:$B,$G$2),)</f>
        <v/>
      </c>
      <c r="D989" s="14" t="str">
        <f t="shared" si="2"/>
        <v/>
      </c>
      <c r="E989" s="14" t="str">
        <f t="shared" si="3"/>
        <v/>
      </c>
      <c r="F989" s="7" t="str">
        <f>IF($A989&lt;&gt;"",MAXIFS(Token!$C:$C,Token!$A:$A,$D989),)</f>
        <v/>
      </c>
    </row>
    <row r="990">
      <c r="A990" s="39" t="str">
        <f>IF(AND($L990*1&gt;=$G$3,$L990*1&lt;=$G$4,$I990*$J990&gt;0,OR($I990&lt;&gt;$I991,$L990-$L991&gt;25),IF(ABS($I990)&gt;10,$I990/POW(10,$J990),$J990/POW(10,$I990))*MAXIFS(Token!$C:$C,Token!$A:$A,$K990)&gt;0.01),$L990/86400+DATE(1970,1,1)+$G$6,)</f>
        <v/>
      </c>
      <c r="B990" s="27" t="str">
        <f t="shared" si="1"/>
        <v/>
      </c>
      <c r="C990" s="14" t="str">
        <f>IF($A990&lt;&gt;"",MINIFS(Merchant!$A:$A,Merchant!$B:$B,$G$2),)</f>
        <v/>
      </c>
      <c r="D990" s="14" t="str">
        <f t="shared" si="2"/>
        <v/>
      </c>
      <c r="E990" s="14" t="str">
        <f t="shared" si="3"/>
        <v/>
      </c>
      <c r="F990" s="7" t="str">
        <f>IF($A990&lt;&gt;"",MAXIFS(Token!$C:$C,Token!$A:$A,$D990),)</f>
        <v/>
      </c>
    </row>
    <row r="991">
      <c r="A991" s="39" t="str">
        <f>IF(AND($L991*1&gt;=$G$3,$L991*1&lt;=$G$4,$I991*$J991&gt;0,OR($I991&lt;&gt;$I992,$L991-$L992&gt;25),IF(ABS($I991)&gt;10,$I991/POW(10,$J991),$J991/POW(10,$I991))*MAXIFS(Token!$C:$C,Token!$A:$A,$K991)&gt;0.01),$L991/86400+DATE(1970,1,1)+$G$6,)</f>
        <v/>
      </c>
      <c r="B991" s="27" t="str">
        <f t="shared" si="1"/>
        <v/>
      </c>
      <c r="C991" s="14" t="str">
        <f>IF($A991&lt;&gt;"",MINIFS(Merchant!$A:$A,Merchant!$B:$B,$G$2),)</f>
        <v/>
      </c>
      <c r="D991" s="14" t="str">
        <f t="shared" si="2"/>
        <v/>
      </c>
      <c r="E991" s="14" t="str">
        <f t="shared" si="3"/>
        <v/>
      </c>
      <c r="F991" s="7" t="str">
        <f>IF($A991&lt;&gt;"",MAXIFS(Token!$C:$C,Token!$A:$A,$D991),)</f>
        <v/>
      </c>
    </row>
    <row r="992">
      <c r="A992" s="39" t="str">
        <f>IF(AND($L992*1&gt;=$G$3,$L992*1&lt;=$G$4,$I992*$J992&gt;0,OR($I992&lt;&gt;$I993,$L992-$L993&gt;25),IF(ABS($I992)&gt;10,$I992/POW(10,$J992),$J992/POW(10,$I992))*MAXIFS(Token!$C:$C,Token!$A:$A,$K992)&gt;0.01),$L992/86400+DATE(1970,1,1)+$G$6,)</f>
        <v/>
      </c>
      <c r="B992" s="27" t="str">
        <f t="shared" si="1"/>
        <v/>
      </c>
      <c r="C992" s="14" t="str">
        <f>IF($A992&lt;&gt;"",MINIFS(Merchant!$A:$A,Merchant!$B:$B,$G$2),)</f>
        <v/>
      </c>
      <c r="D992" s="14" t="str">
        <f t="shared" si="2"/>
        <v/>
      </c>
      <c r="E992" s="14" t="str">
        <f t="shared" si="3"/>
        <v/>
      </c>
      <c r="F992" s="7" t="str">
        <f>IF($A992&lt;&gt;"",MAXIFS(Token!$C:$C,Token!$A:$A,$D992),)</f>
        <v/>
      </c>
    </row>
    <row r="993">
      <c r="A993" s="39" t="str">
        <f>IF(AND($L993*1&gt;=$G$3,$L993*1&lt;=$G$4,$I993*$J993&gt;0,OR($I993&lt;&gt;$I994,$L993-$L994&gt;25),IF(ABS($I993)&gt;10,$I993/POW(10,$J993),$J993/POW(10,$I993))*MAXIFS(Token!$C:$C,Token!$A:$A,$K993)&gt;0.01),$L993/86400+DATE(1970,1,1)+$G$6,)</f>
        <v/>
      </c>
      <c r="B993" s="27" t="str">
        <f t="shared" si="1"/>
        <v/>
      </c>
      <c r="C993" s="14" t="str">
        <f>IF($A993&lt;&gt;"",MINIFS(Merchant!$A:$A,Merchant!$B:$B,$G$2),)</f>
        <v/>
      </c>
      <c r="D993" s="14" t="str">
        <f t="shared" si="2"/>
        <v/>
      </c>
      <c r="E993" s="14" t="str">
        <f t="shared" si="3"/>
        <v/>
      </c>
      <c r="F993" s="7" t="str">
        <f>IF($A993&lt;&gt;"",MAXIFS(Token!$C:$C,Token!$A:$A,$D993),)</f>
        <v/>
      </c>
    </row>
    <row r="994">
      <c r="A994" s="39" t="str">
        <f>IF(AND($L994*1&gt;=$G$3,$L994*1&lt;=$G$4,$I994*$J994&gt;0,OR($I994&lt;&gt;$I995,$L994-$L995&gt;25),IF(ABS($I994)&gt;10,$I994/POW(10,$J994),$J994/POW(10,$I994))*MAXIFS(Token!$C:$C,Token!$A:$A,$K994)&gt;0.01),$L994/86400+DATE(1970,1,1)+$G$6,)</f>
        <v/>
      </c>
      <c r="B994" s="27" t="str">
        <f t="shared" si="1"/>
        <v/>
      </c>
      <c r="C994" s="14" t="str">
        <f>IF($A994&lt;&gt;"",MINIFS(Merchant!$A:$A,Merchant!$B:$B,$G$2),)</f>
        <v/>
      </c>
      <c r="D994" s="14" t="str">
        <f t="shared" si="2"/>
        <v/>
      </c>
      <c r="E994" s="14" t="str">
        <f t="shared" si="3"/>
        <v/>
      </c>
      <c r="F994" s="7" t="str">
        <f>IF($A994&lt;&gt;"",MAXIFS(Token!$C:$C,Token!$A:$A,$D994),)</f>
        <v/>
      </c>
    </row>
    <row r="995">
      <c r="A995" s="39" t="str">
        <f>IF(AND($L995*1&gt;=$G$3,$L995*1&lt;=$G$4,$I995*$J995&gt;0,OR($I995&lt;&gt;$I996,$L995-$L996&gt;25),IF(ABS($I995)&gt;10,$I995/POW(10,$J995),$J995/POW(10,$I995))*MAXIFS(Token!$C:$C,Token!$A:$A,$K995)&gt;0.01),$L995/86400+DATE(1970,1,1)+$G$6,)</f>
        <v/>
      </c>
      <c r="B995" s="27" t="str">
        <f t="shared" si="1"/>
        <v/>
      </c>
      <c r="C995" s="14" t="str">
        <f>IF($A995&lt;&gt;"",MINIFS(Merchant!$A:$A,Merchant!$B:$B,$G$2),)</f>
        <v/>
      </c>
      <c r="D995" s="14" t="str">
        <f t="shared" si="2"/>
        <v/>
      </c>
      <c r="E995" s="14" t="str">
        <f t="shared" si="3"/>
        <v/>
      </c>
      <c r="F995" s="7" t="str">
        <f>IF($A995&lt;&gt;"",MAXIFS(Token!$C:$C,Token!$A:$A,$D995),)</f>
        <v/>
      </c>
    </row>
    <row r="996">
      <c r="A996" s="39" t="str">
        <f>IF(AND($L996*1&gt;=$G$3,$L996*1&lt;=$G$4,$I996*$J996&gt;0,OR($I996&lt;&gt;$I997,$L996-$L997&gt;25),IF(ABS($I996)&gt;10,$I996/POW(10,$J996),$J996/POW(10,$I996))*MAXIFS(Token!$C:$C,Token!$A:$A,$K996)&gt;0.01),$L996/86400+DATE(1970,1,1)+$G$6,)</f>
        <v/>
      </c>
      <c r="B996" s="27" t="str">
        <f t="shared" si="1"/>
        <v/>
      </c>
      <c r="C996" s="14" t="str">
        <f>IF($A996&lt;&gt;"",MINIFS(Merchant!$A:$A,Merchant!$B:$B,$G$2),)</f>
        <v/>
      </c>
      <c r="D996" s="14" t="str">
        <f t="shared" si="2"/>
        <v/>
      </c>
      <c r="E996" s="14" t="str">
        <f t="shared" si="3"/>
        <v/>
      </c>
      <c r="F996" s="7" t="str">
        <f>IF($A996&lt;&gt;"",MAXIFS(Token!$C:$C,Token!$A:$A,$D996),)</f>
        <v/>
      </c>
    </row>
    <row r="997">
      <c r="A997" s="39" t="str">
        <f>IF(AND($L997*1&gt;=$G$3,$L997*1&lt;=$G$4,$I997*$J997&gt;0,OR($I997&lt;&gt;$I998,$L997-$L998&gt;25),IF(ABS($I997)&gt;10,$I997/POW(10,$J997),$J997/POW(10,$I997))*MAXIFS(Token!$C:$C,Token!$A:$A,$K997)&gt;0.01),$L997/86400+DATE(1970,1,1)+$G$6,)</f>
        <v/>
      </c>
      <c r="B997" s="27" t="str">
        <f t="shared" si="1"/>
        <v/>
      </c>
      <c r="C997" s="14" t="str">
        <f>IF($A997&lt;&gt;"",MINIFS(Merchant!$A:$A,Merchant!$B:$B,$G$2),)</f>
        <v/>
      </c>
      <c r="D997" s="14" t="str">
        <f t="shared" si="2"/>
        <v/>
      </c>
      <c r="E997" s="14" t="str">
        <f t="shared" si="3"/>
        <v/>
      </c>
      <c r="F997" s="7" t="str">
        <f>IF($A997&lt;&gt;"",MAXIFS(Token!$C:$C,Token!$A:$A,$D997),)</f>
        <v/>
      </c>
    </row>
    <row r="998">
      <c r="A998" s="39" t="str">
        <f>IF(AND($L998*1&gt;=$G$3,$L998*1&lt;=$G$4,$I998*$J998&gt;0,OR($I998&lt;&gt;$I999,$L998-$L999&gt;25),IF(ABS($I998)&gt;10,$I998/POW(10,$J998),$J998/POW(10,$I998))*MAXIFS(Token!$C:$C,Token!$A:$A,$K998)&gt;0.01),$L998/86400+DATE(1970,1,1)+$G$6,)</f>
        <v/>
      </c>
      <c r="B998" s="27" t="str">
        <f t="shared" si="1"/>
        <v/>
      </c>
      <c r="C998" s="14" t="str">
        <f>IF($A998&lt;&gt;"",MINIFS(Merchant!$A:$A,Merchant!$B:$B,$G$2),)</f>
        <v/>
      </c>
      <c r="D998" s="14" t="str">
        <f t="shared" si="2"/>
        <v/>
      </c>
      <c r="E998" s="14" t="str">
        <f t="shared" si="3"/>
        <v/>
      </c>
      <c r="F998" s="7" t="str">
        <f>IF($A998&lt;&gt;"",MAXIFS(Token!$C:$C,Token!$A:$A,$D998),)</f>
        <v/>
      </c>
    </row>
    <row r="999">
      <c r="A999" s="39" t="str">
        <f>IF(AND($L999*1&gt;=$G$3,$L999*1&lt;=$G$4,$I999*$J999&gt;0,OR($I999&lt;&gt;$I1000,$L999-$L1000&gt;25),IF(ABS($I999)&gt;10,$I999/POW(10,$J999),$J999/POW(10,$I999))*MAXIFS(Token!$C:$C,Token!$A:$A,$K999)&gt;0.01),$L999/86400+DATE(1970,1,1)+$G$6,)</f>
        <v/>
      </c>
      <c r="B999" s="27" t="str">
        <f t="shared" si="1"/>
        <v/>
      </c>
      <c r="C999" s="14" t="str">
        <f>IF($A999&lt;&gt;"",MINIFS(Merchant!$A:$A,Merchant!$B:$B,$G$2),)</f>
        <v/>
      </c>
      <c r="D999" s="14" t="str">
        <f t="shared" si="2"/>
        <v/>
      </c>
      <c r="E999" s="14" t="str">
        <f t="shared" si="3"/>
        <v/>
      </c>
      <c r="F999" s="7" t="str">
        <f>IF($A999&lt;&gt;"",MAXIFS(Token!$C:$C,Token!$A:$A,$D999),)</f>
        <v/>
      </c>
    </row>
    <row r="1000">
      <c r="A1000" s="39" t="str">
        <f>IF(AND($L1000*1&gt;=$G$3,$L1000*1&lt;=$G$4,$I1000*$J1000&gt;0,OR($I1000&lt;&gt;$I1001,$L1000-$L1001&gt;25),IF(ABS($I1000)&gt;10,$I1000/POW(10,$J1000),$J1000/POW(10,$I1000))*MAXIFS(Token!$C:$C,Token!$A:$A,$K1000)&gt;0.01),$L1000/86400+DATE(1970,1,1)+$G$6,)</f>
        <v/>
      </c>
      <c r="B1000" s="27" t="str">
        <f t="shared" si="1"/>
        <v/>
      </c>
      <c r="C1000" s="14" t="str">
        <f>IF($A1000&lt;&gt;"",MINIFS(Merchant!$A:$A,Merchant!$B:$B,$G$2),)</f>
        <v/>
      </c>
      <c r="D1000" s="14" t="str">
        <f t="shared" si="2"/>
        <v/>
      </c>
      <c r="E1000" s="14" t="str">
        <f t="shared" si="3"/>
        <v/>
      </c>
      <c r="F1000" s="7" t="str">
        <f>IF($A1000&lt;&gt;"",MAXIFS(Token!$C:$C,Token!$A:$A,$D1000),)</f>
        <v/>
      </c>
    </row>
  </sheetData>
  <drawing r:id="rId2"/>
  <legacyDrawing r:id="rId3"/>
</worksheet>
</file>