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hammed\Documents\Actual Documents\Academics\OneDrive for Business\Spring 2019 Study Abroad\MEEN 368\Group Design Project\"/>
    </mc:Choice>
  </mc:AlternateContent>
  <xr:revisionPtr revIDLastSave="0" documentId="13_ncr:3_{45261754-61A3-4D6C-8D86-933731E5B9F9}" xr6:coauthVersionLast="36" xr6:coauthVersionMax="36" xr10:uidLastSave="{00000000-0000-0000-0000-000000000000}"/>
  <bookViews>
    <workbookView xWindow="0" yWindow="0" windowWidth="20490" windowHeight="7665" xr2:uid="{AB40ACE3-EE10-4204-922E-5D45FEBDA357}"/>
  </bookViews>
  <sheets>
    <sheet name="Connecting Rod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3" i="1" l="1"/>
  <c r="E3" i="1"/>
  <c r="D3" i="1"/>
  <c r="G4" i="1"/>
  <c r="H3" i="1"/>
  <c r="H4" i="1"/>
  <c r="F4" i="1"/>
  <c r="E4" i="1"/>
  <c r="D4" i="1"/>
  <c r="G13" i="1" l="1"/>
  <c r="G8" i="1"/>
  <c r="G10" i="1"/>
  <c r="O29" i="1"/>
  <c r="O27" i="1"/>
  <c r="G11" i="1"/>
  <c r="G14" i="1"/>
  <c r="C16" i="1"/>
  <c r="K11" i="1" s="1"/>
  <c r="C15" i="1"/>
  <c r="O28" i="1" s="1"/>
  <c r="I20" i="1" l="1"/>
  <c r="G26" i="1"/>
  <c r="G19" i="1"/>
  <c r="G22" i="1" s="1"/>
  <c r="K9" i="1"/>
  <c r="K14" i="1" s="1"/>
  <c r="K12" i="1"/>
  <c r="C18" i="1"/>
  <c r="C19" i="1" s="1"/>
  <c r="G17" i="1" s="1"/>
  <c r="G25" i="1" s="1"/>
  <c r="G23" i="1"/>
  <c r="G29" i="1" s="1"/>
  <c r="O30" i="1"/>
  <c r="O20" i="1" l="1"/>
  <c r="G28" i="1"/>
  <c r="O11" i="1" s="1"/>
  <c r="G30" i="1" l="1"/>
  <c r="O13" i="1" s="1"/>
  <c r="G32" i="1"/>
  <c r="O17" i="1"/>
  <c r="O16" i="1" s="1"/>
  <c r="O19" i="1"/>
  <c r="O22" i="1" l="1"/>
  <c r="O23" i="1"/>
  <c r="O32" i="1" l="1"/>
</calcChain>
</file>

<file path=xl/sharedStrings.xml><?xml version="1.0" encoding="utf-8"?>
<sst xmlns="http://schemas.openxmlformats.org/spreadsheetml/2006/main" count="105" uniqueCount="74">
  <si>
    <t>m</t>
  </si>
  <si>
    <t>Material</t>
  </si>
  <si>
    <t>#</t>
  </si>
  <si>
    <t>Cross Section</t>
  </si>
  <si>
    <t>Width, B</t>
  </si>
  <si>
    <t>Height, H</t>
  </si>
  <si>
    <r>
      <t>P</t>
    </r>
    <r>
      <rPr>
        <vertAlign val="subscript"/>
        <sz val="11"/>
        <color theme="1"/>
        <rFont val="Calibri"/>
        <family val="2"/>
        <scheme val="minor"/>
      </rPr>
      <t>cyl,max</t>
    </r>
  </si>
  <si>
    <r>
      <t>P</t>
    </r>
    <r>
      <rPr>
        <vertAlign val="subscript"/>
        <sz val="11"/>
        <color theme="1"/>
        <rFont val="Calibri"/>
        <family val="2"/>
        <scheme val="minor"/>
      </rPr>
      <t>cyl,min</t>
    </r>
  </si>
  <si>
    <r>
      <t>A</t>
    </r>
    <r>
      <rPr>
        <vertAlign val="subscript"/>
        <sz val="11"/>
        <color theme="1"/>
        <rFont val="Calibri"/>
        <family val="2"/>
        <scheme val="minor"/>
      </rPr>
      <t>c</t>
    </r>
  </si>
  <si>
    <r>
      <t>A</t>
    </r>
    <r>
      <rPr>
        <vertAlign val="subscript"/>
        <sz val="11"/>
        <color theme="1"/>
        <rFont val="Calibri"/>
        <family val="2"/>
        <scheme val="minor"/>
      </rPr>
      <t>piston</t>
    </r>
  </si>
  <si>
    <r>
      <t>I</t>
    </r>
    <r>
      <rPr>
        <vertAlign val="subscript"/>
        <sz val="11"/>
        <color theme="1"/>
        <rFont val="Calibri"/>
        <family val="2"/>
        <scheme val="minor"/>
      </rPr>
      <t>area</t>
    </r>
  </si>
  <si>
    <r>
      <t>I</t>
    </r>
    <r>
      <rPr>
        <vertAlign val="subscript"/>
        <sz val="11"/>
        <color theme="1"/>
        <rFont val="Calibri"/>
        <family val="2"/>
        <scheme val="minor"/>
      </rPr>
      <t>mass</t>
    </r>
  </si>
  <si>
    <r>
      <t>σ</t>
    </r>
    <r>
      <rPr>
        <vertAlign val="subscript"/>
        <sz val="11"/>
        <color theme="1"/>
        <rFont val="Calibri"/>
        <family val="2"/>
      </rPr>
      <t>xMax</t>
    </r>
  </si>
  <si>
    <r>
      <t>FoS</t>
    </r>
    <r>
      <rPr>
        <vertAlign val="subscript"/>
        <sz val="11"/>
        <color theme="1"/>
        <rFont val="Calibri"/>
        <family val="2"/>
        <scheme val="minor"/>
      </rPr>
      <t>Yielding</t>
    </r>
  </si>
  <si>
    <t>Buckling</t>
  </si>
  <si>
    <t>Condition</t>
  </si>
  <si>
    <r>
      <t>P</t>
    </r>
    <r>
      <rPr>
        <vertAlign val="subscript"/>
        <sz val="11"/>
        <color theme="1"/>
        <rFont val="Calibri"/>
        <family val="2"/>
        <scheme val="minor"/>
      </rPr>
      <t>cr1</t>
    </r>
  </si>
  <si>
    <r>
      <t>P</t>
    </r>
    <r>
      <rPr>
        <vertAlign val="subscript"/>
        <sz val="11"/>
        <color theme="1"/>
        <rFont val="Calibri"/>
        <family val="2"/>
        <scheme val="minor"/>
      </rPr>
      <t>cr2</t>
    </r>
    <r>
      <rPr>
        <sz val="11"/>
        <color theme="1"/>
        <rFont val="Calibri"/>
        <family val="2"/>
        <scheme val="minor"/>
      </rPr>
      <t/>
    </r>
  </si>
  <si>
    <t>Crank Arm Length, b</t>
  </si>
  <si>
    <t>Connecting Rod Length, L</t>
  </si>
  <si>
    <r>
      <t>FoS</t>
    </r>
    <r>
      <rPr>
        <vertAlign val="subscript"/>
        <sz val="11"/>
        <color theme="1"/>
        <rFont val="Calibri"/>
        <family val="2"/>
        <scheme val="minor"/>
      </rPr>
      <t>Buckling</t>
    </r>
  </si>
  <si>
    <t>Fatigue</t>
  </si>
  <si>
    <t>LEFM</t>
  </si>
  <si>
    <t>β</t>
  </si>
  <si>
    <r>
      <t>Axial Force, F</t>
    </r>
    <r>
      <rPr>
        <vertAlign val="subscript"/>
        <sz val="11"/>
        <color theme="1"/>
        <rFont val="Calibri"/>
        <family val="2"/>
        <scheme val="minor"/>
      </rPr>
      <t>1Max</t>
    </r>
  </si>
  <si>
    <r>
      <t>Axial Force, F</t>
    </r>
    <r>
      <rPr>
        <vertAlign val="subscript"/>
        <sz val="11"/>
        <color theme="1"/>
        <rFont val="Calibri"/>
        <family val="2"/>
        <scheme val="minor"/>
      </rPr>
      <t>1Min</t>
    </r>
  </si>
  <si>
    <r>
      <t>σ</t>
    </r>
    <r>
      <rPr>
        <vertAlign val="subscript"/>
        <sz val="11"/>
        <color theme="1"/>
        <rFont val="Calibri"/>
        <family val="2"/>
      </rPr>
      <t>xNmax</t>
    </r>
  </si>
  <si>
    <r>
      <t>σ</t>
    </r>
    <r>
      <rPr>
        <vertAlign val="subscript"/>
        <sz val="11"/>
        <color theme="1"/>
        <rFont val="Calibri"/>
        <family val="2"/>
      </rPr>
      <t>xNmin</t>
    </r>
  </si>
  <si>
    <r>
      <t>σ</t>
    </r>
    <r>
      <rPr>
        <vertAlign val="subscript"/>
        <sz val="11"/>
        <color theme="1"/>
        <rFont val="Calibri"/>
        <family val="2"/>
      </rPr>
      <t>xBendingMax</t>
    </r>
  </si>
  <si>
    <r>
      <t>σ</t>
    </r>
    <r>
      <rPr>
        <vertAlign val="subscript"/>
        <sz val="11"/>
        <color theme="1"/>
        <rFont val="Calibri"/>
        <family val="2"/>
      </rPr>
      <t>xBendingMin</t>
    </r>
  </si>
  <si>
    <r>
      <t>σ</t>
    </r>
    <r>
      <rPr>
        <vertAlign val="subscript"/>
        <sz val="11"/>
        <color theme="1"/>
        <rFont val="Calibri"/>
        <family val="2"/>
      </rPr>
      <t>xMin</t>
    </r>
  </si>
  <si>
    <r>
      <t>Critical Crack Size, a</t>
    </r>
    <r>
      <rPr>
        <vertAlign val="subscript"/>
        <sz val="11"/>
        <color theme="1"/>
        <rFont val="Calibri"/>
        <family val="2"/>
      </rPr>
      <t>f</t>
    </r>
  </si>
  <si>
    <r>
      <t>Initial Crack Size, a</t>
    </r>
    <r>
      <rPr>
        <vertAlign val="subscript"/>
        <sz val="11"/>
        <color theme="1"/>
        <rFont val="Calibri"/>
        <family val="2"/>
      </rPr>
      <t>0</t>
    </r>
  </si>
  <si>
    <t>∆σ</t>
  </si>
  <si>
    <r>
      <t>LEFM Fatigue Life, N</t>
    </r>
    <r>
      <rPr>
        <vertAlign val="subscript"/>
        <sz val="11"/>
        <color theme="1"/>
        <rFont val="Calibri"/>
        <family val="2"/>
      </rPr>
      <t>f</t>
    </r>
  </si>
  <si>
    <t>Stress Life</t>
  </si>
  <si>
    <r>
      <t>σ</t>
    </r>
    <r>
      <rPr>
        <vertAlign val="subscript"/>
        <sz val="11"/>
        <color theme="1"/>
        <rFont val="Calibri"/>
        <family val="2"/>
      </rPr>
      <t>xamplitude</t>
    </r>
  </si>
  <si>
    <r>
      <t>σ</t>
    </r>
    <r>
      <rPr>
        <vertAlign val="subscript"/>
        <sz val="11"/>
        <color theme="1"/>
        <rFont val="Calibri"/>
        <family val="2"/>
      </rPr>
      <t>xmean</t>
    </r>
  </si>
  <si>
    <r>
      <t>σ</t>
    </r>
    <r>
      <rPr>
        <vertAlign val="subscript"/>
        <sz val="11"/>
        <color theme="1"/>
        <rFont val="Calibri"/>
        <family val="2"/>
      </rPr>
      <t>bendamplitude</t>
    </r>
  </si>
  <si>
    <r>
      <t>σ</t>
    </r>
    <r>
      <rPr>
        <vertAlign val="subscript"/>
        <sz val="11"/>
        <color theme="1"/>
        <rFont val="Calibri"/>
        <family val="2"/>
      </rPr>
      <t>bendmean</t>
    </r>
  </si>
  <si>
    <r>
      <t>σ</t>
    </r>
    <r>
      <rPr>
        <vertAlign val="subscript"/>
        <sz val="11"/>
        <color theme="1"/>
        <rFont val="Calibri"/>
        <family val="2"/>
      </rPr>
      <t>a</t>
    </r>
    <r>
      <rPr>
        <sz val="11"/>
        <color theme="1"/>
        <rFont val="Calibri"/>
        <family val="2"/>
      </rPr>
      <t>'</t>
    </r>
  </si>
  <si>
    <r>
      <t>σ</t>
    </r>
    <r>
      <rPr>
        <vertAlign val="subscript"/>
        <sz val="11"/>
        <color theme="1"/>
        <rFont val="Calibri"/>
        <family val="2"/>
      </rPr>
      <t>m</t>
    </r>
    <r>
      <rPr>
        <sz val="11"/>
        <color theme="1"/>
        <rFont val="Calibri"/>
        <family val="2"/>
      </rPr>
      <t>'</t>
    </r>
  </si>
  <si>
    <r>
      <t>d</t>
    </r>
    <r>
      <rPr>
        <vertAlign val="subscript"/>
        <sz val="11"/>
        <color theme="1"/>
        <rFont val="Calibri"/>
        <family val="2"/>
        <scheme val="minor"/>
      </rPr>
      <t>piston</t>
    </r>
  </si>
  <si>
    <r>
      <t>m</t>
    </r>
    <r>
      <rPr>
        <vertAlign val="superscript"/>
        <sz val="11"/>
        <color theme="1"/>
        <rFont val="Calibri"/>
        <family val="2"/>
        <scheme val="minor"/>
      </rPr>
      <t>2</t>
    </r>
  </si>
  <si>
    <r>
      <t>m</t>
    </r>
    <r>
      <rPr>
        <vertAlign val="superscript"/>
        <sz val="11"/>
        <color theme="1"/>
        <rFont val="Calibri"/>
        <family val="2"/>
        <scheme val="minor"/>
      </rPr>
      <t>4</t>
    </r>
  </si>
  <si>
    <r>
      <t>kg m</t>
    </r>
    <r>
      <rPr>
        <vertAlign val="superscript"/>
        <sz val="11"/>
        <color theme="1"/>
        <rFont val="Calibri"/>
        <family val="2"/>
        <scheme val="minor"/>
      </rPr>
      <t>2</t>
    </r>
  </si>
  <si>
    <t>Pa</t>
  </si>
  <si>
    <t>N m</t>
  </si>
  <si>
    <t>N</t>
  </si>
  <si>
    <t>a</t>
  </si>
  <si>
    <t>b</t>
  </si>
  <si>
    <r>
      <t>k</t>
    </r>
    <r>
      <rPr>
        <vertAlign val="subscript"/>
        <sz val="11"/>
        <color theme="1"/>
        <rFont val="Calibri"/>
        <family val="2"/>
        <scheme val="minor"/>
      </rPr>
      <t>a</t>
    </r>
  </si>
  <si>
    <r>
      <t>k</t>
    </r>
    <r>
      <rPr>
        <vertAlign val="subscript"/>
        <sz val="11"/>
        <color theme="1"/>
        <rFont val="Calibri"/>
        <family val="2"/>
        <scheme val="minor"/>
      </rPr>
      <t>b</t>
    </r>
  </si>
  <si>
    <t>Se'</t>
  </si>
  <si>
    <t>Se</t>
  </si>
  <si>
    <r>
      <t>FoS</t>
    </r>
    <r>
      <rPr>
        <vertAlign val="subscript"/>
        <sz val="11"/>
        <color theme="1"/>
        <rFont val="Calibri"/>
        <family val="2"/>
        <scheme val="minor"/>
      </rPr>
      <t>Soderberg</t>
    </r>
  </si>
  <si>
    <t>Mass</t>
  </si>
  <si>
    <t>kg</t>
  </si>
  <si>
    <r>
      <t>x</t>
    </r>
    <r>
      <rPr>
        <vertAlign val="subscript"/>
        <sz val="11"/>
        <color theme="1"/>
        <rFont val="Calibri"/>
        <family val="2"/>
        <scheme val="minor"/>
      </rPr>
      <t>max</t>
    </r>
  </si>
  <si>
    <r>
      <t>x</t>
    </r>
    <r>
      <rPr>
        <vertAlign val="subscript"/>
        <sz val="11"/>
        <color theme="1"/>
        <rFont val="Calibri"/>
        <family val="2"/>
        <scheme val="minor"/>
      </rPr>
      <t>min</t>
    </r>
  </si>
  <si>
    <t>Bore/depth</t>
  </si>
  <si>
    <t>cycles</t>
  </si>
  <si>
    <t>MPa</t>
  </si>
  <si>
    <r>
      <t>Inertial Torque/Bending Moment</t>
    </r>
    <r>
      <rPr>
        <vertAlign val="subscript"/>
        <sz val="11"/>
        <color theme="1"/>
        <rFont val="Calibri"/>
        <family val="2"/>
        <scheme val="minor"/>
      </rPr>
      <t>MAX</t>
    </r>
  </si>
  <si>
    <r>
      <t>Inertial Torque/Bending Moment</t>
    </r>
    <r>
      <rPr>
        <vertAlign val="subscript"/>
        <sz val="11"/>
        <color theme="1"/>
        <rFont val="Calibri"/>
        <family val="2"/>
        <scheme val="minor"/>
      </rPr>
      <t>MIN</t>
    </r>
  </si>
  <si>
    <r>
      <t>Density [kg/m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]</t>
    </r>
  </si>
  <si>
    <r>
      <t>Yield Str S</t>
    </r>
    <r>
      <rPr>
        <vertAlign val="subscript"/>
        <sz val="11"/>
        <color theme="1"/>
        <rFont val="Calibri"/>
        <family val="2"/>
        <scheme val="minor"/>
      </rPr>
      <t>y</t>
    </r>
    <r>
      <rPr>
        <sz val="11"/>
        <color theme="1"/>
        <rFont val="Calibri"/>
        <family val="2"/>
        <scheme val="minor"/>
      </rPr>
      <t xml:space="preserve"> [Pa]</t>
    </r>
  </si>
  <si>
    <t>Elastic Mod. E [Pa]</t>
  </si>
  <si>
    <t>6061 Aluminium</t>
  </si>
  <si>
    <r>
      <t>(Using P</t>
    </r>
    <r>
      <rPr>
        <vertAlign val="subscript"/>
        <sz val="11"/>
        <color theme="1"/>
        <rFont val="Calibri"/>
        <family val="2"/>
        <scheme val="minor"/>
      </rPr>
      <t>cyl,min</t>
    </r>
    <r>
      <rPr>
        <sz val="11"/>
        <color theme="1"/>
        <rFont val="Calibri"/>
        <family val="2"/>
        <scheme val="minor"/>
      </rPr>
      <t>)</t>
    </r>
  </si>
  <si>
    <t>AISI 4130 Steel</t>
  </si>
  <si>
    <r>
      <t>Frac. Tough. K</t>
    </r>
    <r>
      <rPr>
        <vertAlign val="subscript"/>
        <sz val="11"/>
        <color theme="1"/>
        <rFont val="Calibri"/>
        <family val="2"/>
        <scheme val="minor"/>
      </rPr>
      <t>IC</t>
    </r>
    <r>
      <rPr>
        <sz val="11"/>
        <color theme="1"/>
        <rFont val="Calibri"/>
        <family val="2"/>
        <scheme val="minor"/>
      </rPr>
      <t xml:space="preserve"> [MPa m</t>
    </r>
    <r>
      <rPr>
        <vertAlign val="superscript"/>
        <sz val="11"/>
        <color theme="1"/>
        <rFont val="Calibri"/>
        <family val="2"/>
        <scheme val="minor"/>
      </rPr>
      <t>1/2</t>
    </r>
    <r>
      <rPr>
        <sz val="11"/>
        <color theme="1"/>
        <rFont val="Calibri"/>
        <family val="2"/>
        <scheme val="minor"/>
      </rPr>
      <t>]</t>
    </r>
  </si>
  <si>
    <r>
      <t>Ult. Tens. Str. S</t>
    </r>
    <r>
      <rPr>
        <vertAlign val="subscript"/>
        <sz val="11"/>
        <color theme="1"/>
        <rFont val="Calibri"/>
        <family val="2"/>
        <scheme val="minor"/>
      </rPr>
      <t xml:space="preserve">ut </t>
    </r>
    <r>
      <rPr>
        <sz val="11"/>
        <color theme="1"/>
        <rFont val="Calibri"/>
        <family val="2"/>
        <scheme val="minor"/>
      </rPr>
      <t>[Pa]</t>
    </r>
  </si>
  <si>
    <r>
      <t>C [m/cycle / Mpa m</t>
    </r>
    <r>
      <rPr>
        <vertAlign val="superscript"/>
        <sz val="11"/>
        <color theme="1"/>
        <rFont val="Calibri"/>
        <family val="2"/>
        <scheme val="minor"/>
      </rPr>
      <t>1/2</t>
    </r>
    <r>
      <rPr>
        <sz val="11"/>
        <color theme="1"/>
        <rFont val="Calibri"/>
        <family val="2"/>
        <scheme val="minor"/>
      </rPr>
      <t>]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</si>
</sst>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vertAlign val="subscript"/>
      <sz val="11"/>
      <color theme="1"/>
      <name val="Calibri"/>
      <family val="2"/>
    </font>
    <font>
      <vertAlign val="superscript"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3" fillId="0" borderId="0" xfId="0" applyFont="1"/>
    <xf numFmtId="0" fontId="0" fillId="2" borderId="0" xfId="0" applyFill="1"/>
    <xf numFmtId="0" fontId="3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536574</xdr:colOff>
      <xdr:row>36</xdr:row>
      <xdr:rowOff>21166</xdr:rowOff>
    </xdr:from>
    <xdr:to>
      <xdr:col>4</xdr:col>
      <xdr:colOff>692917</xdr:colOff>
      <xdr:row>53</xdr:row>
      <xdr:rowOff>95249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785F507-AD4B-404C-BC9A-D549F377EF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4157" y="7863416"/>
          <a:ext cx="3712343" cy="3312583"/>
        </a:xfrm>
        <a:prstGeom prst="rect">
          <a:avLst/>
        </a:prstGeom>
      </xdr:spPr>
    </xdr:pic>
    <xdr:clientData/>
  </xdr:twoCellAnchor>
  <xdr:twoCellAnchor editAs="oneCell">
    <xdr:from>
      <xdr:col>4</xdr:col>
      <xdr:colOff>846666</xdr:colOff>
      <xdr:row>36</xdr:row>
      <xdr:rowOff>74083</xdr:rowOff>
    </xdr:from>
    <xdr:to>
      <xdr:col>7</xdr:col>
      <xdr:colOff>1162540</xdr:colOff>
      <xdr:row>46</xdr:row>
      <xdr:rowOff>105833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6CEBAE7-E1DD-40DC-87CC-52928B53B9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0249" y="7916333"/>
          <a:ext cx="5512291" cy="1936750"/>
        </a:xfrm>
        <a:prstGeom prst="rect">
          <a:avLst/>
        </a:prstGeom>
      </xdr:spPr>
    </xdr:pic>
    <xdr:clientData/>
  </xdr:twoCellAnchor>
  <xdr:twoCellAnchor editAs="oneCell">
    <xdr:from>
      <xdr:col>7</xdr:col>
      <xdr:colOff>1280583</xdr:colOff>
      <xdr:row>36</xdr:row>
      <xdr:rowOff>0</xdr:rowOff>
    </xdr:from>
    <xdr:to>
      <xdr:col>14</xdr:col>
      <xdr:colOff>52916</xdr:colOff>
      <xdr:row>47</xdr:row>
      <xdr:rowOff>185465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596DE64-E625-4F18-98FF-C290397989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70583" y="7842250"/>
          <a:ext cx="4794250" cy="2280965"/>
        </a:xfrm>
        <a:prstGeom prst="rect">
          <a:avLst/>
        </a:prstGeom>
      </xdr:spPr>
    </xdr:pic>
    <xdr:clientData/>
  </xdr:twoCellAnchor>
  <xdr:twoCellAnchor editAs="oneCell">
    <xdr:from>
      <xdr:col>4</xdr:col>
      <xdr:colOff>742668</xdr:colOff>
      <xdr:row>46</xdr:row>
      <xdr:rowOff>150001</xdr:rowOff>
    </xdr:from>
    <xdr:to>
      <xdr:col>9</xdr:col>
      <xdr:colOff>21168</xdr:colOff>
      <xdr:row>56</xdr:row>
      <xdr:rowOff>39976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218CF74C-6333-46AA-9087-5AE7A5208B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36251" y="9897251"/>
          <a:ext cx="6485750" cy="17949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091D2-3A67-48A1-820A-4D86E3B80CC4}">
  <sheetPr>
    <pageSetUpPr fitToPage="1"/>
  </sheetPr>
  <dimension ref="A1:P32"/>
  <sheetViews>
    <sheetView tabSelected="1" zoomScale="90" zoomScaleNormal="90" workbookViewId="0">
      <selection activeCell="J53" sqref="J53"/>
    </sheetView>
  </sheetViews>
  <sheetFormatPr defaultRowHeight="15" x14ac:dyDescent="0.25"/>
  <cols>
    <col min="1" max="1" width="2" bestFit="1" customWidth="1"/>
    <col min="2" max="2" width="23.5703125" bestFit="1" customWidth="1"/>
    <col min="3" max="3" width="15" bestFit="1" customWidth="1"/>
    <col min="4" max="4" width="14.5703125" bestFit="1" customWidth="1"/>
    <col min="5" max="5" width="19.42578125" bestFit="1" customWidth="1"/>
    <col min="6" max="6" width="34" bestFit="1" customWidth="1"/>
    <col min="7" max="7" width="24.5703125" bestFit="1" customWidth="1"/>
    <col min="8" max="8" width="21" bestFit="1" customWidth="1"/>
    <col min="10" max="10" width="13.140625" bestFit="1" customWidth="1"/>
    <col min="14" max="14" width="19.42578125" bestFit="1" customWidth="1"/>
    <col min="15" max="15" width="12.7109375" bestFit="1" customWidth="1"/>
  </cols>
  <sheetData>
    <row r="1" spans="1:16" x14ac:dyDescent="0.25">
      <c r="A1" s="1"/>
      <c r="B1" s="1"/>
    </row>
    <row r="2" spans="1:16" ht="18.75" x14ac:dyDescent="0.35">
      <c r="A2" t="s">
        <v>2</v>
      </c>
      <c r="B2" t="s">
        <v>1</v>
      </c>
      <c r="C2" t="s">
        <v>65</v>
      </c>
      <c r="D2" t="s">
        <v>66</v>
      </c>
      <c r="E2" t="s">
        <v>72</v>
      </c>
      <c r="F2" t="s">
        <v>67</v>
      </c>
      <c r="G2" t="s">
        <v>71</v>
      </c>
      <c r="H2" t="s">
        <v>73</v>
      </c>
      <c r="I2" t="s">
        <v>0</v>
      </c>
    </row>
    <row r="3" spans="1:16" x14ac:dyDescent="0.25">
      <c r="A3" s="1">
        <v>1</v>
      </c>
      <c r="B3" s="1" t="s">
        <v>70</v>
      </c>
      <c r="C3">
        <v>7850</v>
      </c>
      <c r="D3">
        <f>435*10^6</f>
        <v>435000000</v>
      </c>
      <c r="E3">
        <f>670*10^6</f>
        <v>670000000</v>
      </c>
      <c r="F3">
        <f>205*10^9</f>
        <v>205000000000</v>
      </c>
      <c r="G3">
        <v>80.209999999999994</v>
      </c>
      <c r="H3">
        <f>6.89*10^-12</f>
        <v>6.8899999999999999E-12</v>
      </c>
      <c r="I3">
        <v>3</v>
      </c>
    </row>
    <row r="4" spans="1:16" x14ac:dyDescent="0.25">
      <c r="A4">
        <v>2</v>
      </c>
      <c r="B4" s="1" t="s">
        <v>68</v>
      </c>
      <c r="C4">
        <v>2700</v>
      </c>
      <c r="D4">
        <f>276*10^6</f>
        <v>276000000</v>
      </c>
      <c r="E4">
        <f>310*10^6</f>
        <v>310000000</v>
      </c>
      <c r="F4">
        <f>68.9*10^9</f>
        <v>68900000000</v>
      </c>
      <c r="G4">
        <f>29</f>
        <v>29</v>
      </c>
      <c r="H4">
        <f>7.88*10^-9</f>
        <v>7.8800000000000001E-9</v>
      </c>
      <c r="I4">
        <v>3.97</v>
      </c>
    </row>
    <row r="5" spans="1:16" x14ac:dyDescent="0.25">
      <c r="A5">
        <v>3</v>
      </c>
      <c r="B5" s="1"/>
    </row>
    <row r="6" spans="1:16" x14ac:dyDescent="0.25">
      <c r="A6">
        <v>4</v>
      </c>
    </row>
    <row r="8" spans="1:16" ht="18" x14ac:dyDescent="0.35">
      <c r="B8" s="1" t="s">
        <v>19</v>
      </c>
      <c r="C8">
        <v>0.16</v>
      </c>
      <c r="D8" t="s">
        <v>0</v>
      </c>
      <c r="F8" t="s">
        <v>6</v>
      </c>
      <c r="G8">
        <f>8.187*10^6</f>
        <v>8186999.9999999991</v>
      </c>
      <c r="H8" t="s">
        <v>46</v>
      </c>
      <c r="J8" s="1" t="s">
        <v>14</v>
      </c>
      <c r="N8" s="1" t="s">
        <v>21</v>
      </c>
    </row>
    <row r="9" spans="1:16" ht="18" x14ac:dyDescent="0.35">
      <c r="B9" s="1" t="s">
        <v>18</v>
      </c>
      <c r="C9">
        <v>5.1249999999999997E-2</v>
      </c>
      <c r="D9" t="s">
        <v>0</v>
      </c>
      <c r="F9" t="s">
        <v>58</v>
      </c>
      <c r="G9">
        <v>0</v>
      </c>
      <c r="H9" t="s">
        <v>0</v>
      </c>
      <c r="J9" t="s">
        <v>15</v>
      </c>
      <c r="K9">
        <f>SQRT((2*PI()^2*F3*C16)/(D3*C15))</f>
        <v>1.113695694963311</v>
      </c>
      <c r="L9" t="s">
        <v>0</v>
      </c>
      <c r="N9" s="1" t="s">
        <v>22</v>
      </c>
    </row>
    <row r="10" spans="1:16" ht="18" x14ac:dyDescent="0.35">
      <c r="B10" s="1" t="s">
        <v>60</v>
      </c>
      <c r="C10">
        <v>0.10249999999999999</v>
      </c>
      <c r="D10" t="s">
        <v>0</v>
      </c>
      <c r="F10" t="s">
        <v>7</v>
      </c>
      <c r="G10">
        <f>101.325*10^3</f>
        <v>101325</v>
      </c>
      <c r="H10" t="s">
        <v>46</v>
      </c>
      <c r="N10" s="2" t="s">
        <v>23</v>
      </c>
      <c r="O10">
        <v>1</v>
      </c>
    </row>
    <row r="11" spans="1:16" ht="18" x14ac:dyDescent="0.35">
      <c r="F11" t="s">
        <v>59</v>
      </c>
      <c r="G11">
        <f>C10</f>
        <v>0.10249999999999999</v>
      </c>
      <c r="H11" t="s">
        <v>0</v>
      </c>
      <c r="J11" t="s">
        <v>16</v>
      </c>
      <c r="K11">
        <f>(PI()^2*F3*C16)/C8^2</f>
        <v>16860574.185194321</v>
      </c>
      <c r="L11" t="s">
        <v>48</v>
      </c>
      <c r="N11" s="2" t="s">
        <v>31</v>
      </c>
      <c r="O11">
        <f>(1/PI())*(G3/(O10*G28*10^-6))^2</f>
        <v>0.33841634000594761</v>
      </c>
      <c r="P11" t="s">
        <v>0</v>
      </c>
    </row>
    <row r="12" spans="1:16" ht="18" x14ac:dyDescent="0.35">
      <c r="B12" s="1" t="s">
        <v>3</v>
      </c>
      <c r="J12" t="s">
        <v>17</v>
      </c>
      <c r="K12">
        <f>(D3*C15)-(((D3*C8)/(2*PI()))^2*((C15^2)/(F3*C16)))</f>
        <v>688817.32646410435</v>
      </c>
      <c r="L12" t="s">
        <v>48</v>
      </c>
      <c r="N12" s="2" t="s">
        <v>32</v>
      </c>
      <c r="O12">
        <v>1E-3</v>
      </c>
      <c r="P12" t="s">
        <v>0</v>
      </c>
    </row>
    <row r="13" spans="1:16" ht="18" x14ac:dyDescent="0.35">
      <c r="B13" t="s">
        <v>4</v>
      </c>
      <c r="C13">
        <v>0.04</v>
      </c>
      <c r="D13" t="s">
        <v>0</v>
      </c>
      <c r="F13" t="s">
        <v>42</v>
      </c>
      <c r="G13">
        <f>0.1025/1.3</f>
        <v>7.8846153846153844E-2</v>
      </c>
      <c r="H13" t="s">
        <v>0</v>
      </c>
      <c r="N13" s="4" t="s">
        <v>34</v>
      </c>
      <c r="O13" s="3">
        <f>(1/(H3*((ABS(G30*10^-6)/10^3)*O10*SQRT(PI()))^I3))*(1/(1-I3/2))*(O11^(1-I3/2)-O12^(1-I3/2))</f>
        <v>3311527295975452.5</v>
      </c>
      <c r="P13" s="3" t="s">
        <v>61</v>
      </c>
    </row>
    <row r="14" spans="1:16" ht="18.75" x14ac:dyDescent="0.35">
      <c r="B14" t="s">
        <v>5</v>
      </c>
      <c r="C14">
        <v>0.04</v>
      </c>
      <c r="D14" t="s">
        <v>0</v>
      </c>
      <c r="F14" t="s">
        <v>9</v>
      </c>
      <c r="G14">
        <f>PI()*G13^2/4</f>
        <v>4.8825973101742255E-3</v>
      </c>
      <c r="H14" t="s">
        <v>43</v>
      </c>
      <c r="J14" s="3" t="s">
        <v>20</v>
      </c>
      <c r="K14" s="3">
        <f>IF(K9&lt;C8, K11/G19, K12/G19)</f>
        <v>5.5195319541700316</v>
      </c>
    </row>
    <row r="15" spans="1:16" ht="18.75" x14ac:dyDescent="0.35">
      <c r="B15" t="s">
        <v>8</v>
      </c>
      <c r="C15">
        <f>C13*C14</f>
        <v>1.6000000000000001E-3</v>
      </c>
      <c r="D15" t="s">
        <v>43</v>
      </c>
      <c r="N15" s="1" t="s">
        <v>35</v>
      </c>
    </row>
    <row r="16" spans="1:16" ht="18.75" x14ac:dyDescent="0.35">
      <c r="B16" t="s">
        <v>10</v>
      </c>
      <c r="C16">
        <f>(1/12)*C13*C14^3</f>
        <v>2.1333333333333336E-7</v>
      </c>
      <c r="D16" t="s">
        <v>44</v>
      </c>
      <c r="N16" s="2" t="s">
        <v>36</v>
      </c>
      <c r="O16">
        <f>(G28-O17)/2</f>
        <v>0</v>
      </c>
      <c r="P16" t="s">
        <v>46</v>
      </c>
    </row>
    <row r="17" spans="2:16" ht="18" x14ac:dyDescent="0.35">
      <c r="F17" t="s">
        <v>63</v>
      </c>
      <c r="G17">
        <f>C19*(1/(C9*SQRT(C8^2-C9^2)))</f>
        <v>2.207605519860186</v>
      </c>
      <c r="H17" t="s">
        <v>47</v>
      </c>
      <c r="N17" s="2" t="s">
        <v>37</v>
      </c>
      <c r="O17">
        <f>G28+G29</f>
        <v>-77790742.696457267</v>
      </c>
      <c r="P17" t="s">
        <v>46</v>
      </c>
    </row>
    <row r="18" spans="2:16" ht="18" x14ac:dyDescent="0.35">
      <c r="B18" t="s">
        <v>56</v>
      </c>
      <c r="C18">
        <f>(C15*C8)*C3</f>
        <v>2.0096000000000003</v>
      </c>
      <c r="D18" t="s">
        <v>57</v>
      </c>
      <c r="F18" t="s">
        <v>64</v>
      </c>
      <c r="G18">
        <v>0</v>
      </c>
      <c r="H18" t="s">
        <v>47</v>
      </c>
    </row>
    <row r="19" spans="2:16" ht="18.75" x14ac:dyDescent="0.35">
      <c r="B19" t="s">
        <v>11</v>
      </c>
      <c r="C19">
        <f>(1/3)*C18*C8^2</f>
        <v>1.714858666666667E-2</v>
      </c>
      <c r="D19" t="s">
        <v>45</v>
      </c>
      <c r="F19" t="s">
        <v>24</v>
      </c>
      <c r="G19">
        <f>(G8*G14)/((C9/C8)*SIN(ACOS(G9/C9)))</f>
        <v>124796.32914231066</v>
      </c>
      <c r="H19" t="s">
        <v>48</v>
      </c>
      <c r="N19" s="2" t="s">
        <v>38</v>
      </c>
      <c r="O19">
        <f>ABS(G25-O20)</f>
        <v>103481.5087434462</v>
      </c>
      <c r="P19" t="s">
        <v>46</v>
      </c>
    </row>
    <row r="20" spans="2:16" ht="18" x14ac:dyDescent="0.35">
      <c r="F20" t="s">
        <v>25</v>
      </c>
      <c r="G20">
        <v>0</v>
      </c>
      <c r="H20" t="s">
        <v>48</v>
      </c>
      <c r="I20" t="e">
        <f>(G10*G14)/((C9/C8)*SIN(ACOS(G11/C9)))</f>
        <v>#NUM!</v>
      </c>
      <c r="J20" t="s">
        <v>69</v>
      </c>
      <c r="N20" s="2" t="s">
        <v>39</v>
      </c>
      <c r="O20">
        <f>(G25+G26)/2</f>
        <v>-103481.5087434462</v>
      </c>
      <c r="P20" t="s">
        <v>46</v>
      </c>
    </row>
    <row r="22" spans="2:16" ht="18" x14ac:dyDescent="0.35">
      <c r="F22" s="2" t="s">
        <v>26</v>
      </c>
      <c r="G22">
        <f>-G19/C15</f>
        <v>-77997705.713944152</v>
      </c>
      <c r="H22" t="s">
        <v>46</v>
      </c>
      <c r="N22" s="2" t="s">
        <v>40</v>
      </c>
      <c r="O22">
        <f>O19+(O16/0.85)</f>
        <v>103481.5087434462</v>
      </c>
      <c r="P22" t="s">
        <v>46</v>
      </c>
    </row>
    <row r="23" spans="2:16" ht="18" x14ac:dyDescent="0.35">
      <c r="F23" s="2" t="s">
        <v>27</v>
      </c>
      <c r="G23">
        <f>-G20/C15</f>
        <v>0</v>
      </c>
      <c r="H23" t="s">
        <v>46</v>
      </c>
      <c r="N23" s="2" t="s">
        <v>41</v>
      </c>
      <c r="O23">
        <f>ABS(O20+O17)</f>
        <v>77894224.205200717</v>
      </c>
      <c r="P23" t="s">
        <v>46</v>
      </c>
    </row>
    <row r="24" spans="2:16" x14ac:dyDescent="0.25">
      <c r="F24" s="2"/>
    </row>
    <row r="25" spans="2:16" ht="18" x14ac:dyDescent="0.35">
      <c r="F25" s="2" t="s">
        <v>28</v>
      </c>
      <c r="G25">
        <f>-(G17*(C14/2))/C16</f>
        <v>-206963.01748689241</v>
      </c>
      <c r="H25" t="s">
        <v>46</v>
      </c>
      <c r="N25" t="s">
        <v>49</v>
      </c>
      <c r="O25">
        <v>4.51</v>
      </c>
    </row>
    <row r="26" spans="2:16" ht="18" x14ac:dyDescent="0.35">
      <c r="F26" s="2" t="s">
        <v>29</v>
      </c>
      <c r="G26">
        <f>-(G18*(C14/2))/C16</f>
        <v>0</v>
      </c>
      <c r="H26" t="s">
        <v>46</v>
      </c>
      <c r="N26" t="s">
        <v>50</v>
      </c>
      <c r="O26">
        <v>-0.26500000000000001</v>
      </c>
    </row>
    <row r="27" spans="2:16" ht="18" x14ac:dyDescent="0.35">
      <c r="F27" s="2"/>
      <c r="N27" t="s">
        <v>51</v>
      </c>
      <c r="O27">
        <f>O25*E3^O26</f>
        <v>2.0666489853284772E-2</v>
      </c>
    </row>
    <row r="28" spans="2:16" ht="18" x14ac:dyDescent="0.35">
      <c r="F28" s="2" t="s">
        <v>12</v>
      </c>
      <c r="G28">
        <f>G22-G25</f>
        <v>-77790742.696457267</v>
      </c>
      <c r="H28" t="s">
        <v>46</v>
      </c>
      <c r="N28" t="s">
        <v>52</v>
      </c>
      <c r="O28">
        <f>MIN((0.88*(0.808*SQRT(C15))^-0.107),(0.91*(0.808*SQRT(C15))^-0.157))</f>
        <v>1.2704841093997299</v>
      </c>
    </row>
    <row r="29" spans="2:16" ht="18" x14ac:dyDescent="0.35">
      <c r="F29" s="2" t="s">
        <v>30</v>
      </c>
      <c r="G29">
        <f>G23-G26</f>
        <v>0</v>
      </c>
      <c r="H29" t="s">
        <v>46</v>
      </c>
      <c r="N29" t="s">
        <v>53</v>
      </c>
      <c r="O29">
        <f>MIN((E3*10^-6)/2,689.476)</f>
        <v>335</v>
      </c>
      <c r="P29" t="s">
        <v>62</v>
      </c>
    </row>
    <row r="30" spans="2:16" x14ac:dyDescent="0.25">
      <c r="F30" s="2" t="s">
        <v>33</v>
      </c>
      <c r="G30">
        <f>G28-G29</f>
        <v>-77790742.696457267</v>
      </c>
      <c r="H30" t="s">
        <v>46</v>
      </c>
      <c r="N30" t="s">
        <v>54</v>
      </c>
      <c r="O30">
        <f>O27*O28*O29</f>
        <v>8.795909730149134</v>
      </c>
      <c r="P30" t="s">
        <v>62</v>
      </c>
    </row>
    <row r="32" spans="2:16" ht="18" x14ac:dyDescent="0.35">
      <c r="F32" s="3" t="s">
        <v>13</v>
      </c>
      <c r="G32" s="3">
        <f>D3/ABS(G28)</f>
        <v>5.5919250147461401</v>
      </c>
      <c r="N32" s="3" t="s">
        <v>55</v>
      </c>
      <c r="O32" s="3">
        <f>((O22/(O30*10^6))+(O23/D3))^-1</f>
        <v>5.2402136818797551</v>
      </c>
    </row>
  </sheetData>
  <pageMargins left="0.25" right="0.25" top="0.75" bottom="0.75" header="0.3" footer="0.3"/>
  <pageSetup scale="54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Connecting Rod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Abdullah Mohammed Yousuf</dc:creator>
  <cp:lastModifiedBy>Abdullah Mohammed Yousuf</cp:lastModifiedBy>
  <cp:lastPrinted>2019-04-27T19:11:21Z</cp:lastPrinted>
  <dcterms:created xsi:type="dcterms:W3CDTF">2019-04-18T16:03:37Z</dcterms:created>
  <dcterms:modified xsi:type="dcterms:W3CDTF">2019-04-27T19:12:29Z</dcterms:modified>
</cp:coreProperties>
</file>